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13-Mar-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shares'!$A$1:$FA$213</definedName>
    <definedName name="Expry_Roll___20" localSheetId="15">'NIFTY GRP'!$A$1:$EY$51</definedName>
    <definedName name="fii" localSheetId="18">FII!$A$1:$N$16</definedName>
    <definedName name="_xlnm.Print_Area" localSheetId="14">Disclaimar!$A$1:$A$24</definedName>
    <definedName name="stats__2" localSheetId="16">'Data Vlaue (Cr)'!$A$1:$FB$213</definedName>
  </definedNames>
  <calcPr calcId="162913"/>
</workbook>
</file>

<file path=xl/calcChain.xml><?xml version="1.0" encoding="utf-8"?>
<calcChain xmlns="http://schemas.openxmlformats.org/spreadsheetml/2006/main">
  <c r="L3" i="21" l="1"/>
  <c r="A215" i="14" l="1"/>
  <c r="B215" i="14" s="1"/>
  <c r="A216" i="14"/>
  <c r="C216" i="14" s="1"/>
  <c r="A217" i="14"/>
  <c r="D217" i="14" s="1"/>
  <c r="A213" i="13"/>
  <c r="B213" i="13" s="1"/>
  <c r="A214" i="13"/>
  <c r="B214" i="13" s="1"/>
  <c r="A215" i="13"/>
  <c r="D215" i="13" s="1"/>
  <c r="A216" i="13"/>
  <c r="B216" i="13" s="1"/>
  <c r="A214" i="12"/>
  <c r="B214" i="12" s="1"/>
  <c r="A215" i="12"/>
  <c r="B215" i="12" s="1"/>
  <c r="A216" i="12"/>
  <c r="C216" i="12" s="1"/>
  <c r="A217" i="12"/>
  <c r="B217" i="12" s="1"/>
  <c r="A213" i="11"/>
  <c r="D213" i="11" s="1"/>
  <c r="A214" i="11"/>
  <c r="B214" i="11" s="1"/>
  <c r="A215" i="11"/>
  <c r="C215" i="11" s="1"/>
  <c r="A216" i="11"/>
  <c r="D216" i="11" s="1"/>
  <c r="A217" i="11"/>
  <c r="D217" i="11" s="1"/>
  <c r="A214" i="10"/>
  <c r="B214" i="10" s="1"/>
  <c r="A215" i="10"/>
  <c r="C215" i="10" s="1"/>
  <c r="A216" i="10"/>
  <c r="B216" i="10" s="1"/>
  <c r="A217" i="10"/>
  <c r="B217" i="10" s="1"/>
  <c r="A54" i="8"/>
  <c r="B54" i="8" s="1"/>
  <c r="A55" i="8"/>
  <c r="D55" i="8" s="1"/>
  <c r="A56" i="8"/>
  <c r="B56" i="8" s="1"/>
  <c r="A212" i="6"/>
  <c r="B212" i="6" s="1"/>
  <c r="A213" i="6"/>
  <c r="C213" i="6" s="1"/>
  <c r="A214" i="6"/>
  <c r="D214" i="6" s="1"/>
  <c r="A215" i="6"/>
  <c r="B215" i="6" s="1"/>
  <c r="A216" i="6"/>
  <c r="B216" i="6" s="1"/>
  <c r="A217" i="6"/>
  <c r="C217" i="6" s="1"/>
  <c r="A214" i="7"/>
  <c r="B214" i="7" s="1"/>
  <c r="A215" i="7"/>
  <c r="B215" i="7" s="1"/>
  <c r="A216" i="7"/>
  <c r="D216" i="7" s="1"/>
  <c r="A217" i="7"/>
  <c r="B217" i="7" s="1"/>
  <c r="A215" i="2"/>
  <c r="B215" i="2" s="1"/>
  <c r="A216" i="2"/>
  <c r="B216" i="2" s="1"/>
  <c r="A217" i="2"/>
  <c r="D217" i="2" s="1"/>
  <c r="A218" i="2"/>
  <c r="A214" i="3" s="1"/>
  <c r="A219" i="2"/>
  <c r="B219" i="2" s="1"/>
  <c r="A220" i="2"/>
  <c r="B220" i="2" s="1"/>
  <c r="A221" i="2"/>
  <c r="D221" i="2" s="1"/>
  <c r="L216" i="10" l="1"/>
  <c r="G215" i="13"/>
  <c r="I216" i="10"/>
  <c r="G216" i="10"/>
  <c r="N216" i="11"/>
  <c r="L215" i="2"/>
  <c r="O216" i="10"/>
  <c r="E216" i="10"/>
  <c r="K217" i="11"/>
  <c r="J216" i="12"/>
  <c r="I214" i="12"/>
  <c r="I216" i="12"/>
  <c r="I214" i="7"/>
  <c r="G216" i="11"/>
  <c r="B216" i="12"/>
  <c r="H214" i="12"/>
  <c r="E216" i="14"/>
  <c r="M215" i="6"/>
  <c r="N215" i="10"/>
  <c r="I217" i="6"/>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N217" i="6"/>
  <c r="F215" i="10"/>
  <c r="I214" i="10"/>
  <c r="M217" i="11"/>
  <c r="G217" i="11"/>
  <c r="B217" i="11"/>
  <c r="M214" i="11"/>
  <c r="N213" i="11"/>
  <c r="I213" i="11"/>
  <c r="C213" i="11"/>
  <c r="D214" i="12"/>
  <c r="I213" i="6"/>
  <c r="L217" i="10"/>
  <c r="Q219" i="2"/>
  <c r="R218" i="2"/>
  <c r="L218" i="2"/>
  <c r="D218" i="2"/>
  <c r="G218" i="2" s="1"/>
  <c r="L215" i="6"/>
  <c r="H215" i="6"/>
  <c r="D215" i="6"/>
  <c r="O214" i="6"/>
  <c r="J214" i="6"/>
  <c r="E214" i="6"/>
  <c r="N213" i="6"/>
  <c r="F213" i="6"/>
  <c r="M212" i="6"/>
  <c r="K217" i="10"/>
  <c r="M216" i="11"/>
  <c r="F216" i="11"/>
  <c r="S221" i="2"/>
  <c r="I219" i="2"/>
  <c r="Q218" i="2"/>
  <c r="I218" i="2"/>
  <c r="C218" i="2"/>
  <c r="R217" i="2"/>
  <c r="Q216" i="2"/>
  <c r="F216" i="7"/>
  <c r="H214" i="7"/>
  <c r="F217" i="6"/>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A216" i="3"/>
  <c r="B216" i="3" s="1"/>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A213" i="3"/>
  <c r="D213" i="3" s="1"/>
  <c r="A211" i="3"/>
  <c r="J211" i="3" s="1"/>
  <c r="L217" i="7"/>
  <c r="H217" i="7"/>
  <c r="D217" i="7"/>
  <c r="O216" i="7"/>
  <c r="J216" i="7"/>
  <c r="E216" i="7"/>
  <c r="M215" i="7"/>
  <c r="M214" i="7"/>
  <c r="E214" i="7"/>
  <c r="M217" i="6"/>
  <c r="E217" i="6"/>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A217" i="3"/>
  <c r="C217" i="3" s="1"/>
  <c r="A215" i="3"/>
  <c r="J215" i="3" s="1"/>
  <c r="O217" i="7"/>
  <c r="K217" i="7"/>
  <c r="G217" i="7"/>
  <c r="C217" i="7"/>
  <c r="N216" i="7"/>
  <c r="I216" i="7"/>
  <c r="C216" i="7"/>
  <c r="I215" i="7"/>
  <c r="L214" i="7"/>
  <c r="D214" i="7"/>
  <c r="J217" i="6"/>
  <c r="B217" i="6"/>
  <c r="E216" i="6"/>
  <c r="M217" i="10"/>
  <c r="H217" i="10"/>
  <c r="C217" i="10"/>
  <c r="L217" i="11"/>
  <c r="H217" i="11"/>
  <c r="O216" i="11"/>
  <c r="J216" i="11"/>
  <c r="E216" i="11"/>
  <c r="N215" i="11"/>
  <c r="B215" i="11"/>
  <c r="L213" i="11"/>
  <c r="H213" i="11"/>
  <c r="K217" i="12"/>
  <c r="G217" i="12"/>
  <c r="C217" i="12"/>
  <c r="K214" i="12"/>
  <c r="E214" i="12"/>
  <c r="G216" i="13"/>
  <c r="C216" i="13"/>
  <c r="D213" i="13"/>
  <c r="E217" i="14"/>
  <c r="F216" i="14"/>
  <c r="E215" i="14"/>
  <c r="G215" i="14" s="1"/>
  <c r="I221" i="2"/>
  <c r="M221" i="2"/>
  <c r="B221" i="2"/>
  <c r="L219" i="2"/>
  <c r="D219" i="2"/>
  <c r="E216" i="2"/>
  <c r="A212" i="3"/>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D214" i="13"/>
  <c r="G213" i="13"/>
  <c r="C213" i="13"/>
  <c r="G214" i="13"/>
  <c r="C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L217" i="6"/>
  <c r="H217" i="6"/>
  <c r="D217" i="6"/>
  <c r="O216" i="6"/>
  <c r="K216" i="6"/>
  <c r="G216" i="6"/>
  <c r="C216" i="6"/>
  <c r="L213" i="6"/>
  <c r="H213" i="6"/>
  <c r="D213" i="6"/>
  <c r="O212" i="6"/>
  <c r="K212" i="6"/>
  <c r="G212" i="6"/>
  <c r="C212" i="6"/>
  <c r="O217" i="6"/>
  <c r="K217" i="6"/>
  <c r="G217"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F215" i="2" s="1"/>
  <c r="P221" i="2"/>
  <c r="L221" i="2"/>
  <c r="H221" i="2"/>
  <c r="S220" i="2"/>
  <c r="C220" i="2"/>
  <c r="R219" i="2"/>
  <c r="P217" i="2"/>
  <c r="L217" i="2"/>
  <c r="H217" i="2"/>
  <c r="S216" i="2"/>
  <c r="C216" i="2"/>
  <c r="R215" i="2"/>
  <c r="R220" i="2"/>
  <c r="R216" i="2"/>
  <c r="A205" i="14"/>
  <c r="B205" i="14" s="1"/>
  <c r="A206" i="14"/>
  <c r="B206" i="14" s="1"/>
  <c r="A207" i="14"/>
  <c r="D207" i="14" s="1"/>
  <c r="A208" i="14"/>
  <c r="B208" i="14" s="1"/>
  <c r="A209" i="14"/>
  <c r="B209" i="14" s="1"/>
  <c r="A210" i="14"/>
  <c r="B210" i="14" s="1"/>
  <c r="A211" i="14"/>
  <c r="D211" i="14" s="1"/>
  <c r="A212" i="14"/>
  <c r="B212" i="14" s="1"/>
  <c r="A213" i="14"/>
  <c r="B213" i="14" s="1"/>
  <c r="A214" i="14"/>
  <c r="B214" i="14" s="1"/>
  <c r="A211" i="13"/>
  <c r="B211" i="13" s="1"/>
  <c r="A212" i="13"/>
  <c r="C212" i="13" s="1"/>
  <c r="A211" i="12"/>
  <c r="B211" i="12" s="1"/>
  <c r="A212" i="12"/>
  <c r="B212" i="12" s="1"/>
  <c r="A213" i="12"/>
  <c r="D213" i="12" s="1"/>
  <c r="A212" i="11"/>
  <c r="B212" i="11" s="1"/>
  <c r="A213" i="10"/>
  <c r="B213" i="10" s="1"/>
  <c r="A213" i="7"/>
  <c r="B213" i="7" s="1"/>
  <c r="G216" i="14" l="1"/>
  <c r="F211" i="3"/>
  <c r="J218" i="2"/>
  <c r="K218" i="2" s="1"/>
  <c r="J217" i="2"/>
  <c r="K217" i="2" s="1"/>
  <c r="F215" i="3"/>
  <c r="J215" i="2"/>
  <c r="K215" i="2" s="1"/>
  <c r="G215" i="2"/>
  <c r="D208" i="14"/>
  <c r="F218" i="2"/>
  <c r="N217" i="2"/>
  <c r="O217" i="2" s="1"/>
  <c r="N216" i="3"/>
  <c r="G219" i="2"/>
  <c r="F219" i="2"/>
  <c r="N220" i="2"/>
  <c r="O220" i="2" s="1"/>
  <c r="K214" i="3"/>
  <c r="F216" i="3"/>
  <c r="H216" i="3" s="1"/>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H211" i="3" s="1"/>
  <c r="O211" i="3"/>
  <c r="C211" i="3"/>
  <c r="E211" i="3" s="1"/>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B212" i="13"/>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D211" i="13"/>
  <c r="D212" i="13"/>
  <c r="G211" i="13"/>
  <c r="C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A6" i="13"/>
  <c r="A7" i="13"/>
  <c r="B7" i="13" s="1"/>
  <c r="A8" i="13"/>
  <c r="A9" i="13"/>
  <c r="B9" i="13" s="1"/>
  <c r="A10" i="13"/>
  <c r="A11" i="13"/>
  <c r="B11" i="13" s="1"/>
  <c r="A12" i="13"/>
  <c r="A13" i="13"/>
  <c r="B13" i="13" s="1"/>
  <c r="A14" i="13"/>
  <c r="A15" i="13"/>
  <c r="B15" i="13" s="1"/>
  <c r="A16" i="13"/>
  <c r="A17" i="13"/>
  <c r="B17" i="13" s="1"/>
  <c r="A18" i="13"/>
  <c r="A19" i="13"/>
  <c r="B19" i="13" s="1"/>
  <c r="A20" i="13"/>
  <c r="A21" i="13"/>
  <c r="B21" i="13" s="1"/>
  <c r="A22" i="13"/>
  <c r="A23" i="13"/>
  <c r="B23" i="13" s="1"/>
  <c r="A24" i="13"/>
  <c r="A25" i="13"/>
  <c r="B25" i="13" s="1"/>
  <c r="A26" i="13"/>
  <c r="A27" i="13"/>
  <c r="B27" i="13" s="1"/>
  <c r="A28" i="13"/>
  <c r="A29" i="13"/>
  <c r="B29" i="13" s="1"/>
  <c r="A30" i="13"/>
  <c r="A31" i="13"/>
  <c r="B31" i="13" s="1"/>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D89" i="13" s="1"/>
  <c r="A90" i="13"/>
  <c r="C90" i="13" s="1"/>
  <c r="A91" i="13"/>
  <c r="C91" i="13" s="1"/>
  <c r="A92" i="13"/>
  <c r="C92" i="13" s="1"/>
  <c r="A93" i="13"/>
  <c r="C93" i="13" s="1"/>
  <c r="A94" i="13"/>
  <c r="C94" i="13" s="1"/>
  <c r="A95" i="13"/>
  <c r="C95" i="13" s="1"/>
  <c r="A96" i="13"/>
  <c r="C96" i="13" s="1"/>
  <c r="A97" i="13"/>
  <c r="C97" i="13" s="1"/>
  <c r="A98" i="13"/>
  <c r="C98" i="13" s="1"/>
  <c r="A99" i="13"/>
  <c r="C99" i="13" s="1"/>
  <c r="A100" i="13"/>
  <c r="C100" i="13" s="1"/>
  <c r="A101" i="13"/>
  <c r="A102" i="13"/>
  <c r="C102" i="13" s="1"/>
  <c r="A103" i="13"/>
  <c r="C103" i="13" s="1"/>
  <c r="A104" i="13"/>
  <c r="C104" i="13" s="1"/>
  <c r="A105" i="13"/>
  <c r="A106" i="13"/>
  <c r="C106" i="13" s="1"/>
  <c r="A107" i="13"/>
  <c r="C107" i="13" s="1"/>
  <c r="A108" i="13"/>
  <c r="C108" i="13" s="1"/>
  <c r="A109" i="13"/>
  <c r="A110" i="13"/>
  <c r="C110" i="13" s="1"/>
  <c r="A111" i="13"/>
  <c r="C111" i="13" s="1"/>
  <c r="A112" i="13"/>
  <c r="C112" i="13" s="1"/>
  <c r="A113" i="13"/>
  <c r="A114" i="13"/>
  <c r="C114" i="13" s="1"/>
  <c r="A115" i="13"/>
  <c r="C115" i="13" s="1"/>
  <c r="A116" i="13"/>
  <c r="C116" i="13" s="1"/>
  <c r="A117" i="13"/>
  <c r="A118" i="13"/>
  <c r="C118" i="13" s="1"/>
  <c r="A119" i="13"/>
  <c r="C119" i="13" s="1"/>
  <c r="A120" i="13"/>
  <c r="C120" i="13" s="1"/>
  <c r="A121" i="13"/>
  <c r="A122" i="13"/>
  <c r="C122" i="13" s="1"/>
  <c r="A123" i="13"/>
  <c r="C123" i="13" s="1"/>
  <c r="A124" i="13"/>
  <c r="C124" i="13" s="1"/>
  <c r="A125" i="13"/>
  <c r="A126" i="13"/>
  <c r="C126" i="13" s="1"/>
  <c r="A127" i="13"/>
  <c r="C127" i="13" s="1"/>
  <c r="A128" i="13"/>
  <c r="C128" i="13" s="1"/>
  <c r="A129" i="13"/>
  <c r="A130" i="13"/>
  <c r="C130" i="13" s="1"/>
  <c r="A131" i="13"/>
  <c r="C131" i="13" s="1"/>
  <c r="A132" i="13"/>
  <c r="B132" i="13" s="1"/>
  <c r="A133" i="13"/>
  <c r="B133" i="13" s="1"/>
  <c r="A134" i="13"/>
  <c r="B134" i="13" s="1"/>
  <c r="A135" i="13"/>
  <c r="B135" i="13" s="1"/>
  <c r="A136" i="13"/>
  <c r="B136" i="13" s="1"/>
  <c r="A137" i="13"/>
  <c r="B137" i="13" s="1"/>
  <c r="A138" i="13"/>
  <c r="B138" i="13" s="1"/>
  <c r="A139" i="13"/>
  <c r="B139" i="13" s="1"/>
  <c r="A140" i="13"/>
  <c r="B140" i="13" s="1"/>
  <c r="A141" i="13"/>
  <c r="B141" i="13" s="1"/>
  <c r="A142" i="13"/>
  <c r="B142" i="13" s="1"/>
  <c r="A143" i="13"/>
  <c r="B143" i="13" s="1"/>
  <c r="A144" i="13"/>
  <c r="B144" i="13" s="1"/>
  <c r="A145" i="13"/>
  <c r="B145" i="13" s="1"/>
  <c r="A146" i="13"/>
  <c r="B146" i="13" s="1"/>
  <c r="A147" i="13"/>
  <c r="B147" i="13" s="1"/>
  <c r="A148" i="13"/>
  <c r="B148" i="13" s="1"/>
  <c r="A149" i="13"/>
  <c r="B149" i="13" s="1"/>
  <c r="A150" i="13"/>
  <c r="B150" i="13" s="1"/>
  <c r="A151" i="13"/>
  <c r="B151" i="13" s="1"/>
  <c r="A152" i="13"/>
  <c r="B152" i="13" s="1"/>
  <c r="A153" i="13"/>
  <c r="B153" i="13" s="1"/>
  <c r="A154" i="13"/>
  <c r="B154" i="13" s="1"/>
  <c r="A155" i="13"/>
  <c r="B155" i="13" s="1"/>
  <c r="A156" i="13"/>
  <c r="B156" i="13" s="1"/>
  <c r="A157" i="13"/>
  <c r="B157" i="13" s="1"/>
  <c r="A158" i="13"/>
  <c r="B158" i="13" s="1"/>
  <c r="A159" i="13"/>
  <c r="B159" i="13" s="1"/>
  <c r="A160" i="13"/>
  <c r="B160" i="13" s="1"/>
  <c r="A161" i="13"/>
  <c r="B161" i="13" s="1"/>
  <c r="A162" i="13"/>
  <c r="B162" i="13" s="1"/>
  <c r="A163" i="13"/>
  <c r="B163" i="13" s="1"/>
  <c r="A164" i="13"/>
  <c r="B164" i="13" s="1"/>
  <c r="A165" i="13"/>
  <c r="B165" i="13" s="1"/>
  <c r="A166" i="13"/>
  <c r="B166" i="13" s="1"/>
  <c r="A167" i="13"/>
  <c r="B167" i="13" s="1"/>
  <c r="A168" i="13"/>
  <c r="B168" i="13" s="1"/>
  <c r="A169" i="13"/>
  <c r="B169" i="13" s="1"/>
  <c r="A170" i="13"/>
  <c r="B170" i="13" s="1"/>
  <c r="A171" i="13"/>
  <c r="B171" i="13" s="1"/>
  <c r="A172" i="13"/>
  <c r="B172" i="13" s="1"/>
  <c r="A173" i="13"/>
  <c r="B173" i="13" s="1"/>
  <c r="A174" i="13"/>
  <c r="B174" i="13" s="1"/>
  <c r="A175" i="13"/>
  <c r="B175" i="13" s="1"/>
  <c r="A176" i="13"/>
  <c r="B176" i="13" s="1"/>
  <c r="A177" i="13"/>
  <c r="B177" i="13" s="1"/>
  <c r="A178" i="13"/>
  <c r="B178" i="13" s="1"/>
  <c r="A179" i="13"/>
  <c r="B179" i="13" s="1"/>
  <c r="A180" i="13"/>
  <c r="B180" i="13" s="1"/>
  <c r="A181" i="13"/>
  <c r="B181" i="13" s="1"/>
  <c r="A182" i="13"/>
  <c r="B182" i="13" s="1"/>
  <c r="A183" i="13"/>
  <c r="B183" i="13" s="1"/>
  <c r="A184" i="13"/>
  <c r="B184" i="13" s="1"/>
  <c r="A185" i="13"/>
  <c r="B185" i="13" s="1"/>
  <c r="A186" i="13"/>
  <c r="B186" i="13" s="1"/>
  <c r="A187" i="13"/>
  <c r="B187" i="13" s="1"/>
  <c r="A188" i="13"/>
  <c r="B188" i="13" s="1"/>
  <c r="A189" i="13"/>
  <c r="B189" i="13" s="1"/>
  <c r="A190" i="13"/>
  <c r="B190" i="13" s="1"/>
  <c r="A191" i="13"/>
  <c r="B191" i="13" s="1"/>
  <c r="A192" i="13"/>
  <c r="B192" i="13" s="1"/>
  <c r="A193" i="13"/>
  <c r="B193" i="13" s="1"/>
  <c r="A194" i="13"/>
  <c r="B194" i="13" s="1"/>
  <c r="A195" i="13"/>
  <c r="B195" i="13" s="1"/>
  <c r="A196" i="13"/>
  <c r="B196" i="13" s="1"/>
  <c r="A197" i="13"/>
  <c r="B197" i="13" s="1"/>
  <c r="A198" i="13"/>
  <c r="B198" i="13" s="1"/>
  <c r="A199" i="13"/>
  <c r="B199" i="13" s="1"/>
  <c r="A200" i="13"/>
  <c r="B200" i="13" s="1"/>
  <c r="A201" i="13"/>
  <c r="B201" i="13" s="1"/>
  <c r="A202" i="13"/>
  <c r="B202" i="13" s="1"/>
  <c r="A203" i="13"/>
  <c r="B203" i="13" s="1"/>
  <c r="A204" i="13"/>
  <c r="B204" i="13" s="1"/>
  <c r="A205" i="13"/>
  <c r="B205" i="13" s="1"/>
  <c r="A206" i="13"/>
  <c r="B206" i="13" s="1"/>
  <c r="A207" i="13"/>
  <c r="B207" i="13" s="1"/>
  <c r="A208" i="13"/>
  <c r="B208" i="13" s="1"/>
  <c r="A209" i="13"/>
  <c r="B209" i="13" s="1"/>
  <c r="A210" i="13"/>
  <c r="B210" i="13" s="1"/>
  <c r="E216" i="3" l="1"/>
  <c r="G211" i="14"/>
  <c r="K213" i="3"/>
  <c r="H215" i="3"/>
  <c r="K216" i="3"/>
  <c r="H213" i="3"/>
  <c r="K217" i="3"/>
  <c r="G207" i="14"/>
  <c r="E212" i="3"/>
  <c r="H217" i="3"/>
  <c r="H212" i="3"/>
  <c r="E215" i="3"/>
  <c r="K212" i="3"/>
  <c r="D108" i="13"/>
  <c r="D90" i="13"/>
  <c r="D100" i="13"/>
  <c r="B90" i="13"/>
  <c r="C150" i="13"/>
  <c r="C156" i="13"/>
  <c r="B114" i="13"/>
  <c r="D198" i="13"/>
  <c r="C182" i="13"/>
  <c r="C184" i="13"/>
  <c r="D189" i="13"/>
  <c r="D161" i="13"/>
  <c r="C189" i="13"/>
  <c r="C161" i="13"/>
  <c r="D210" i="13"/>
  <c r="C152" i="13"/>
  <c r="D178" i="13"/>
  <c r="D120" i="13"/>
  <c r="D194" i="13"/>
  <c r="D182" i="13"/>
  <c r="C180" i="13"/>
  <c r="C178" i="13"/>
  <c r="C148" i="13"/>
  <c r="C141" i="13"/>
  <c r="C138" i="13"/>
  <c r="C210" i="13"/>
  <c r="C181" i="13"/>
  <c r="D177" i="13"/>
  <c r="C170" i="13"/>
  <c r="C157" i="13"/>
  <c r="C149" i="13"/>
  <c r="C134" i="1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07" i="13"/>
  <c r="D203" i="13"/>
  <c r="D199" i="13"/>
  <c r="D195" i="13"/>
  <c r="D191" i="13"/>
  <c r="D187" i="13"/>
  <c r="D183" i="13"/>
  <c r="D179" i="13"/>
  <c r="D171" i="13"/>
  <c r="D167" i="13"/>
  <c r="D159" i="13"/>
  <c r="D155" i="13"/>
  <c r="D151" i="13"/>
  <c r="D147"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J209" i="12" s="1"/>
  <c r="A210"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D189" i="11" s="1"/>
  <c r="A190" i="11"/>
  <c r="F190" i="11" s="1"/>
  <c r="A191" i="11"/>
  <c r="D191" i="11" s="1"/>
  <c r="A192" i="11"/>
  <c r="A193" i="11"/>
  <c r="L193" i="11" s="1"/>
  <c r="A194" i="11"/>
  <c r="N194" i="11" s="1"/>
  <c r="A195" i="11"/>
  <c r="H195" i="11" s="1"/>
  <c r="A196" i="11"/>
  <c r="A197" i="11"/>
  <c r="D197" i="11" s="1"/>
  <c r="A198" i="11"/>
  <c r="F198" i="11" s="1"/>
  <c r="A199" i="11"/>
  <c r="D199" i="11" s="1"/>
  <c r="A200" i="11"/>
  <c r="F200" i="11" s="1"/>
  <c r="A201" i="11"/>
  <c r="F201" i="11" s="1"/>
  <c r="A202" i="11"/>
  <c r="H202" i="11" s="1"/>
  <c r="A203" i="11"/>
  <c r="C203" i="11" s="1"/>
  <c r="A204" i="11"/>
  <c r="A205" i="11"/>
  <c r="C205" i="11" s="1"/>
  <c r="A206" i="11"/>
  <c r="D206" i="11" s="1"/>
  <c r="A207" i="11"/>
  <c r="C207" i="11" s="1"/>
  <c r="A208" i="11"/>
  <c r="A209" i="11"/>
  <c r="C209" i="11" s="1"/>
  <c r="A210" i="11"/>
  <c r="H210" i="11" s="1"/>
  <c r="A211" i="11"/>
  <c r="C211" i="11" s="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O190" i="10" s="1"/>
  <c r="A191" i="10"/>
  <c r="E191" i="10" s="1"/>
  <c r="A192" i="10"/>
  <c r="G192" i="10" s="1"/>
  <c r="A193" i="10"/>
  <c r="E193" i="10" s="1"/>
  <c r="A194" i="10"/>
  <c r="G194" i="10" s="1"/>
  <c r="A195" i="10"/>
  <c r="M195" i="10" s="1"/>
  <c r="A196" i="10"/>
  <c r="O196" i="10" s="1"/>
  <c r="A197" i="10"/>
  <c r="I197" i="10" s="1"/>
  <c r="A198" i="10"/>
  <c r="O198" i="10" s="1"/>
  <c r="A199" i="10"/>
  <c r="E199" i="10" s="1"/>
  <c r="A200" i="10"/>
  <c r="G200" i="10" s="1"/>
  <c r="A201" i="10"/>
  <c r="E201" i="10" s="1"/>
  <c r="A202" i="10"/>
  <c r="G202" i="10" s="1"/>
  <c r="A203" i="10"/>
  <c r="M203" i="10" s="1"/>
  <c r="A204" i="10"/>
  <c r="O204" i="10" s="1"/>
  <c r="A205" i="10"/>
  <c r="I205" i="10" s="1"/>
  <c r="A206" i="10"/>
  <c r="O206" i="10" s="1"/>
  <c r="A207" i="10"/>
  <c r="E207" i="10" s="1"/>
  <c r="A208" i="10"/>
  <c r="A209" i="10"/>
  <c r="E209" i="10" s="1"/>
  <c r="A210" i="10"/>
  <c r="G210" i="10" s="1"/>
  <c r="A211" i="10"/>
  <c r="D211" i="10" s="1"/>
  <c r="A212" i="10"/>
  <c r="I212" i="10" s="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B145" i="14" s="1"/>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C189" i="14" s="1"/>
  <c r="A190" i="14"/>
  <c r="B190" i="14" s="1"/>
  <c r="A191" i="14"/>
  <c r="E191" i="14" s="1"/>
  <c r="A192" i="14"/>
  <c r="A193" i="14"/>
  <c r="E193" i="14" s="1"/>
  <c r="A194" i="14"/>
  <c r="D194" i="14" s="1"/>
  <c r="A195" i="14"/>
  <c r="C195" i="14" s="1"/>
  <c r="A196" i="14"/>
  <c r="A197" i="14"/>
  <c r="C197" i="14" s="1"/>
  <c r="A198" i="14"/>
  <c r="B198" i="14" s="1"/>
  <c r="A199" i="14"/>
  <c r="E199" i="14" s="1"/>
  <c r="A200" i="14"/>
  <c r="A201" i="14"/>
  <c r="A202" i="14"/>
  <c r="D202" i="14" s="1"/>
  <c r="A203" i="14"/>
  <c r="C203" i="14" s="1"/>
  <c r="A204" i="14"/>
  <c r="F187" i="18"/>
  <c r="F83" i="18"/>
  <c r="F84" i="18"/>
  <c r="F193" i="18"/>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K211" i="6" s="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H190" i="7" s="1"/>
  <c r="A191" i="7"/>
  <c r="N191" i="7" s="1"/>
  <c r="A192" i="7"/>
  <c r="H192" i="7" s="1"/>
  <c r="A193" i="7"/>
  <c r="A194" i="7"/>
  <c r="A195" i="7"/>
  <c r="F195" i="7" s="1"/>
  <c r="A196" i="7"/>
  <c r="L196" i="7" s="1"/>
  <c r="A197" i="7"/>
  <c r="J197" i="7" s="1"/>
  <c r="A198" i="7"/>
  <c r="H198" i="7" s="1"/>
  <c r="A199" i="7"/>
  <c r="N199" i="7" s="1"/>
  <c r="A200" i="7"/>
  <c r="D200" i="7" s="1"/>
  <c r="A201" i="7"/>
  <c r="A202" i="7"/>
  <c r="D202" i="7" s="1"/>
  <c r="A203" i="7"/>
  <c r="F203" i="7" s="1"/>
  <c r="A204" i="7"/>
  <c r="L204" i="7" s="1"/>
  <c r="A205" i="7"/>
  <c r="J205" i="7" s="1"/>
  <c r="A206" i="7"/>
  <c r="H206" i="7" s="1"/>
  <c r="A207" i="7"/>
  <c r="J207" i="7" s="1"/>
  <c r="A208" i="7"/>
  <c r="F208" i="7" s="1"/>
  <c r="A209" i="7"/>
  <c r="E209" i="7" s="1"/>
  <c r="A210" i="7"/>
  <c r="F210" i="7" s="1"/>
  <c r="A211" i="7"/>
  <c r="B211" i="7" s="1"/>
  <c r="A212" i="7"/>
  <c r="D212" i="7" s="1"/>
  <c r="A11" i="2"/>
  <c r="A7" i="3" s="1"/>
  <c r="A12" i="2"/>
  <c r="A8" i="3" s="1"/>
  <c r="A13" i="2"/>
  <c r="A9" i="3" s="1"/>
  <c r="A14" i="2"/>
  <c r="A10" i="3" s="1"/>
  <c r="A15" i="2"/>
  <c r="A11" i="3" s="1"/>
  <c r="A16" i="2"/>
  <c r="A12" i="3" s="1"/>
  <c r="A17" i="2"/>
  <c r="A13" i="3" s="1"/>
  <c r="A18" i="2"/>
  <c r="A14" i="3" s="1"/>
  <c r="A19" i="2"/>
  <c r="A15" i="3" s="1"/>
  <c r="A20" i="2"/>
  <c r="A16" i="3" s="1"/>
  <c r="A21" i="2"/>
  <c r="A17" i="3" s="1"/>
  <c r="A22" i="2"/>
  <c r="A18" i="3" s="1"/>
  <c r="A23" i="2"/>
  <c r="A19" i="3" s="1"/>
  <c r="A24" i="2"/>
  <c r="A20" i="3" s="1"/>
  <c r="A25" i="2"/>
  <c r="A21" i="3" s="1"/>
  <c r="A26" i="2"/>
  <c r="A22" i="3" s="1"/>
  <c r="A27" i="2"/>
  <c r="A23" i="3" s="1"/>
  <c r="A28" i="2"/>
  <c r="A24" i="3" s="1"/>
  <c r="A29" i="2"/>
  <c r="A25" i="3" s="1"/>
  <c r="A30" i="2"/>
  <c r="A26" i="3" s="1"/>
  <c r="A31" i="2"/>
  <c r="A27" i="3" s="1"/>
  <c r="A32" i="2"/>
  <c r="A28" i="3" s="1"/>
  <c r="A33" i="2"/>
  <c r="A29" i="3" s="1"/>
  <c r="A34" i="2"/>
  <c r="A30" i="3" s="1"/>
  <c r="A35" i="2"/>
  <c r="A31" i="3" s="1"/>
  <c r="A36" i="2"/>
  <c r="A32" i="3" s="1"/>
  <c r="A37" i="2"/>
  <c r="A33" i="3" s="1"/>
  <c r="A38" i="2"/>
  <c r="A34" i="3" s="1"/>
  <c r="A39" i="2"/>
  <c r="A35" i="3" s="1"/>
  <c r="A40" i="2"/>
  <c r="A36" i="3" s="1"/>
  <c r="A41" i="2"/>
  <c r="A37" i="3" s="1"/>
  <c r="A42" i="2"/>
  <c r="A38" i="3" s="1"/>
  <c r="A43" i="2"/>
  <c r="A39" i="3" s="1"/>
  <c r="A44" i="2"/>
  <c r="A40" i="3" s="1"/>
  <c r="A45" i="2"/>
  <c r="A41" i="3" s="1"/>
  <c r="A46" i="2"/>
  <c r="A42" i="3" s="1"/>
  <c r="A47" i="2"/>
  <c r="A43" i="3" s="1"/>
  <c r="A48" i="2"/>
  <c r="A44" i="3" s="1"/>
  <c r="A49" i="2"/>
  <c r="A45" i="3" s="1"/>
  <c r="A50" i="2"/>
  <c r="A46" i="3" s="1"/>
  <c r="A51" i="2"/>
  <c r="A47" i="3" s="1"/>
  <c r="A52" i="2"/>
  <c r="A48" i="3" s="1"/>
  <c r="A53" i="2"/>
  <c r="A49" i="3" s="1"/>
  <c r="A54" i="2"/>
  <c r="A50" i="3" s="1"/>
  <c r="A55" i="2"/>
  <c r="A51" i="3" s="1"/>
  <c r="A56" i="2"/>
  <c r="A52" i="3" s="1"/>
  <c r="A57" i="2"/>
  <c r="A53" i="3" s="1"/>
  <c r="A58" i="2"/>
  <c r="A54" i="3" s="1"/>
  <c r="A59" i="2"/>
  <c r="A55" i="3" s="1"/>
  <c r="A60" i="2"/>
  <c r="A56" i="3" s="1"/>
  <c r="A61" i="2"/>
  <c r="A57" i="3" s="1"/>
  <c r="A62" i="2"/>
  <c r="A58" i="3" s="1"/>
  <c r="A63" i="2"/>
  <c r="A59" i="3" s="1"/>
  <c r="A64" i="2"/>
  <c r="A60" i="3" s="1"/>
  <c r="A65" i="2"/>
  <c r="A61" i="3" s="1"/>
  <c r="A66" i="2"/>
  <c r="A62" i="3" s="1"/>
  <c r="A67" i="2"/>
  <c r="A63" i="3" s="1"/>
  <c r="A68" i="2"/>
  <c r="A64" i="3" s="1"/>
  <c r="A69" i="2"/>
  <c r="A65" i="3" s="1"/>
  <c r="A70" i="2"/>
  <c r="A66" i="3" s="1"/>
  <c r="A71" i="2"/>
  <c r="A67" i="3" s="1"/>
  <c r="A72" i="2"/>
  <c r="A68" i="3" s="1"/>
  <c r="A73" i="2"/>
  <c r="A69" i="3" s="1"/>
  <c r="A74" i="2"/>
  <c r="A70" i="3" s="1"/>
  <c r="A75" i="2"/>
  <c r="A71" i="3" s="1"/>
  <c r="A76" i="2"/>
  <c r="A72" i="3" s="1"/>
  <c r="A77" i="2"/>
  <c r="A73" i="3" s="1"/>
  <c r="A78" i="2"/>
  <c r="A74" i="3" s="1"/>
  <c r="A79" i="2"/>
  <c r="A75" i="3" s="1"/>
  <c r="A80" i="2"/>
  <c r="A76" i="3" s="1"/>
  <c r="A81" i="2"/>
  <c r="A77" i="3" s="1"/>
  <c r="A82" i="2"/>
  <c r="A78" i="3" s="1"/>
  <c r="A83" i="2"/>
  <c r="A79" i="3" s="1"/>
  <c r="A84" i="2"/>
  <c r="A80" i="3" s="1"/>
  <c r="A85" i="2"/>
  <c r="A81" i="3" s="1"/>
  <c r="A86" i="2"/>
  <c r="A82" i="3" s="1"/>
  <c r="A87" i="2"/>
  <c r="A83" i="3" s="1"/>
  <c r="A88" i="2"/>
  <c r="A84" i="3" s="1"/>
  <c r="A89" i="2"/>
  <c r="A85" i="3" s="1"/>
  <c r="A90" i="2"/>
  <c r="A86" i="3" s="1"/>
  <c r="A91" i="2"/>
  <c r="A87" i="3" s="1"/>
  <c r="A92" i="2"/>
  <c r="A88" i="3" s="1"/>
  <c r="A93" i="2"/>
  <c r="A89" i="3" s="1"/>
  <c r="A94" i="2"/>
  <c r="A90" i="3" s="1"/>
  <c r="A95" i="2"/>
  <c r="A91" i="3" s="1"/>
  <c r="A96" i="2"/>
  <c r="A92" i="3" s="1"/>
  <c r="A97" i="2"/>
  <c r="A93" i="3" s="1"/>
  <c r="A98" i="2"/>
  <c r="A94" i="3" s="1"/>
  <c r="A99" i="2"/>
  <c r="A95" i="3" s="1"/>
  <c r="A100" i="2"/>
  <c r="A96" i="3" s="1"/>
  <c r="A101" i="2"/>
  <c r="A97" i="3" s="1"/>
  <c r="A102" i="2"/>
  <c r="A98" i="3" s="1"/>
  <c r="A103" i="2"/>
  <c r="A99" i="3" s="1"/>
  <c r="A104" i="2"/>
  <c r="A100" i="3" s="1"/>
  <c r="A105" i="2"/>
  <c r="A101" i="3" s="1"/>
  <c r="A106" i="2"/>
  <c r="A102" i="3" s="1"/>
  <c r="A107" i="2"/>
  <c r="A103" i="3" s="1"/>
  <c r="A108" i="2"/>
  <c r="A104" i="3" s="1"/>
  <c r="A109" i="2"/>
  <c r="A105" i="3" s="1"/>
  <c r="A110" i="2"/>
  <c r="A106" i="3" s="1"/>
  <c r="A111" i="2"/>
  <c r="A107" i="3" s="1"/>
  <c r="A112" i="2"/>
  <c r="A108" i="3" s="1"/>
  <c r="A113" i="2"/>
  <c r="A109" i="3" s="1"/>
  <c r="A114" i="2"/>
  <c r="A110" i="3" s="1"/>
  <c r="A115" i="2"/>
  <c r="A111" i="3" s="1"/>
  <c r="A116" i="2"/>
  <c r="A112" i="3" s="1"/>
  <c r="A117" i="2"/>
  <c r="A113" i="3" s="1"/>
  <c r="A118" i="2"/>
  <c r="A114" i="3" s="1"/>
  <c r="A119" i="2"/>
  <c r="A115" i="3" s="1"/>
  <c r="A120" i="2"/>
  <c r="A116" i="3" s="1"/>
  <c r="A121" i="2"/>
  <c r="A117" i="3" s="1"/>
  <c r="A122" i="2"/>
  <c r="A118" i="3" s="1"/>
  <c r="A123" i="2"/>
  <c r="A119" i="3" s="1"/>
  <c r="A124" i="2"/>
  <c r="A120" i="3" s="1"/>
  <c r="A125" i="2"/>
  <c r="A121" i="3" s="1"/>
  <c r="A126" i="2"/>
  <c r="A122" i="3" s="1"/>
  <c r="A127" i="2"/>
  <c r="A123" i="3" s="1"/>
  <c r="A128" i="2"/>
  <c r="A124" i="3" s="1"/>
  <c r="A129" i="2"/>
  <c r="A125" i="3" s="1"/>
  <c r="A130" i="2"/>
  <c r="A126" i="3" s="1"/>
  <c r="A131" i="2"/>
  <c r="A127" i="3" s="1"/>
  <c r="A132" i="2"/>
  <c r="A128" i="3" s="1"/>
  <c r="A133" i="2"/>
  <c r="A129" i="3" s="1"/>
  <c r="A134" i="2"/>
  <c r="A130" i="3" s="1"/>
  <c r="A135" i="2"/>
  <c r="A131" i="3" s="1"/>
  <c r="A136" i="2"/>
  <c r="A132" i="3" s="1"/>
  <c r="A137" i="2"/>
  <c r="A133" i="3" s="1"/>
  <c r="A138" i="2"/>
  <c r="A134" i="3" s="1"/>
  <c r="A139" i="2"/>
  <c r="A135" i="3" s="1"/>
  <c r="A140" i="2"/>
  <c r="A136" i="3" s="1"/>
  <c r="A141" i="2"/>
  <c r="A137" i="3" s="1"/>
  <c r="A142" i="2"/>
  <c r="A138" i="3" s="1"/>
  <c r="A143" i="2"/>
  <c r="A139" i="3" s="1"/>
  <c r="A144" i="2"/>
  <c r="A140" i="3" s="1"/>
  <c r="A145" i="2"/>
  <c r="A141" i="3" s="1"/>
  <c r="A146" i="2"/>
  <c r="A142" i="3" s="1"/>
  <c r="A147" i="2"/>
  <c r="A143" i="3" s="1"/>
  <c r="A148" i="2"/>
  <c r="A144" i="3" s="1"/>
  <c r="A149" i="2"/>
  <c r="A145" i="3" s="1"/>
  <c r="A150" i="2"/>
  <c r="A146" i="3" s="1"/>
  <c r="A151" i="2"/>
  <c r="A147" i="3" s="1"/>
  <c r="A152" i="2"/>
  <c r="A148" i="3" s="1"/>
  <c r="A153" i="2"/>
  <c r="A149" i="3" s="1"/>
  <c r="A154" i="2"/>
  <c r="A150" i="3" s="1"/>
  <c r="A155" i="2"/>
  <c r="A151" i="3" s="1"/>
  <c r="A156" i="2"/>
  <c r="A152" i="3" s="1"/>
  <c r="A157" i="2"/>
  <c r="A153" i="3" s="1"/>
  <c r="A158" i="2"/>
  <c r="A154" i="3" s="1"/>
  <c r="A159" i="2"/>
  <c r="A155" i="3" s="1"/>
  <c r="A160" i="2"/>
  <c r="A156" i="3" s="1"/>
  <c r="A161" i="2"/>
  <c r="A157" i="3" s="1"/>
  <c r="A162" i="2"/>
  <c r="A158" i="3" s="1"/>
  <c r="A163" i="2"/>
  <c r="A159" i="3" s="1"/>
  <c r="A164" i="2"/>
  <c r="A160" i="3" s="1"/>
  <c r="A165" i="2"/>
  <c r="A161" i="3" s="1"/>
  <c r="A166" i="2"/>
  <c r="A162" i="3" s="1"/>
  <c r="A167" i="2"/>
  <c r="A163" i="3" s="1"/>
  <c r="A168" i="2"/>
  <c r="A164" i="3" s="1"/>
  <c r="A169" i="2"/>
  <c r="A165" i="3" s="1"/>
  <c r="A170" i="2"/>
  <c r="A166" i="3" s="1"/>
  <c r="A171" i="2"/>
  <c r="A167" i="3" s="1"/>
  <c r="A172" i="2"/>
  <c r="A168" i="3" s="1"/>
  <c r="A173" i="2"/>
  <c r="A169" i="3" s="1"/>
  <c r="A174" i="2"/>
  <c r="A170" i="3" s="1"/>
  <c r="A175" i="2"/>
  <c r="A171" i="3" s="1"/>
  <c r="A176" i="2"/>
  <c r="A172" i="3" s="1"/>
  <c r="A177" i="2"/>
  <c r="A173" i="3" s="1"/>
  <c r="A178" i="2"/>
  <c r="A174" i="3" s="1"/>
  <c r="A179" i="2"/>
  <c r="A175" i="3" s="1"/>
  <c r="A180" i="2"/>
  <c r="A176" i="3" s="1"/>
  <c r="A181" i="2"/>
  <c r="A177" i="3" s="1"/>
  <c r="A182" i="2"/>
  <c r="A178" i="3" s="1"/>
  <c r="A183" i="2"/>
  <c r="A179" i="3" s="1"/>
  <c r="A184" i="2"/>
  <c r="A180" i="3" s="1"/>
  <c r="A185" i="2"/>
  <c r="A181" i="3" s="1"/>
  <c r="A186" i="2"/>
  <c r="A182" i="3" s="1"/>
  <c r="A187" i="2"/>
  <c r="A183" i="3" s="1"/>
  <c r="A188" i="2"/>
  <c r="A184" i="3" s="1"/>
  <c r="A189" i="2"/>
  <c r="A185" i="3" s="1"/>
  <c r="A190" i="2"/>
  <c r="A186" i="3" s="1"/>
  <c r="A191" i="2"/>
  <c r="A187" i="3" s="1"/>
  <c r="A192" i="2"/>
  <c r="A188" i="3" s="1"/>
  <c r="A193" i="2"/>
  <c r="A189" i="3" s="1"/>
  <c r="C189" i="3" s="1"/>
  <c r="A194" i="2"/>
  <c r="A190" i="3" s="1"/>
  <c r="G190" i="3" s="1"/>
  <c r="A195" i="2"/>
  <c r="A196" i="2"/>
  <c r="A192" i="3" s="1"/>
  <c r="A197" i="2"/>
  <c r="A198" i="2"/>
  <c r="A199" i="2"/>
  <c r="A200" i="2"/>
  <c r="A196" i="3" s="1"/>
  <c r="I196" i="3" s="1"/>
  <c r="A201" i="2"/>
  <c r="A197" i="3" s="1"/>
  <c r="C197" i="3" s="1"/>
  <c r="A202" i="2"/>
  <c r="A203" i="2"/>
  <c r="A204" i="2"/>
  <c r="A200" i="3" s="1"/>
  <c r="I200" i="3" s="1"/>
  <c r="A205" i="2"/>
  <c r="A206" i="2"/>
  <c r="A202" i="3" s="1"/>
  <c r="L202" i="3" s="1"/>
  <c r="A207" i="2"/>
  <c r="A208" i="2"/>
  <c r="A209" i="2"/>
  <c r="A210" i="2"/>
  <c r="A211" i="2"/>
  <c r="A212" i="2"/>
  <c r="A208" i="3" s="1"/>
  <c r="B208" i="3" s="1"/>
  <c r="A213" i="2"/>
  <c r="A214" i="2"/>
  <c r="A210" i="3" s="1"/>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A209" i="3"/>
  <c r="C209" i="3" s="1"/>
  <c r="E208" i="2"/>
  <c r="A204" i="3"/>
  <c r="N204" i="3" s="1"/>
  <c r="B209" i="2"/>
  <c r="A205" i="3"/>
  <c r="C205" i="3" s="1"/>
  <c r="C207" i="2"/>
  <c r="A203" i="3"/>
  <c r="I203" i="3" s="1"/>
  <c r="M205" i="2"/>
  <c r="A201" i="3"/>
  <c r="C201" i="3" s="1"/>
  <c r="Q197" i="2"/>
  <c r="A193" i="3"/>
  <c r="C193" i="3" s="1"/>
  <c r="R211" i="2"/>
  <c r="A207" i="3"/>
  <c r="I207" i="3" s="1"/>
  <c r="E203" i="2"/>
  <c r="A199" i="3"/>
  <c r="D199" i="3" s="1"/>
  <c r="H199" i="2"/>
  <c r="A195" i="3"/>
  <c r="N195" i="3" s="1"/>
  <c r="R195" i="2"/>
  <c r="A191" i="3"/>
  <c r="N191" i="3" s="1"/>
  <c r="C214" i="2"/>
  <c r="L210" i="2"/>
  <c r="A206" i="3"/>
  <c r="P206" i="3" s="1"/>
  <c r="M202" i="2"/>
  <c r="A198" i="3"/>
  <c r="G198" i="3" s="1"/>
  <c r="C198" i="2"/>
  <c r="A194" i="3"/>
  <c r="C194" i="3" s="1"/>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B203" i="3"/>
  <c r="O208" i="3"/>
  <c r="Q203" i="3"/>
  <c r="J200" i="3"/>
  <c r="K200" i="3" s="1"/>
  <c r="F192" i="3"/>
  <c r="C208" i="3"/>
  <c r="J208" i="3"/>
  <c r="C196" i="3"/>
  <c r="B196" i="3"/>
  <c r="N196" i="3"/>
  <c r="C200" i="14"/>
  <c r="B200" i="14"/>
  <c r="F200" i="14"/>
  <c r="C192" i="14"/>
  <c r="B192" i="14"/>
  <c r="F192" i="14"/>
  <c r="D202" i="3"/>
  <c r="P202" i="3"/>
  <c r="L198"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H209" i="7"/>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G209" i="7"/>
  <c r="C209" i="7"/>
  <c r="M208" i="7"/>
  <c r="I208" i="7"/>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O207" i="7"/>
  <c r="D207" i="7"/>
  <c r="E207" i="7"/>
  <c r="I207" i="7"/>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H210" i="7"/>
  <c r="D210" i="7"/>
  <c r="N209" i="7"/>
  <c r="J209" i="7"/>
  <c r="F209" i="7"/>
  <c r="B209" i="7"/>
  <c r="L208" i="7"/>
  <c r="H208" i="7"/>
  <c r="B208" i="7"/>
  <c r="H207" i="7"/>
  <c r="F205" i="7"/>
  <c r="D204" i="7"/>
  <c r="B203" i="7"/>
  <c r="N201" i="7"/>
  <c r="L200" i="7"/>
  <c r="K200" i="12" s="1"/>
  <c r="J199" i="7"/>
  <c r="F197" i="7"/>
  <c r="D196" i="7"/>
  <c r="B195" i="7"/>
  <c r="N193" i="7"/>
  <c r="L192" i="7"/>
  <c r="K192" i="12" s="1"/>
  <c r="J191" i="7"/>
  <c r="Q202" i="3"/>
  <c r="M202" i="3"/>
  <c r="M198"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K209" i="12"/>
  <c r="D209" i="12"/>
  <c r="H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I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H208" i="12"/>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I207" i="12"/>
  <c r="J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J210" i="12"/>
  <c r="C210" i="12"/>
  <c r="G210" i="12"/>
  <c r="K210" i="12"/>
  <c r="D210" i="12"/>
  <c r="H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J213" i="2" s="1"/>
  <c r="K213" i="2" s="1"/>
  <c r="Q212" i="2"/>
  <c r="M211" i="2"/>
  <c r="D211" i="2"/>
  <c r="R209" i="2"/>
  <c r="S208" i="2"/>
  <c r="P206" i="2"/>
  <c r="B206" i="2"/>
  <c r="L205" i="2"/>
  <c r="N205" i="2" s="1"/>
  <c r="O205" i="2" s="1"/>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L4" i="21"/>
  <c r="Q198" i="3" l="1"/>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K209"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H194" i="3" s="1"/>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K206" i="3"/>
  <c r="E204" i="3"/>
  <c r="G188" i="14"/>
  <c r="G204" i="14"/>
  <c r="H192" i="3"/>
  <c r="G195" i="14"/>
  <c r="E196" i="3"/>
  <c r="G192" i="14"/>
  <c r="E200" i="3"/>
  <c r="K199" i="3"/>
  <c r="K202" i="3"/>
  <c r="J208" i="2"/>
  <c r="K208" i="2" s="1"/>
  <c r="G196" i="14"/>
  <c r="G203" i="14"/>
  <c r="G201" i="14"/>
  <c r="E192" i="3"/>
  <c r="E208" i="3"/>
  <c r="K189" i="3"/>
  <c r="K197" i="3"/>
  <c r="H189" i="3"/>
  <c r="H205"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14" i="18"/>
  <c r="K201" i="3" l="1"/>
  <c r="H209" i="3"/>
  <c r="K204" i="3"/>
  <c r="H206" i="3"/>
  <c r="K198" i="3"/>
  <c r="K195" i="3"/>
  <c r="K193" i="3"/>
  <c r="E195" i="3"/>
  <c r="E198" i="3"/>
  <c r="H195" i="3"/>
  <c r="E207" i="3"/>
  <c r="K205" i="3"/>
  <c r="H207" i="3"/>
  <c r="E206" i="3"/>
  <c r="F9" i="18"/>
  <c r="F139" i="18"/>
  <c r="F194" i="18"/>
  <c r="F89" i="18"/>
  <c r="F157" i="18"/>
  <c r="F70" i="18"/>
  <c r="F104" i="18"/>
  <c r="F19" i="18"/>
  <c r="F6" i="18"/>
  <c r="F64" i="18"/>
  <c r="F161" i="18"/>
  <c r="F76" i="18"/>
  <c r="F27" i="18"/>
  <c r="F114" i="18"/>
  <c r="F111" i="18"/>
  <c r="F82" i="18"/>
  <c r="F116" i="18"/>
  <c r="F26" i="18"/>
  <c r="F74" i="18"/>
  <c r="F66" i="18"/>
  <c r="F147" i="18"/>
  <c r="F197" i="18"/>
  <c r="F45" i="18"/>
  <c r="F165" i="18"/>
  <c r="F202" i="18"/>
  <c r="F137" i="18"/>
  <c r="F63" i="18"/>
  <c r="F179" i="18"/>
  <c r="F102" i="18"/>
  <c r="F188" i="18"/>
  <c r="F43" i="18"/>
  <c r="F90" i="18"/>
  <c r="F37" i="18"/>
  <c r="F128" i="18"/>
  <c r="F191" i="18"/>
  <c r="F15" i="18"/>
  <c r="F173" i="18"/>
  <c r="F124" i="18"/>
  <c r="F148" i="18"/>
  <c r="F118" i="18"/>
  <c r="F134" i="18"/>
  <c r="F40" i="18"/>
  <c r="F73" i="18"/>
  <c r="F170" i="18"/>
  <c r="F152" i="18"/>
  <c r="F180" i="18"/>
  <c r="F105" i="18"/>
  <c r="F207" i="18"/>
  <c r="F16" i="18"/>
  <c r="F138" i="18"/>
  <c r="F168" i="18"/>
  <c r="F10" i="18"/>
  <c r="F67" i="18"/>
  <c r="F141" i="18"/>
  <c r="F77" i="18"/>
  <c r="F117" i="18"/>
  <c r="F174" i="18"/>
  <c r="F69" i="18"/>
  <c r="F155" i="18"/>
  <c r="F78" i="18"/>
  <c r="F113" i="18"/>
  <c r="F126" i="18"/>
  <c r="F32" i="18"/>
  <c r="F201" i="18"/>
  <c r="F209" i="18"/>
  <c r="F145" i="18"/>
  <c r="F47" i="18"/>
  <c r="F136" i="18"/>
  <c r="F169" i="18"/>
  <c r="F151" i="18"/>
  <c r="F98" i="18"/>
  <c r="F154" i="18"/>
  <c r="F203" i="18"/>
  <c r="F195" i="18"/>
  <c r="F162" i="18"/>
  <c r="F190" i="18"/>
  <c r="F58" i="18"/>
  <c r="F65" i="18"/>
  <c r="F140" i="18"/>
  <c r="F122" i="18"/>
  <c r="F41" i="18"/>
  <c r="F25" i="18"/>
  <c r="F72" i="18"/>
  <c r="F153" i="18"/>
  <c r="F22" i="18"/>
  <c r="F115" i="18"/>
  <c r="F199" i="18"/>
  <c r="F186" i="18"/>
  <c r="F71" i="18"/>
  <c r="F135" i="18"/>
  <c r="F178" i="18"/>
  <c r="F18" i="18"/>
  <c r="F31" i="18"/>
  <c r="F49" i="18"/>
  <c r="F129" i="18"/>
  <c r="F183" i="18"/>
  <c r="F156" i="18"/>
  <c r="F61" i="18"/>
  <c r="F185" i="18"/>
  <c r="F171" i="18"/>
  <c r="F56" i="18"/>
  <c r="F150" i="18"/>
  <c r="F146" i="18"/>
  <c r="F87" i="18"/>
  <c r="F29" i="18"/>
  <c r="F92" i="18"/>
  <c r="F103" i="18"/>
  <c r="F158" i="18"/>
  <c r="F198" i="18"/>
  <c r="F99" i="18"/>
  <c r="F5" i="18"/>
  <c r="F205" i="18"/>
  <c r="F44" i="18"/>
  <c r="F149" i="18"/>
  <c r="F30" i="18"/>
  <c r="F97" i="18"/>
  <c r="F48" i="18"/>
  <c r="F172" i="18"/>
  <c r="F8" i="18"/>
  <c r="F192" i="18"/>
  <c r="F127" i="18"/>
  <c r="F68" i="18"/>
  <c r="F101" i="18"/>
  <c r="F132" i="18"/>
  <c r="F46" i="18"/>
  <c r="F107" i="18"/>
  <c r="F208" i="18"/>
  <c r="F142" i="18"/>
  <c r="F38" i="18"/>
  <c r="F176" i="18"/>
  <c r="F17" i="18"/>
  <c r="F52" i="18"/>
  <c r="F210" i="18"/>
  <c r="F167" i="18"/>
  <c r="F166" i="18"/>
  <c r="F175" i="18"/>
  <c r="F23" i="18"/>
  <c r="F164" i="18"/>
  <c r="F110" i="18"/>
  <c r="F93" i="18"/>
  <c r="F12" i="18"/>
  <c r="F143" i="18"/>
  <c r="F119" i="18"/>
  <c r="F91" i="18"/>
  <c r="F130" i="18"/>
  <c r="F42" i="18"/>
  <c r="F50" i="18"/>
  <c r="F51" i="18"/>
  <c r="F94" i="18"/>
  <c r="F35" i="18"/>
  <c r="F57" i="18"/>
  <c r="F206" i="18"/>
  <c r="F55" i="18"/>
  <c r="F75" i="18"/>
  <c r="F106" i="18"/>
  <c r="F36" i="18"/>
  <c r="F189" i="18"/>
  <c r="F60" i="18"/>
  <c r="F7" i="18"/>
  <c r="F131" i="18"/>
  <c r="F95" i="18"/>
  <c r="F54" i="18"/>
  <c r="F79" i="18"/>
  <c r="F21" i="18"/>
  <c r="F96" i="18"/>
  <c r="F163" i="18"/>
  <c r="F177" i="18"/>
  <c r="F196" i="18"/>
  <c r="F88" i="18"/>
  <c r="F13" i="18"/>
  <c r="F24" i="18"/>
  <c r="F200" i="18"/>
  <c r="F59" i="18"/>
  <c r="F80" i="18"/>
  <c r="F11" i="18"/>
  <c r="F100" i="18"/>
  <c r="F204" i="18"/>
  <c r="F120" i="18"/>
  <c r="F133" i="18"/>
  <c r="F121" i="18"/>
  <c r="F159" i="18"/>
  <c r="F85" i="18"/>
  <c r="F39" i="18"/>
  <c r="F144" i="18"/>
  <c r="F125" i="18"/>
  <c r="F184" i="18"/>
  <c r="F62" i="18"/>
  <c r="F86" i="18"/>
  <c r="F28" i="18"/>
  <c r="F109" i="18"/>
  <c r="F108" i="18"/>
  <c r="F81" i="18"/>
  <c r="F182" i="18"/>
  <c r="F34" i="18"/>
  <c r="F20" i="18"/>
  <c r="F53" i="18"/>
  <c r="F112" i="18"/>
  <c r="F181" i="18"/>
  <c r="F33" i="18"/>
  <c r="F123" i="18"/>
  <c r="E159"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97" i="18"/>
  <c r="E190" i="18"/>
  <c r="E152" i="18"/>
  <c r="E114" i="18"/>
  <c r="E122" i="18"/>
  <c r="E28" i="18"/>
  <c r="E201" i="18"/>
  <c r="E100" i="18"/>
  <c r="E141" i="18"/>
  <c r="E25" i="18"/>
  <c r="E135" i="18"/>
  <c r="E155" i="18"/>
  <c r="E154" i="18"/>
  <c r="E184" i="18"/>
  <c r="E98" i="18"/>
  <c r="E95" i="18"/>
  <c r="E183" i="18"/>
  <c r="E74" i="18"/>
  <c r="E33" i="18"/>
  <c r="E8" i="18"/>
  <c r="E133" i="18"/>
  <c r="E134" i="18"/>
  <c r="E9" i="18"/>
  <c r="E204" i="18"/>
  <c r="E54" i="18"/>
  <c r="E110" i="18"/>
  <c r="E35" i="18"/>
  <c r="E198" i="18"/>
  <c r="E88" i="18"/>
  <c r="E150" i="18"/>
  <c r="E126" i="18"/>
  <c r="E127" i="18"/>
  <c r="E157" i="18"/>
  <c r="E18" i="18"/>
  <c r="E142" i="18"/>
  <c r="E117" i="18"/>
  <c r="E129" i="18"/>
  <c r="E123" i="18"/>
  <c r="E48" i="18"/>
  <c r="E174" i="18"/>
  <c r="E103" i="18"/>
  <c r="E173" i="18"/>
  <c r="E11" i="18"/>
  <c r="E40" i="18"/>
  <c r="E202" i="18"/>
  <c r="E73" i="18"/>
  <c r="E170" i="18"/>
  <c r="E145" i="18"/>
  <c r="E180" i="18"/>
  <c r="E85" i="18"/>
  <c r="E44" i="18"/>
  <c r="E200" i="18"/>
  <c r="E146" i="18"/>
  <c r="E92" i="18"/>
  <c r="E72" i="18"/>
  <c r="E205" i="18"/>
  <c r="E5" i="18"/>
  <c r="E177" i="18"/>
  <c r="E102" i="18"/>
  <c r="E167" i="18"/>
  <c r="E153" i="18"/>
  <c r="E120" i="18"/>
  <c r="E199" i="18"/>
  <c r="E41" i="18"/>
  <c r="E182" i="18"/>
  <c r="E143" i="18"/>
  <c r="E168" i="18"/>
  <c r="E67" i="18"/>
  <c r="E164" i="18"/>
  <c r="E63" i="18"/>
  <c r="E206" i="18"/>
  <c r="E59" i="18"/>
  <c r="E70" i="18"/>
  <c r="E144" i="18"/>
  <c r="E39" i="18"/>
  <c r="E66" i="18"/>
  <c r="E158" i="18"/>
  <c r="E58" i="18"/>
  <c r="E32" i="18"/>
  <c r="E37" i="18"/>
  <c r="E20" i="18"/>
  <c r="E77" i="18"/>
  <c r="E61" i="18"/>
  <c r="E64" i="18"/>
  <c r="E137" i="18"/>
  <c r="E172" i="18"/>
  <c r="E90" i="18"/>
  <c r="E15" i="18"/>
  <c r="E75" i="18"/>
  <c r="E56" i="18"/>
  <c r="E209" i="18"/>
  <c r="E186" i="18"/>
  <c r="E181" i="18"/>
  <c r="E169" i="18"/>
  <c r="E69" i="18"/>
  <c r="E52" i="18"/>
  <c r="E185" i="18"/>
  <c r="E210" i="18"/>
  <c r="E86" i="18"/>
  <c r="E43" i="18"/>
  <c r="E191" i="18"/>
  <c r="E178" i="18"/>
  <c r="E194" i="18"/>
  <c r="E189" i="18"/>
  <c r="E208" i="18"/>
  <c r="E47" i="18"/>
  <c r="E163" i="18"/>
  <c r="E128" i="18"/>
  <c r="E79" i="18"/>
  <c r="E116" i="18"/>
  <c r="E105" i="18"/>
  <c r="E30" i="18"/>
  <c r="E136" i="18"/>
  <c r="E71" i="18"/>
  <c r="E7" i="18"/>
  <c r="E97" i="18"/>
  <c r="E89" i="18"/>
  <c r="E121" i="18"/>
  <c r="E151" i="18"/>
  <c r="E165" i="18"/>
  <c r="E108" i="18"/>
  <c r="E49" i="18"/>
  <c r="E46" i="18"/>
  <c r="E76" i="18"/>
  <c r="E55" i="18"/>
  <c r="E99" i="18"/>
  <c r="E34" i="18"/>
  <c r="E87" i="18"/>
  <c r="E131" i="18"/>
  <c r="E65" i="18"/>
  <c r="E68" i="18"/>
  <c r="E115" i="18"/>
  <c r="E160" i="18"/>
  <c r="F160" i="18"/>
  <c r="E31" i="18"/>
  <c r="E139" i="18"/>
  <c r="E192" i="18"/>
  <c r="E195" i="18"/>
  <c r="E53" i="18"/>
  <c r="E161" i="18"/>
  <c r="E203" i="18"/>
  <c r="E17" i="18"/>
  <c r="E93" i="18"/>
  <c r="E50" i="18"/>
  <c r="E107" i="18"/>
  <c r="E38" i="18"/>
  <c r="E130" i="18"/>
  <c r="E113" i="18"/>
  <c r="E78" i="18"/>
  <c r="E176" i="18"/>
  <c r="E94" i="18"/>
  <c r="E156" i="18"/>
  <c r="E140" i="18"/>
  <c r="E23" i="18"/>
  <c r="E166" i="18"/>
  <c r="E175" i="18"/>
  <c r="E162" i="18"/>
  <c r="E29" i="18"/>
  <c r="E179" i="18"/>
  <c r="E106" i="18"/>
  <c r="E26" i="18"/>
  <c r="E81" i="18"/>
  <c r="E196" i="18"/>
  <c r="E51" i="18"/>
  <c r="E16" i="18"/>
  <c r="E112" i="18"/>
  <c r="E118" i="18"/>
  <c r="E60" i="18"/>
  <c r="E12" i="18"/>
  <c r="E82" i="18"/>
  <c r="E171" i="18"/>
  <c r="E148" i="18"/>
  <c r="E91" i="18"/>
  <c r="E6" i="18"/>
  <c r="E104" i="18"/>
  <c r="E147" i="18"/>
  <c r="E119" i="18"/>
  <c r="E188" i="18"/>
  <c r="E27" i="18"/>
  <c r="E42" i="18"/>
  <c r="E124" i="18"/>
  <c r="E19" i="18"/>
  <c r="E96" i="18"/>
  <c r="E10" i="18"/>
  <c r="E21" i="18"/>
  <c r="E101" i="18"/>
  <c r="E22" i="18"/>
  <c r="E80" i="18"/>
  <c r="E62" i="18"/>
  <c r="E36" i="18"/>
  <c r="E207" i="18"/>
  <c r="E125"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3" i="21" s="1"/>
  <c r="I149" i="2"/>
  <c r="I150" i="2"/>
  <c r="I151" i="2"/>
  <c r="Q152" i="2"/>
  <c r="C154" i="2"/>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43" i="2"/>
  <c r="C244" i="2"/>
  <c r="D244" i="2"/>
  <c r="F244" i="2"/>
  <c r="G244" i="2"/>
  <c r="C245" i="2"/>
  <c r="D245" i="2"/>
  <c r="F245" i="2"/>
  <c r="G245" i="2"/>
  <c r="C246" i="2"/>
  <c r="D246" i="2"/>
  <c r="F246" i="2"/>
  <c r="G246" i="2"/>
  <c r="C247" i="2"/>
  <c r="D247" i="2"/>
  <c r="F247" i="2"/>
  <c r="G247"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243" i="2"/>
  <c r="F243"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46" i="2"/>
  <c r="O32" i="3"/>
  <c r="N69" i="3"/>
  <c r="O93" i="5"/>
  <c r="L145" i="10"/>
  <c r="I33" i="10"/>
  <c r="I18" i="8"/>
  <c r="C84" i="14"/>
  <c r="O73" i="5"/>
  <c r="F167" i="12"/>
  <c r="F161" i="14"/>
  <c r="M167" i="6"/>
  <c r="K132" i="10"/>
  <c r="M109" i="6"/>
  <c r="H247"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45"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E68" i="5" s="1"/>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E93" i="5" s="1"/>
  <c r="Q92" i="3"/>
  <c r="G92" i="3"/>
  <c r="E92" i="5" s="1"/>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L75" i="5" s="1"/>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6" i="2"/>
  <c r="F248" i="2"/>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E116" i="5" s="1"/>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3" i="21" s="1"/>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G59" i="6"/>
  <c r="L55" i="6"/>
  <c r="H55" i="6"/>
  <c r="D55" i="6"/>
  <c r="D51" i="6"/>
  <c r="H51" i="6"/>
  <c r="P51" i="12" s="1"/>
  <c r="L51" i="6"/>
  <c r="O51" i="12" s="1"/>
  <c r="C50" i="6"/>
  <c r="L50" i="5" s="1"/>
  <c r="N50" i="6"/>
  <c r="L48" i="6"/>
  <c r="O48" i="12" s="1"/>
  <c r="M47" i="6"/>
  <c r="H47" i="6"/>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4" i="2"/>
  <c r="G248"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8" i="2"/>
  <c r="H244" i="2"/>
  <c r="B192" i="2"/>
  <c r="R192" i="2"/>
  <c r="D192" i="2"/>
  <c r="H192" i="2"/>
  <c r="L192" i="2"/>
  <c r="P192" i="2"/>
  <c r="E247"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L150" i="2"/>
  <c r="P150" i="2"/>
  <c r="B150" i="2"/>
  <c r="M150" i="2"/>
  <c r="R150" i="2"/>
  <c r="E150" i="2"/>
  <c r="Q148" i="2"/>
  <c r="Q146" i="2"/>
  <c r="B144" i="2"/>
  <c r="R144" i="2"/>
  <c r="E3" i="21" s="1"/>
  <c r="E144" i="2"/>
  <c r="G144" i="2" s="1"/>
  <c r="P144" i="2"/>
  <c r="D3" i="21" s="1"/>
  <c r="C144" i="2"/>
  <c r="F144" i="2" s="1"/>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J4" i="21" s="1"/>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5" i="2"/>
  <c r="L164" i="2"/>
  <c r="D162" i="2"/>
  <c r="H162" i="2"/>
  <c r="L162" i="2"/>
  <c r="P162" i="2"/>
  <c r="E162" i="2"/>
  <c r="B162" i="2"/>
  <c r="M162" i="2"/>
  <c r="R162" i="2"/>
  <c r="L156" i="2"/>
  <c r="D154" i="2"/>
  <c r="H154" i="2"/>
  <c r="L154" i="2"/>
  <c r="P154" i="2"/>
  <c r="E154" i="2"/>
  <c r="B154" i="2"/>
  <c r="M154" i="2"/>
  <c r="R154" i="2"/>
  <c r="B148" i="2"/>
  <c r="R148" i="2"/>
  <c r="C148" i="2"/>
  <c r="H3" i="21" s="1"/>
  <c r="K3" i="21" s="1"/>
  <c r="H148" i="2"/>
  <c r="B3" i="21" s="1"/>
  <c r="M148" i="2"/>
  <c r="S148" i="2"/>
  <c r="E148" i="2"/>
  <c r="J3" i="21" s="1"/>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B6" i="28" s="1"/>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J57" i="2" s="1"/>
  <c r="K57" i="2" s="1"/>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8"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E13" i="5"/>
  <c r="F13" i="5" s="1"/>
  <c r="G13"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E87" i="3" s="1"/>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O65"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27" i="12"/>
  <c r="R127" i="12"/>
  <c r="P119"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O89" i="6"/>
  <c r="K89" i="6"/>
  <c r="N89" i="12" s="1"/>
  <c r="G89" i="6"/>
  <c r="C89" i="6"/>
  <c r="L89" i="5" s="1"/>
  <c r="O85" i="6"/>
  <c r="K85" i="6"/>
  <c r="N85" i="12" s="1"/>
  <c r="G85" i="6"/>
  <c r="C85" i="6"/>
  <c r="L85" i="5" s="1"/>
  <c r="P83" i="12"/>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P47" i="12"/>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N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K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R12" i="12"/>
  <c r="D12" i="12"/>
  <c r="B8" i="12"/>
  <c r="F8" i="12"/>
  <c r="D8" i="12"/>
  <c r="O35" i="12"/>
  <c r="G35" i="12"/>
  <c r="G31" i="12"/>
  <c r="S27"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G184" i="14" s="1"/>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F3" i="21" s="1"/>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G3" i="21" s="1"/>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E140" i="5" l="1"/>
  <c r="G143" i="14"/>
  <c r="F147" i="2"/>
  <c r="G147" i="2"/>
  <c r="G148" i="2"/>
  <c r="F148" i="2"/>
  <c r="E162" i="5"/>
  <c r="L118" i="5"/>
  <c r="E157" i="5"/>
  <c r="E151" i="5"/>
  <c r="E145" i="5"/>
  <c r="G125" i="14"/>
  <c r="P107" i="5"/>
  <c r="P137" i="5"/>
  <c r="J13" i="2"/>
  <c r="K13" i="2" s="1"/>
  <c r="E101" i="5"/>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27" i="11"/>
  <c r="E228" i="11" s="1"/>
  <c r="J227" i="11"/>
  <c r="H227" i="11"/>
  <c r="H228" i="11" s="1"/>
  <c r="N120" i="2"/>
  <c r="O120" i="2" s="1"/>
  <c r="D227" i="11"/>
  <c r="G227" i="11"/>
  <c r="I228" i="2"/>
  <c r="H228" i="2"/>
  <c r="K227" i="11"/>
  <c r="K228" i="11" s="1"/>
  <c r="M227" i="11"/>
  <c r="N227" i="11"/>
  <c r="N228" i="11" s="1"/>
  <c r="I60" i="8"/>
  <c r="F60" i="8"/>
  <c r="F61" i="8" s="1"/>
  <c r="C8" i="28"/>
  <c r="E50" i="5"/>
  <c r="E60" i="8"/>
  <c r="E61" i="8" s="1"/>
  <c r="E64" i="5"/>
  <c r="H60" i="8"/>
  <c r="H13" i="3"/>
  <c r="H36" i="3"/>
  <c r="E7" i="5"/>
  <c r="F7" i="5" s="1"/>
  <c r="G7" i="5" s="1"/>
  <c r="G231" i="3"/>
  <c r="G232" i="3" s="1"/>
  <c r="E81" i="5"/>
  <c r="E84" i="5"/>
  <c r="E21" i="5"/>
  <c r="F21" i="5" s="1"/>
  <c r="G21" i="5" s="1"/>
  <c r="E51" i="5"/>
  <c r="F51" i="5" s="1"/>
  <c r="G51" i="5" s="1"/>
  <c r="E76" i="5"/>
  <c r="F76" i="5" s="1"/>
  <c r="G76" i="5" s="1"/>
  <c r="I231" i="3"/>
  <c r="J231" i="3"/>
  <c r="J232" i="3" s="1"/>
  <c r="E132" i="5"/>
  <c r="F132" i="5" s="1"/>
  <c r="G132" i="5" s="1"/>
  <c r="H43" i="3"/>
  <c r="F231" i="3"/>
  <c r="E149" i="5"/>
  <c r="E19" i="5"/>
  <c r="F19" i="5" s="1"/>
  <c r="G19" i="5" s="1"/>
  <c r="E227" i="6"/>
  <c r="C227" i="6"/>
  <c r="S7" i="12"/>
  <c r="L227" i="6"/>
  <c r="M7" i="12"/>
  <c r="I227" i="6"/>
  <c r="L7" i="12"/>
  <c r="H227" i="6"/>
  <c r="F227" i="6"/>
  <c r="G227" i="6" s="1"/>
  <c r="N227" i="6"/>
  <c r="B227" i="6"/>
  <c r="K227"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M64" i="5"/>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M22"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I96" i="12" s="1"/>
  <c r="O88" i="7"/>
  <c r="H134" i="7"/>
  <c r="G35" i="7"/>
  <c r="E28" i="3"/>
  <c r="D33" i="7"/>
  <c r="L104" i="12"/>
  <c r="R24" i="12"/>
  <c r="N156" i="12"/>
  <c r="L135" i="12"/>
  <c r="I90" i="7"/>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36" i="2"/>
  <c r="L10" i="7"/>
  <c r="K10" i="12" s="1"/>
  <c r="M56" i="5"/>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5"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C4" i="21" s="1"/>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M67" i="5"/>
  <c r="I38" i="7"/>
  <c r="I38" i="12" s="1"/>
  <c r="L65" i="7"/>
  <c r="K65" i="12" s="1"/>
  <c r="O164" i="7"/>
  <c r="H38" i="7"/>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6"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F123" i="5"/>
  <c r="G123" i="5" s="1"/>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37"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M118" i="5"/>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I47" i="12" s="1"/>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34"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5"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35" i="2"/>
  <c r="L179" i="12"/>
  <c r="S170" i="12"/>
  <c r="L161" i="5"/>
  <c r="M161" i="5" s="1"/>
  <c r="J112" i="12"/>
  <c r="P95" i="5"/>
  <c r="F166" i="5"/>
  <c r="G166" i="5" s="1"/>
  <c r="E102" i="5"/>
  <c r="F102" i="5" s="1"/>
  <c r="G102" i="5" s="1"/>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35"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6" i="2"/>
  <c r="O164" i="12"/>
  <c r="N171" i="12"/>
  <c r="L176" i="12"/>
  <c r="L185" i="12"/>
  <c r="B234"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6"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34"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4"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7"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J98"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H155" i="12" s="1"/>
  <c r="F157" i="5"/>
  <c r="G157" i="5" s="1"/>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F162" i="5"/>
  <c r="G162" i="5" s="1"/>
  <c r="E11" i="3"/>
  <c r="F97" i="2"/>
  <c r="N153" i="2"/>
  <c r="O153" i="2" s="1"/>
  <c r="N177" i="2"/>
  <c r="O177" i="2" s="1"/>
  <c r="N145" i="12"/>
  <c r="N113" i="12"/>
  <c r="F92" i="5"/>
  <c r="G92" i="5" s="1"/>
  <c r="J80" i="2"/>
  <c r="K80" i="2" s="1"/>
  <c r="G91" i="14"/>
  <c r="N133" i="12"/>
  <c r="G144" i="14"/>
  <c r="P34" i="12"/>
  <c r="S133" i="12"/>
  <c r="S165" i="12"/>
  <c r="M163" i="12"/>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K103" i="3"/>
  <c r="E62" i="5"/>
  <c r="F62" i="5" s="1"/>
  <c r="E22" i="3"/>
  <c r="E86" i="3"/>
  <c r="E110" i="5"/>
  <c r="F110" i="5" s="1"/>
  <c r="G110" i="5" s="1"/>
  <c r="H148" i="3"/>
  <c r="E248" i="2"/>
  <c r="J14" i="2"/>
  <c r="K14" i="2" s="1"/>
  <c r="N58" i="2"/>
  <c r="O58" i="2" s="1"/>
  <c r="F100" i="2"/>
  <c r="G127" i="14"/>
  <c r="F140" i="5"/>
  <c r="G140" i="5" s="1"/>
  <c r="P18" i="12"/>
  <c r="M120" i="12"/>
  <c r="L82" i="12"/>
  <c r="F103" i="5"/>
  <c r="G103" i="5" s="1"/>
  <c r="F145" i="5"/>
  <c r="G145" i="5" s="1"/>
  <c r="J160" i="5"/>
  <c r="G171" i="14"/>
  <c r="P50" i="12"/>
  <c r="M123" i="12"/>
  <c r="L74" i="12"/>
  <c r="R40" i="12"/>
  <c r="M132" i="5"/>
  <c r="H21" i="3"/>
  <c r="H79" i="3"/>
  <c r="H130" i="3"/>
  <c r="E169" i="3"/>
  <c r="H248"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O227" i="6"/>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8"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D18" i="28" s="1"/>
  <c r="J124" i="7"/>
  <c r="O124" i="7"/>
  <c r="K136" i="12"/>
  <c r="J129" i="12"/>
  <c r="I112" i="12"/>
  <c r="K131" i="12"/>
  <c r="K135" i="12"/>
  <c r="I135" i="12"/>
  <c r="I119" i="12"/>
  <c r="H57" i="12"/>
  <c r="J23" i="12"/>
  <c r="J7" i="12"/>
  <c r="H38" i="12"/>
  <c r="J25" i="12"/>
  <c r="J53" i="12"/>
  <c r="J37" i="12"/>
  <c r="H21" i="12"/>
  <c r="J41" i="12"/>
  <c r="H37" i="12"/>
  <c r="I20" i="12"/>
  <c r="I12" i="12"/>
  <c r="I45" i="12"/>
  <c r="I29" i="12"/>
  <c r="I23" i="12"/>
  <c r="I15"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8"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54"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I118" i="12"/>
  <c r="J138" i="12"/>
  <c r="K127" i="12"/>
  <c r="J122" i="12"/>
  <c r="I138" i="12"/>
  <c r="I129" i="12"/>
  <c r="H113" i="12"/>
  <c r="H127" i="12"/>
  <c r="K114" i="12"/>
  <c r="I127" i="12"/>
  <c r="H47" i="12"/>
  <c r="I113" i="12"/>
  <c r="K46" i="12"/>
  <c r="I54" i="12"/>
  <c r="J45" i="12"/>
  <c r="J27" i="12"/>
  <c r="J19" i="12"/>
  <c r="I42" i="12"/>
  <c r="J29" i="12"/>
  <c r="J13" i="12"/>
  <c r="K41" i="12"/>
  <c r="H29" i="12"/>
  <c r="K45" i="12"/>
  <c r="I8" i="12"/>
  <c r="I21" i="12"/>
  <c r="I35"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B16" i="28" l="1"/>
  <c r="C16" i="28"/>
  <c r="B15" i="28"/>
  <c r="I163" i="12"/>
  <c r="D8" i="28"/>
  <c r="J228" i="2"/>
  <c r="K228" i="2" s="1"/>
  <c r="D227" i="6" s="1"/>
  <c r="F229" i="7"/>
  <c r="F230" i="7" s="1"/>
  <c r="C240" i="7" s="1"/>
  <c r="E229" i="7"/>
  <c r="E230" i="7" s="1"/>
  <c r="B240" i="7" s="1"/>
  <c r="N229" i="7"/>
  <c r="N241" i="12"/>
  <c r="N242" i="12" s="1"/>
  <c r="J60" i="8"/>
  <c r="C69" i="8" s="1"/>
  <c r="H229" i="7"/>
  <c r="H230" i="7" s="1"/>
  <c r="B241" i="7" s="1"/>
  <c r="O241" i="12"/>
  <c r="O242" i="12" s="1"/>
  <c r="L241" i="12"/>
  <c r="L242" i="12" s="1"/>
  <c r="L229" i="7"/>
  <c r="C229" i="7"/>
  <c r="C230" i="7" s="1"/>
  <c r="I229" i="7"/>
  <c r="M241" i="12"/>
  <c r="M242" i="12" s="1"/>
  <c r="K229" i="7"/>
  <c r="K230" i="7" s="1"/>
  <c r="B242" i="7" s="1"/>
  <c r="H61" i="8"/>
  <c r="A69" i="8"/>
  <c r="M227" i="6"/>
  <c r="B229" i="7"/>
  <c r="B230"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7" i="2"/>
  <c r="D237"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28" i="2"/>
  <c r="O228" i="2" s="1"/>
  <c r="O229" i="7"/>
  <c r="O230" i="7" s="1"/>
  <c r="I230" i="7"/>
  <c r="C241" i="7" s="1"/>
  <c r="G58" i="5"/>
  <c r="F191" i="5"/>
  <c r="C235" i="6"/>
  <c r="J227" i="6"/>
  <c r="D228" i="11"/>
  <c r="F228" i="11" s="1"/>
  <c r="F227" i="11"/>
  <c r="N192" i="5"/>
  <c r="P192" i="5" s="1"/>
  <c r="P191" i="5"/>
  <c r="C234" i="6"/>
  <c r="G61" i="8"/>
  <c r="H6" i="6"/>
  <c r="K6" i="6"/>
  <c r="I32" i="12"/>
  <c r="M228" i="11"/>
  <c r="O228" i="11" s="1"/>
  <c r="O227" i="11"/>
  <c r="H231" i="3"/>
  <c r="F232" i="3"/>
  <c r="H232" i="3" s="1"/>
  <c r="B234" i="6"/>
  <c r="G234" i="2"/>
  <c r="C236" i="6"/>
  <c r="G60" i="8"/>
  <c r="B69" i="8"/>
  <c r="I61" i="8"/>
  <c r="K231" i="3"/>
  <c r="I232" i="3"/>
  <c r="K232" i="3" s="1"/>
  <c r="J191" i="5"/>
  <c r="I192" i="5"/>
  <c r="J192" i="5" s="1"/>
  <c r="B6" i="8"/>
  <c r="K6" i="7"/>
  <c r="E6" i="7"/>
  <c r="H6" i="7"/>
  <c r="B235" i="6"/>
  <c r="G235" i="2"/>
  <c r="F235" i="2" s="1"/>
  <c r="I227" i="11"/>
  <c r="G228" i="11"/>
  <c r="I228" i="11" s="1"/>
  <c r="L227" i="11"/>
  <c r="J228" i="11"/>
  <c r="L228" i="11" s="1"/>
  <c r="B236" i="6"/>
  <c r="G236" i="2"/>
  <c r="F236" i="2" s="1"/>
  <c r="D229" i="7" l="1"/>
  <c r="D230" i="7" s="1"/>
  <c r="I241" i="12"/>
  <c r="I242" i="12" s="1"/>
  <c r="J241" i="12"/>
  <c r="J242" i="12" s="1"/>
  <c r="H241" i="12"/>
  <c r="H242" i="12" s="1"/>
  <c r="K241" i="12"/>
  <c r="K242" i="12" s="1"/>
  <c r="J61" i="8"/>
  <c r="M191" i="5"/>
  <c r="N230" i="7"/>
  <c r="B243" i="7"/>
  <c r="G229" i="7"/>
  <c r="G230" i="7" s="1"/>
  <c r="B6" i="10"/>
  <c r="C6" i="8"/>
  <c r="E6" i="8"/>
  <c r="H6" i="8" s="1"/>
  <c r="G237" i="2"/>
  <c r="F234" i="2"/>
  <c r="F237" i="2" s="1"/>
  <c r="D240" i="7"/>
  <c r="J229" i="7"/>
  <c r="J230" i="7" s="1"/>
  <c r="G191" i="5"/>
  <c r="F192" i="5"/>
  <c r="G192" i="5" s="1"/>
  <c r="M229" i="7"/>
  <c r="M230" i="7" s="1"/>
  <c r="L230" i="7"/>
  <c r="C242" i="7" s="1"/>
  <c r="D242" i="7" s="1"/>
  <c r="H236" i="2" s="1"/>
  <c r="D234" i="6"/>
  <c r="H234" i="2" s="1"/>
  <c r="C237" i="6"/>
  <c r="D236" i="6"/>
  <c r="B237" i="6"/>
  <c r="D235" i="6"/>
  <c r="H235" i="2" s="1"/>
  <c r="D241" i="7"/>
  <c r="C243" i="7" l="1"/>
  <c r="D243" i="7" s="1"/>
  <c r="D237" i="6"/>
  <c r="H237"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<sst xmlns="http://schemas.openxmlformats.org/spreadsheetml/2006/main" count="3443" uniqueCount="696">
  <si>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</si>
  <si>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</si>
  <si>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</si>
  <si>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</si>
  <si>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</si>
  <si>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</si>
  <si>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</si>
  <si>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</si>
  <si>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</si>
  <si>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</si>
  <si>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</si>
  <si>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</si>
  <si>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</si>
  <si>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</si>
  <si>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</si>
  <si>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</si>
  <si>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</si>
  <si>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</si>
  <si>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</si>
  <si>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</si>
  <si>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</si>
  <si>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</si>
  <si>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</si>
  <si>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</si>
  <si>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</si>
  <si>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</si>
  <si>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</si>
  <si>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</si>
  <si>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</si>
  <si>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</si>
  <si>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</si>
  <si>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</si>
  <si>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</si>
  <si>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</si>
  <si>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</si>
  <si>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</si>
  <si>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</si>
  <si>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</si>
  <si>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</si>
  <si>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</si>
  <si>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</si>
  <si>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</si>
  <si>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</si>
  <si>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</si>
  <si>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</si>
  <si>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</si>
  <si>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</si>
  <si>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</si>
  <si>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</si>
  <si>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</si>
  <si>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</si>
  <si>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</si>
  <si>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</si>
  <si>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</si>
  <si>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</si>
  <si>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</si>
  <si>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</si>
  <si>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</si>
  <si>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</si>
  <si>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</si>
  <si>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</si>
  <si>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</si>
  <si>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</si>
  <si>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</si>
  <si>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</si>
  <si>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</si>
  <si>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</si>
  <si>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</si>
  <si>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</si>
  <si>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</si>
  <si>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</si>
  <si>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</si>
  <si>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</si>
  <si>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</si>
  <si>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</si>
  <si>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</si>
  <si>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</si>
  <si>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</si>
  <si>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</si>
  <si>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</si>
  <si>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</si>
  <si>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</si>
  <si>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</si>
  <si>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</si>
  <si>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</si>
  <si>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</si>
  <si>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</si>
  <si>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</si>
  <si>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</si>
  <si>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</si>
  <si>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</si>
  <si>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</si>
  <si>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</si>
  <si>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</si>
  <si>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</si>
  <si>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</si>
  <si>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</si>
  <si>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</si>
  <si>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</si>
  <si>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</si>
  <si>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</si>
  <si>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</si>
  <si>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</si>
  <si>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</si>
  <si>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</si>
  <si>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</si>
  <si>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</si>
  <si>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</si>
  <si>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</si>
  <si>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</si>
  <si>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</si>
  <si>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</si>
  <si>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</si>
  <si>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</si>
  <si>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</si>
  <si>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</si>
  <si>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</si>
  <si>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</si>
  <si>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</si>
  <si>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</si>
  <si>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</si>
  <si>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</si>
  <si>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</si>
  <si>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</si>
  <si>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</si>
  <si>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</si>
  <si>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</si>
  <si>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</si>
  <si>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</si>
  <si>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</si>
  <si>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</si>
  <si>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</si>
  <si>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</si>
  <si>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</si>
  <si>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</si>
  <si>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</si>
  <si>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</si>
  <si>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</si>
  <si>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</si>
  <si>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</si>
  <si>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</si>
  <si>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</si>
  <si>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</si>
  <si>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</si>
  <si>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</si>
  <si>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</si>
  <si>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</si>
  <si>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</si>
  <si>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</si>
  <si>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</si>
  <si>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</si>
  <si>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</si>
  <si>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</si>
  <si>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</si>
  <si>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</si>
  <si>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</si>
  <si>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</si>
  <si>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</si>
  <si>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</si>
  <si>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</si>
  <si>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</si>
  <si>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</si>
  <si>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</si>
  <si>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</si>
  <si>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</si>
  <si>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</si>
  <si>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</si>
  <si>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</si>
  <si>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</si>
  <si>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</si>
  <si>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</si>
  <si>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</si>
  <si>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</si>
  <si>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</si>
  <si>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</si>
  <si>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</si>
  <si>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</si>
  <si>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</si>
  <si>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</si>
  <si>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</si>
  <si>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</si>
  <si>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</si>
  <si>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</si>
  <si>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</si>
  <si>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</si>
  <si>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</si>
  <si>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</si>
  <si>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</si>
  <si>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</si>
  <si>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</si>
  <si>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</si>
  <si>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</si>
  <si>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</si>
  <si>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</si>
  <si>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</si>
  <si>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</si>
  <si>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</si>
  <si>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</si>
  <si>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</si>
  <si>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</si>
  <si>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</si>
  <si>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</si>
  <si>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</si>
  <si>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</si>
  <si>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</si>
  <si>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</si>
  <si>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</si>
  <si>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</si>
  <si>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</si>
  <si>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</si>
  <si>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</si>
  <si>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</si>
  <si>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</si>
  <si>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</si>
  <si>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</si>
  <si>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</si>
  <si>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</si>
  <si>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</si>
  <si>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</si>
  <si>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</si>
  <si>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</si>
  <si>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</si>
  <si>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</si>
  <si>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</si>
  <si>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</si>
  <si>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</si>
  <si>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</si>
  <si>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</si>
  <si>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</si>
  <si>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</si>
  <si>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</si>
  <si>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</si>
  <si>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</si>
  <si>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</si>
  <si>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</si>
  <si>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</si>
  <si>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</si>
  <si>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</si>
  <si>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</si>
  <si>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</si>
  <si>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</si>
  <si>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</si>
  <si>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</si>
  <si>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</si>
  <si>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</si>
  <si>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</si>
  <si>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</si>
  <si>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</si>
  <si>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</si>
  <si>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</si>
  <si>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</si>
  <si>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</si>
  <si>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</si>
  <si>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</si>
  <si>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</si>
  <si>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</si>
  <si>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</si>
  <si>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</si>
  <si>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</si>
  <si>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</si>
  <si>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</si>
  <si>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</si>
  <si>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</si>
  <si>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</si>
  <si>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</si>
  <si>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</si>
  <si>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</si>
  <si>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</si>
  <si>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</si>
  <si>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</si>
  <si>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</si>
  <si>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</si>
  <si>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</si>
  <si>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</si>
  <si>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</si>
  <si>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</si>
  <si>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</si>
  <si>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</si>
  <si>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</si>
  <si>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</si>
  <si>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</si>
  <si>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</si>
  <si>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</si>
  <si>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</si>
  <si>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</si>
  <si>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</si>
  <si>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</si>
  <si>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</si>
  <si>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</si>
  <si>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</si>
  <si>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</si>
  <si>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</si>
  <si>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</si>
  <si>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</si>
  <si>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</si>
  <si>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</si>
  <si>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</si>
  <si>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</si>
  <si>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</si>
  <si>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</si>
  <si>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</si>
  <si>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</si>
  <si>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</si>
  <si>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</si>
  <si>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</si>
  <si>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</si>
  <si>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</si>
  <si>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</si>
  <si>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</si>
  <si>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</si>
  <si>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</si>
  <si>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</si>
  <si>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</si>
  <si>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</si>
  <si>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</si>
  <si>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</si>
  <si>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</si>
  <si>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</si>
  <si>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</si>
  <si>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</si>
  <si>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</si>
  <si>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</si>
  <si>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</si>
  <si>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</si>
  <si>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</si>
  <si>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</si>
  <si>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</si>
  <si>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</si>
  <si>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</si>
  <si>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</si>
  <si>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</si>
  <si>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</si>
  <si>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</si>
  <si>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</si>
  <si>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</si>
  <si>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</si>
  <si>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</si>
  <si>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</si>
  <si>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</si>
  <si>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</si>
  <si>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</si>
  <si>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</si>
  <si>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</si>
  <si>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</si>
  <si>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</si>
  <si>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</si>
  <si>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</si>
  <si>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</si>
  <si>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</si>
  <si>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</si>
  <si>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</si>
  <si>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</si>
  <si>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</si>
  <si>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</si>
  <si>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</si>
  <si>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</si>
  <si>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</si>
  <si>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</si>
  <si>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</si>
  <si>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</si>
  <si>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</si>
  <si>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</si>
  <si>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</si>
  <si>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</si>
  <si>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</si>
  <si>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</si>
  <si>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</si>
  <si>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</si>
  <si>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</si>
  <si>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</si>
  <si>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</si>
  <si>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</si>
  <si>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</si>
  <si>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</si>
  <si>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</si>
  <si>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</si>
  <si>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</si>
  <si>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</si>
  <si>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</si>
  <si>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</si>
  <si>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</si>
  <si>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</si>
  <si>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</si>
  <si>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</si>
  <si>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</si>
  <si>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</si>
  <si>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</si>
  <si>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</si>
  <si>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</si>
  <si>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</si>
  <si>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</si>
  <si>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</si>
  <si>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</si>
  <si>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</si>
  <si>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</si>
  <si>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</si>
  <si>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</si>
  <si>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</si>
  <si>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</si>
  <si>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</si>
  <si>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</si>
  <si>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</si>
  <si>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</si>
  <si>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</si>
  <si>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</si>
  <si>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</si>
  <si>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</si>
  <si>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</si>
  <si>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</si>
  <si>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</si>
  <si>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</si>
  <si>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</si>
  <si>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</si>
  <si>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</si>
  <si>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</si>
  <si>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</si>
  <si>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</si>
  <si>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</si>
  <si>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</si>
  <si>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</si>
  <si>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</si>
  <si>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</si>
  <si>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</si>
  <si>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</si>
  <si>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</si>
  <si>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</si>
  <si>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</si>
  <si>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</si>
  <si>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</si>
  <si>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</si>
  <si>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</si>
  <si>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</si>
  <si>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</si>
  <si>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</si>
  <si>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</si>
  <si>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</si>
  <si>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</si>
  <si>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</si>
  <si>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</si>
  <si>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</si>
  <si>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</si>
  <si>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</si>
  <si>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</si>
  <si>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</si>
  <si>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</si>
  <si>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</si>
  <si>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</si>
  <si>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</si>
  <si>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</si>
  <si>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</si>
  <si>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</si>
  <si>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</si>
  <si>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</si>
  <si>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</si>
  <si>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</si>
  <si>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</si>
  <si>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</si>
  <si>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</si>
  <si>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</si>
  <si>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</si>
  <si>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</si>
  <si>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</si>
  <si>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</si>
  <si>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</si>
  <si>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</si>
  <si>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</si>
  <si>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</si>
  <si>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</si>
  <si>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</si>
  <si>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</si>
  <si>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</si>
  <si>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</si>
  <si>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</si>
  <si>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</si>
  <si>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</si>
  <si>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</si>
  <si>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</si>
  <si>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</si>
  <si>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</si>
  <si>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</si>
  <si>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</si>
  <si>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</si>
  <si>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</si>
  <si>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</si>
  <si>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</si>
  <si>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</si>
  <si>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</si>
  <si>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</si>
  <si>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</si>
  <si>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</si>
  <si>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</si>
  <si>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</si>
  <si>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</si>
  <si>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</si>
  <si>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</si>
  <si>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</si>
  <si>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</si>
  <si>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</si>
  <si>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</si>
  <si>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</si>
  <si>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</si>
  <si>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</si>
  <si>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</si>
  <si>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</si>
  <si>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</si>
  <si>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</si>
  <si>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</si>
  <si>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</si>
  <si>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</si>
  <si>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</si>
  <si>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</si>
  <si>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</si>
  <si>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</si>
  <si>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</si>
  <si>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</si>
  <si>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</si>
  <si>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</si>
  <si>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</si>
  <si>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</si>
  <si>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</si>
  <si>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</si>
  <si>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</si>
  <si>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</si>
  <si>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</si>
  <si>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</si>
  <si>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</si>
  <si>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</si>
  <si>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</si>
  <si>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</si>
  <si>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</si>
  <si>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</si>
  <si>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</si>
  <si>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</si>
  <si>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</si>
  <si>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</si>
  <si>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</si>
  <si>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</si>
  <si>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</si>
  <si>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</si>
  <si>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</si>
  <si>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</si>
  <si>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</si>
  <si>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</si>
  <si>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</si>
  <si>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</si>
  <si>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</si>
  <si>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</si>
  <si>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</si>
  <si>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</si>
  <si>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</si>
  <si>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</si>
  <si>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</si>
  <si>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</si>
  <si>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</si>
  <si>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</si>
  <si>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</si>
  <si>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</si>
  <si>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</si>
  <si>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</si>
  <si>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</si>
  <si>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</si>
  <si>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</si>
  <si>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</si>
  <si>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</si>
  <si>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</si>
  <si>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</si>
  <si>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</si>
  <si>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</si>
  <si>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</si>
  <si>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</si>
  <si>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</si>
  <si>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</si>
  <si>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</si>
  <si>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</si>
  <si>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</si>
  <si>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</si>
  <si>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</si>
  <si>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</si>
  <si>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</si>
  <si>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</si>
  <si>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</si>
  <si>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</si>
  <si>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</si>
  <si>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</si>
  <si>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</si>
  <si>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</si>
  <si>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</si>
  <si>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</si>
  <si>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</si>
  <si>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</si>
  <si>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</si>
  <si>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</si>
  <si>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</si>
  <si>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</si>
  <si>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</si>
  <si>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</si>
  <si>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</si>
  <si>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</si>
  <si>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</si>
  <si>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</si>
  <si>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</si>
  <si>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</si>
  <si>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</si>
  <si>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</si>
  <si>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</si>
  <si>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</si>
  <si>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</si>
  <si>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</si>
  <si>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</si>
  <si>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</si>
  <si>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</si>
  <si>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</si>
  <si>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</si>
  <si>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</si>
  <si>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</si>
  <si>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</si>
  <si>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</si>
  <si>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</si>
  <si>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</si>
  <si>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</si>
  <si>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</si>
  <si>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</si>
  <si>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</si>
  <si>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</si>
  <si>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</si>
  <si>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</si>
  <si>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</si>
  <si>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</si>
  <si>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</si>
  <si>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</si>
  <si>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</si>
  <si>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</si>
  <si>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</si>
  <si>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</si>
  <si>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</si>
  <si>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</si>
  <si>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</si>
  <si>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</si>
  <si>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</si>
  <si>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</si>
  <si>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</si>
  <si>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</si>
  <si>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</si>
  <si>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</si>
  <si>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</si>
  <si>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</si>
  <si>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</si>
  <si>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</si>
  <si>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</si>
  <si>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</si>
  <si>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</si>
  <si>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</si>
  <si>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</si>
  <si>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</si>
  <si>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</si>
  <si>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</si>
  <si>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</si>
  <si>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</si>
  <si>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</si>
  <si>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</si>
  <si>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</si>
  <si>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</si>
  <si>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</si>
  <si>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</si>
  <si>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</si>
  <si>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</si>
  <si>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</si>
  <si>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</si>
  <si>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</si>
  <si>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</si>
  <si>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</si>
  <si>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</si>
  <si>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</si>
  <si>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</si>
  <si>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</si>
  <si>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</si>
  <si>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</si>
  <si>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</si>
  <si>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</si>
  <si>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</si>
  <si>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</si>
  <si>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</si>
  <si>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</si>
  <si>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</si>
  <si>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</si>
  <si>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</si>
  <si>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</si>
  <si>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</si>
  <si>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</si>
  <si>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</si>
  <si>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</si>
  <si>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</si>
  <si>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</si>
  <si>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LTM</t>
  </si>
  <si>
    <t>s</t>
  </si>
  <si>
    <t>F&amp;O Market Trading Kit for 13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</si>
</sst>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3">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0" fontId="31" fillId="40" borderId="1" xfId="0"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tabSelected="1" zoomScale="85" zoomScaleNormal="85" workbookViewId="0">
      <pane ySplit="10" topLeftCell="A11" activePane="bottomLeft" state="frozen"/>
      <selection activeCell="Q163" sqref="Q163"/>
      <selection pane="bottomLeft" activeCell="AC13" sqref="AC13"/>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5" t="s">
        <v>695</v>
      </c>
      <c r="B6" s="236"/>
      <c r="C6" s="236"/>
      <c r="D6" s="236"/>
      <c r="E6" s="236"/>
      <c r="F6" s="236"/>
      <c r="G6" s="236"/>
      <c r="H6" s="236"/>
      <c r="I6" s="236"/>
      <c r="J6" s="236"/>
      <c r="K6" s="236"/>
      <c r="L6" s="236"/>
      <c r="M6" s="236"/>
      <c r="N6" s="236"/>
      <c r="O6" s="236"/>
      <c r="P6" s="236"/>
      <c r="Q6" s="236"/>
      <c r="R6" s="236"/>
      <c r="S6" s="237"/>
    </row>
    <row r="7" spans="1:19" x14ac:dyDescent="0.25">
      <c r="A7" s="238"/>
      <c r="B7" s="239"/>
      <c r="C7" s="239"/>
      <c r="D7" s="239"/>
      <c r="E7" s="239"/>
      <c r="F7" s="239"/>
      <c r="G7" s="239"/>
      <c r="H7" s="239"/>
      <c r="I7" s="239"/>
      <c r="J7" s="239"/>
      <c r="K7" s="239"/>
      <c r="L7" s="239"/>
      <c r="M7" s="239"/>
      <c r="N7" s="239"/>
      <c r="O7" s="239"/>
      <c r="P7" s="239"/>
      <c r="Q7" s="239"/>
      <c r="R7" s="239"/>
      <c r="S7" s="240"/>
    </row>
    <row r="8" spans="1:19" s="64" customFormat="1" ht="15" customHeight="1" x14ac:dyDescent="0.25">
      <c r="A8" s="241"/>
      <c r="B8" s="2"/>
      <c r="C8" s="243" t="s">
        <v>308</v>
      </c>
      <c r="D8" s="244"/>
      <c r="E8" s="244"/>
      <c r="F8" s="244"/>
      <c r="G8" s="245"/>
      <c r="H8" s="243" t="s">
        <v>309</v>
      </c>
      <c r="I8" s="244"/>
      <c r="J8" s="244"/>
      <c r="K8" s="245"/>
      <c r="L8" s="246" t="s">
        <v>310</v>
      </c>
      <c r="M8" s="247"/>
      <c r="N8" s="247"/>
      <c r="O8" s="248"/>
      <c r="P8" s="243" t="s">
        <v>311</v>
      </c>
      <c r="Q8" s="244"/>
      <c r="R8" s="244"/>
      <c r="S8" s="245"/>
    </row>
    <row r="9" spans="1:19" s="64" customFormat="1" x14ac:dyDescent="0.25">
      <c r="A9" s="242"/>
      <c r="B9" s="2"/>
      <c r="C9" s="2" t="s">
        <v>312</v>
      </c>
      <c r="D9" s="243" t="s">
        <v>313</v>
      </c>
      <c r="E9" s="244"/>
      <c r="F9" s="244"/>
      <c r="G9" s="245"/>
      <c r="H9" s="243" t="s">
        <v>314</v>
      </c>
      <c r="I9" s="244"/>
      <c r="J9" s="244"/>
      <c r="K9" s="245"/>
      <c r="L9" s="243" t="s">
        <v>315</v>
      </c>
      <c r="M9" s="244"/>
      <c r="N9" s="244"/>
      <c r="O9" s="245"/>
      <c r="P9" s="243" t="s">
        <v>316</v>
      </c>
      <c r="Q9" s="245"/>
      <c r="R9" s="243" t="s">
        <v>317</v>
      </c>
      <c r="S9" s="245"/>
    </row>
    <row r="10" spans="1:19" s="67" customFormat="1" ht="27" customHeight="1" x14ac:dyDescent="0.25">
      <c r="A10" s="65" t="s">
        <v>318</v>
      </c>
      <c r="B10" s="65" t="s">
        <v>319</v>
      </c>
      <c r="C10" s="66">
        <f>'Data Vlaue (Cr)'!A2</f>
        <v>46093</v>
      </c>
      <c r="D10" s="66">
        <f>'Data Vlaue (Cr)'!A2</f>
        <v>46093</v>
      </c>
      <c r="E10" s="65" t="s">
        <v>322</v>
      </c>
      <c r="F10" s="65" t="s">
        <v>320</v>
      </c>
      <c r="G10" s="65" t="s">
        <v>321</v>
      </c>
      <c r="H10" s="66">
        <f>D10</f>
        <v>46093</v>
      </c>
      <c r="I10" s="65" t="s">
        <v>322</v>
      </c>
      <c r="J10" s="65" t="s">
        <v>323</v>
      </c>
      <c r="K10" s="65" t="s">
        <v>324</v>
      </c>
      <c r="L10" s="66">
        <f>D10</f>
        <v>46093</v>
      </c>
      <c r="M10" s="65" t="s">
        <v>322</v>
      </c>
      <c r="N10" s="65" t="s">
        <v>323</v>
      </c>
      <c r="O10" s="65" t="s">
        <v>324</v>
      </c>
      <c r="P10" s="66">
        <f>D10</f>
        <v>46093</v>
      </c>
      <c r="Q10" s="65" t="s">
        <v>324</v>
      </c>
      <c r="R10" s="66">
        <f>D10</f>
        <v>46093</v>
      </c>
      <c r="S10" s="65" t="s">
        <v>324</v>
      </c>
    </row>
    <row r="11" spans="1:19" x14ac:dyDescent="0.25">
      <c r="A11" s="96" t="str">
        <f>'Data Vlaue (Cr)'!C2</f>
        <v>360ONE</v>
      </c>
      <c r="B11" s="75">
        <f>VLOOKUP($A11,'Data Vlaue (Cr)'!$C:$FB,2)</f>
        <v>500</v>
      </c>
      <c r="C11" s="75">
        <f>VLOOKUP($A11,'Data Vlaue (Cr)'!$C:$FB,8)</f>
        <v>1043.4000000000001</v>
      </c>
      <c r="D11" s="75">
        <f>VLOOKUP($A11,'Data Vlaue (Cr)'!$C:$FB,4)</f>
        <v>1044.2</v>
      </c>
      <c r="E11" s="75">
        <f>VLOOKUP($A11,'Data Vlaue (Cr)'!$C:$FB,5)</f>
        <v>1047.7</v>
      </c>
      <c r="F11" s="75">
        <f>D11-C11</f>
        <v>0.79999999999995453</v>
      </c>
      <c r="G11" s="75">
        <f>(D11-E11)/D11*100</f>
        <v>-0.33518483049224285</v>
      </c>
      <c r="H11" s="75">
        <f>VLOOKUP($A11,'Data Vlaue (Cr)'!$C:$FB,99)</f>
        <v>493</v>
      </c>
      <c r="I11" s="75">
        <f>VLOOKUP($A11,'Data Vlaue (Cr)'!$C:$FB,100)</f>
        <v>485</v>
      </c>
      <c r="J11" s="75">
        <f>H11-I11</f>
        <v>8</v>
      </c>
      <c r="K11" s="75">
        <f>J11/H11*100</f>
        <v>1.6227180527383367</v>
      </c>
      <c r="L11" s="75">
        <f>VLOOKUP($A11,'Data Vlaue (Cr)'!$C:$FB,67)</f>
        <v>232</v>
      </c>
      <c r="M11" s="75">
        <f>VLOOKUP($A11,'Data Vlaue (Cr)'!$C:$FB,68)</f>
        <v>165</v>
      </c>
      <c r="N11" s="75">
        <f>L11-M11</f>
        <v>67</v>
      </c>
      <c r="O11" s="75">
        <f>N11/L11*100</f>
        <v>28.879310344827587</v>
      </c>
      <c r="P11" s="75">
        <f>VLOOKUP($A11,'Data Vlaue (Cr)'!$C:$FB,119)</f>
        <v>0.4</v>
      </c>
      <c r="Q11" s="75">
        <f>VLOOKUP($A11,'Data Vlaue (Cr)'!$C:$FB,122)*100</f>
        <v>-4.7600000000000007</v>
      </c>
      <c r="R11" s="75">
        <f>VLOOKUP($A11,'Data Vlaue (Cr)'!$C:$FB,125)</f>
        <v>0.45</v>
      </c>
      <c r="S11" s="75">
        <f>VLOOKUP($A11,'Data Vlaue (Cr)'!$C:$FB,128)*100</f>
        <v>36.36</v>
      </c>
    </row>
    <row r="12" spans="1:19" x14ac:dyDescent="0.25">
      <c r="A12" s="96" t="str">
        <f>'Data Vlaue (Cr)'!C3</f>
        <v>ABB</v>
      </c>
      <c r="B12" s="75">
        <f>VLOOKUP($A12,'Data Vlaue (Cr)'!$C:$FB,2)</f>
        <v>125</v>
      </c>
      <c r="C12" s="75">
        <f>VLOOKUP($A12,'Data Vlaue (Cr)'!$C:$FB,8)</f>
        <v>6409</v>
      </c>
      <c r="D12" s="75">
        <f>VLOOKUP($A12,'Data Vlaue (Cr)'!$C:$FB,4)</f>
        <v>6403.5</v>
      </c>
      <c r="E12" s="75">
        <f>VLOOKUP($A12,'Data Vlaue (Cr)'!$C:$FB,5)</f>
        <v>6277.5</v>
      </c>
      <c r="F12" s="75">
        <f t="shared" ref="F12:F75" si="0">D12-C12</f>
        <v>-5.5</v>
      </c>
      <c r="G12" s="75">
        <f t="shared" ref="G12:G74" si="1">(D12-E12)/D12*100</f>
        <v>1.9676739283204496</v>
      </c>
      <c r="H12" s="75">
        <f>VLOOKUP($A12,'Data Vlaue (Cr)'!$C:$FB,99)</f>
        <v>2731</v>
      </c>
      <c r="I12" s="75">
        <f>VLOOKUP($A12,'Data Vlaue (Cr)'!$C:$FB,100)</f>
        <v>2667</v>
      </c>
      <c r="J12" s="75">
        <f t="shared" ref="J12:J75" si="2">H12-I12</f>
        <v>64</v>
      </c>
      <c r="K12" s="75">
        <f t="shared" ref="K12:K75" si="3">J12/H12*100</f>
        <v>2.3434639326254123</v>
      </c>
      <c r="L12" s="75">
        <f>VLOOKUP($A12,'Data Vlaue (Cr)'!$C:$FB,67)</f>
        <v>4919</v>
      </c>
      <c r="M12" s="75">
        <f>VLOOKUP($A12,'Data Vlaue (Cr)'!$C:$FB,68)</f>
        <v>4815</v>
      </c>
      <c r="N12" s="75">
        <f t="shared" ref="N12:N75" si="4">L12-M12</f>
        <v>104</v>
      </c>
      <c r="O12" s="75">
        <f t="shared" ref="O12:O75" si="5">N12/L12*100</f>
        <v>2.1142508639967472</v>
      </c>
      <c r="P12" s="75">
        <f>VLOOKUP($A12,'Data Vlaue (Cr)'!$C:$FB,119)</f>
        <v>0.87</v>
      </c>
      <c r="Q12" s="75">
        <f>VLOOKUP($A12,'Data Vlaue (Cr)'!$C:$FB,122)*100</f>
        <v>2.35</v>
      </c>
      <c r="R12" s="75">
        <f>VLOOKUP($A12,'Data Vlaue (Cr)'!$C:$FB,125)</f>
        <v>0.43</v>
      </c>
      <c r="S12" s="75">
        <f>VLOOKUP($A12,'Data Vlaue (Cr)'!$C:$FB,128)*100</f>
        <v>43.33</v>
      </c>
    </row>
    <row r="13" spans="1:19" x14ac:dyDescent="0.25">
      <c r="A13" s="96" t="str">
        <f>'Data Vlaue (Cr)'!C4</f>
        <v>ABCAPITAL</v>
      </c>
      <c r="B13" s="75">
        <f>VLOOKUP($A13,'Data Vlaue (Cr)'!$C:$FB,2)</f>
        <v>3100</v>
      </c>
      <c r="C13" s="75">
        <f>VLOOKUP($A13,'Data Vlaue (Cr)'!$C:$FB,8)</f>
        <v>319.95</v>
      </c>
      <c r="D13" s="75">
        <f>VLOOKUP($A13,'Data Vlaue (Cr)'!$C:$FB,4)</f>
        <v>321.39999999999998</v>
      </c>
      <c r="E13" s="75">
        <f>VLOOKUP($A13,'Data Vlaue (Cr)'!$C:$FB,5)</f>
        <v>324.2</v>
      </c>
      <c r="F13" s="75">
        <f t="shared" si="0"/>
        <v>1.4499999999999886</v>
      </c>
      <c r="G13" s="75">
        <f t="shared" si="1"/>
        <v>-0.87118855009334517</v>
      </c>
      <c r="H13" s="75">
        <f>VLOOKUP($A13,'Data Vlaue (Cr)'!$C:$FB,99)</f>
        <v>2335</v>
      </c>
      <c r="I13" s="75">
        <f>VLOOKUP($A13,'Data Vlaue (Cr)'!$C:$FB,100)</f>
        <v>2372</v>
      </c>
      <c r="J13" s="75">
        <f t="shared" si="2"/>
        <v>-37</v>
      </c>
      <c r="K13" s="75">
        <f t="shared" si="3"/>
        <v>-1.5845824411134906</v>
      </c>
      <c r="L13" s="75">
        <f>VLOOKUP($A13,'Data Vlaue (Cr)'!$C:$FB,67)</f>
        <v>995</v>
      </c>
      <c r="M13" s="75">
        <f>VLOOKUP($A13,'Data Vlaue (Cr)'!$C:$FB,68)</f>
        <v>1075</v>
      </c>
      <c r="N13" s="75">
        <f t="shared" si="4"/>
        <v>-80</v>
      </c>
      <c r="O13" s="75">
        <f t="shared" si="5"/>
        <v>-8.0402010050251249</v>
      </c>
      <c r="P13" s="75">
        <f>VLOOKUP($A13,'Data Vlaue (Cr)'!$C:$FB,119)</f>
        <v>0.63</v>
      </c>
      <c r="Q13" s="75">
        <f>VLOOKUP($A13,'Data Vlaue (Cr)'!$C:$FB,122)*100</f>
        <v>-4.55</v>
      </c>
      <c r="R13" s="75">
        <f>VLOOKUP($A13,'Data Vlaue (Cr)'!$C:$FB,125)</f>
        <v>0.52</v>
      </c>
      <c r="S13" s="75">
        <f>VLOOKUP($A13,'Data Vlaue (Cr)'!$C:$FB,128)*100</f>
        <v>-33.33</v>
      </c>
    </row>
    <row r="14" spans="1:19" x14ac:dyDescent="0.25">
      <c r="A14" s="96" t="str">
        <f>'Data Vlaue (Cr)'!C5</f>
        <v>ADANIENSOL</v>
      </c>
      <c r="B14" s="75">
        <f>VLOOKUP($A14,'Data Vlaue (Cr)'!$C:$FB,2)</f>
        <v>675</v>
      </c>
      <c r="C14" s="75">
        <f>VLOOKUP($A14,'Data Vlaue (Cr)'!$C:$FB,8)</f>
        <v>1004.4</v>
      </c>
      <c r="D14" s="75">
        <f>VLOOKUP($A14,'Data Vlaue (Cr)'!$C:$FB,4)</f>
        <v>1007.5</v>
      </c>
      <c r="E14" s="75">
        <f>VLOOKUP($A14,'Data Vlaue (Cr)'!$C:$FB,5)</f>
        <v>995.4</v>
      </c>
      <c r="F14" s="75">
        <f t="shared" si="0"/>
        <v>3.1000000000000227</v>
      </c>
      <c r="G14" s="75">
        <f t="shared" si="1"/>
        <v>1.200992555831268</v>
      </c>
      <c r="H14" s="75">
        <f>VLOOKUP($A14,'Data Vlaue (Cr)'!$C:$FB,99)</f>
        <v>2689</v>
      </c>
      <c r="I14" s="75">
        <f>VLOOKUP($A14,'Data Vlaue (Cr)'!$C:$FB,100)</f>
        <v>2774</v>
      </c>
      <c r="J14" s="75">
        <f t="shared" si="2"/>
        <v>-85</v>
      </c>
      <c r="K14" s="75">
        <f t="shared" si="3"/>
        <v>-3.1610264038676088</v>
      </c>
      <c r="L14" s="75">
        <f>VLOOKUP($A14,'Data Vlaue (Cr)'!$C:$FB,67)</f>
        <v>827</v>
      </c>
      <c r="M14" s="75">
        <f>VLOOKUP($A14,'Data Vlaue (Cr)'!$C:$FB,68)</f>
        <v>1345</v>
      </c>
      <c r="N14" s="75">
        <f t="shared" si="4"/>
        <v>-518</v>
      </c>
      <c r="O14" s="75">
        <f>N14/L14*100</f>
        <v>-62.636033857315596</v>
      </c>
      <c r="P14" s="75">
        <f>VLOOKUP($A14,'Data Vlaue (Cr)'!$C:$FB,119)</f>
        <v>0.64</v>
      </c>
      <c r="Q14" s="75">
        <f>VLOOKUP($A14,'Data Vlaue (Cr)'!$C:$FB,122)*100</f>
        <v>14.29</v>
      </c>
      <c r="R14" s="75">
        <f>VLOOKUP($A14,'Data Vlaue (Cr)'!$C:$FB,125)</f>
        <v>0.26</v>
      </c>
      <c r="S14" s="75">
        <f>VLOOKUP($A14,'Data Vlaue (Cr)'!$C:$FB,128)*100</f>
        <v>-3.6999999999999997</v>
      </c>
    </row>
    <row r="15" spans="1:19" x14ac:dyDescent="0.25">
      <c r="A15" s="96" t="str">
        <f>'Data Vlaue (Cr)'!C6</f>
        <v>ADANIENT</v>
      </c>
      <c r="B15" s="75">
        <f>VLOOKUP($A15,'Data Vlaue (Cr)'!$C:$FB,2)</f>
        <v>309</v>
      </c>
      <c r="C15" s="75">
        <f>VLOOKUP($A15,'Data Vlaue (Cr)'!$C:$FB,8)</f>
        <v>2002</v>
      </c>
      <c r="D15" s="75">
        <f>VLOOKUP($A15,'Data Vlaue (Cr)'!$C:$FB,4)</f>
        <v>1998.9</v>
      </c>
      <c r="E15" s="75">
        <f>VLOOKUP($A15,'Data Vlaue (Cr)'!$C:$FB,5)</f>
        <v>1975.3</v>
      </c>
      <c r="F15" s="75">
        <f t="shared" si="0"/>
        <v>-3.0999999999999091</v>
      </c>
      <c r="G15" s="75">
        <f t="shared" si="1"/>
        <v>1.1806493571464374</v>
      </c>
      <c r="H15" s="75">
        <f>VLOOKUP($A15,'Data Vlaue (Cr)'!$C:$FB,99)</f>
        <v>6263</v>
      </c>
      <c r="I15" s="75">
        <f>VLOOKUP($A15,'Data Vlaue (Cr)'!$C:$FB,100)</f>
        <v>6251</v>
      </c>
      <c r="J15" s="75">
        <f t="shared" si="2"/>
        <v>12</v>
      </c>
      <c r="K15" s="75">
        <f t="shared" si="3"/>
        <v>0.19160146894459523</v>
      </c>
      <c r="L15" s="75">
        <f>VLOOKUP($A15,'Data Vlaue (Cr)'!$C:$FB,67)</f>
        <v>3449</v>
      </c>
      <c r="M15" s="75">
        <f>VLOOKUP($A15,'Data Vlaue (Cr)'!$C:$FB,68)</f>
        <v>1882</v>
      </c>
      <c r="N15" s="75">
        <f t="shared" si="4"/>
        <v>1567</v>
      </c>
      <c r="O15" s="75">
        <f t="shared" si="5"/>
        <v>45.433458973615544</v>
      </c>
      <c r="P15" s="75">
        <f>VLOOKUP($A15,'Data Vlaue (Cr)'!$C:$FB,119)</f>
        <v>0.83</v>
      </c>
      <c r="Q15" s="75">
        <f>VLOOKUP($A15,'Data Vlaue (Cr)'!$C:$FB,122)*100</f>
        <v>-2.35</v>
      </c>
      <c r="R15" s="75">
        <f>VLOOKUP($A15,'Data Vlaue (Cr)'!$C:$FB,125)</f>
        <v>0.5</v>
      </c>
      <c r="S15" s="75">
        <f>VLOOKUP($A15,'Data Vlaue (Cr)'!$C:$FB,128)*100</f>
        <v>-12.280000000000001</v>
      </c>
    </row>
    <row r="16" spans="1:19" x14ac:dyDescent="0.25">
      <c r="A16" s="96" t="str">
        <f>'Data Vlaue (Cr)'!C7</f>
        <v>ADANIGREEN</v>
      </c>
      <c r="B16" s="75">
        <f>VLOOKUP($A16,'Data Vlaue (Cr)'!$C:$FB,2)</f>
        <v>600</v>
      </c>
      <c r="C16" s="75">
        <f>VLOOKUP($A16,'Data Vlaue (Cr)'!$C:$FB,8)</f>
        <v>866.55</v>
      </c>
      <c r="D16" s="75">
        <f>VLOOKUP($A16,'Data Vlaue (Cr)'!$C:$FB,4)</f>
        <v>869.95</v>
      </c>
      <c r="E16" s="75">
        <f>VLOOKUP($A16,'Data Vlaue (Cr)'!$C:$FB,5)</f>
        <v>851.8</v>
      </c>
      <c r="F16" s="75">
        <f t="shared" si="0"/>
        <v>3.4000000000000909</v>
      </c>
      <c r="G16" s="75">
        <f t="shared" si="1"/>
        <v>2.0863268003908373</v>
      </c>
      <c r="H16" s="75">
        <f>VLOOKUP($A16,'Data Vlaue (Cr)'!$C:$FB,99)</f>
        <v>3360</v>
      </c>
      <c r="I16" s="75">
        <f>VLOOKUP($A16,'Data Vlaue (Cr)'!$C:$FB,100)</f>
        <v>3205</v>
      </c>
      <c r="J16" s="75">
        <f t="shared" si="2"/>
        <v>155</v>
      </c>
      <c r="K16" s="75">
        <f t="shared" si="3"/>
        <v>4.6130952380952381</v>
      </c>
      <c r="L16" s="75">
        <f>VLOOKUP($A16,'Data Vlaue (Cr)'!$C:$FB,67)</f>
        <v>1996</v>
      </c>
      <c r="M16" s="75">
        <f>VLOOKUP($A16,'Data Vlaue (Cr)'!$C:$FB,68)</f>
        <v>968</v>
      </c>
      <c r="N16" s="75">
        <f t="shared" si="4"/>
        <v>1028</v>
      </c>
      <c r="O16" s="75">
        <f t="shared" si="5"/>
        <v>51.503006012024045</v>
      </c>
      <c r="P16" s="75">
        <f>VLOOKUP($A16,'Data Vlaue (Cr)'!$C:$FB,119)</f>
        <v>0.55000000000000004</v>
      </c>
      <c r="Q16" s="75">
        <f>VLOOKUP($A16,'Data Vlaue (Cr)'!$C:$FB,122)*100</f>
        <v>-5.17</v>
      </c>
      <c r="R16" s="75">
        <f>VLOOKUP($A16,'Data Vlaue (Cr)'!$C:$FB,125)</f>
        <v>0.28000000000000003</v>
      </c>
      <c r="S16" s="75">
        <f>VLOOKUP($A16,'Data Vlaue (Cr)'!$C:$FB,128)*100</f>
        <v>-22.220000000000002</v>
      </c>
    </row>
    <row r="17" spans="1:19" x14ac:dyDescent="0.25">
      <c r="A17" s="96" t="str">
        <f>'Data Vlaue (Cr)'!C8</f>
        <v>ADANIPORTS</v>
      </c>
      <c r="B17" s="75">
        <f>VLOOKUP($A17,'Data Vlaue (Cr)'!$C:$FB,2)</f>
        <v>475</v>
      </c>
      <c r="C17" s="75">
        <f>VLOOKUP($A17,'Data Vlaue (Cr)'!$C:$FB,8)</f>
        <v>1391.5</v>
      </c>
      <c r="D17" s="75">
        <f>VLOOKUP($A17,'Data Vlaue (Cr)'!$C:$FB,4)</f>
        <v>1397</v>
      </c>
      <c r="E17" s="75">
        <f>VLOOKUP($A17,'Data Vlaue (Cr)'!$C:$FB,5)</f>
        <v>1415.5</v>
      </c>
      <c r="F17" s="75">
        <f t="shared" si="0"/>
        <v>5.5</v>
      </c>
      <c r="G17" s="75">
        <f t="shared" si="1"/>
        <v>-1.3242662848962061</v>
      </c>
      <c r="H17" s="75">
        <f>VLOOKUP($A17,'Data Vlaue (Cr)'!$C:$FB,99)</f>
        <v>5286</v>
      </c>
      <c r="I17" s="75">
        <f>VLOOKUP($A17,'Data Vlaue (Cr)'!$C:$FB,100)</f>
        <v>5243</v>
      </c>
      <c r="J17" s="75">
        <f t="shared" si="2"/>
        <v>43</v>
      </c>
      <c r="K17" s="75">
        <f t="shared" si="3"/>
        <v>0.8134695421869087</v>
      </c>
      <c r="L17" s="75">
        <f>VLOOKUP($A17,'Data Vlaue (Cr)'!$C:$FB,67)</f>
        <v>2911</v>
      </c>
      <c r="M17" s="75">
        <f>VLOOKUP($A17,'Data Vlaue (Cr)'!$C:$FB,68)</f>
        <v>2986</v>
      </c>
      <c r="N17" s="75">
        <f t="shared" si="4"/>
        <v>-75</v>
      </c>
      <c r="O17" s="75">
        <f t="shared" si="5"/>
        <v>-2.5764342150463757</v>
      </c>
      <c r="P17" s="75">
        <f>VLOOKUP($A17,'Data Vlaue (Cr)'!$C:$FB,119)</f>
        <v>0.79</v>
      </c>
      <c r="Q17" s="75">
        <f>VLOOKUP($A17,'Data Vlaue (Cr)'!$C:$FB,122)*100</f>
        <v>-7.06</v>
      </c>
      <c r="R17" s="75">
        <f>VLOOKUP($A17,'Data Vlaue (Cr)'!$C:$FB,125)</f>
        <v>0.94</v>
      </c>
      <c r="S17" s="75">
        <f>VLOOKUP($A17,'Data Vlaue (Cr)'!$C:$FB,128)*100</f>
        <v>3.3000000000000003</v>
      </c>
    </row>
    <row r="18" spans="1:19" x14ac:dyDescent="0.25">
      <c r="A18" s="96" t="str">
        <f>'Data Vlaue (Cr)'!C9</f>
        <v>ALKEM</v>
      </c>
      <c r="B18" s="75">
        <f>VLOOKUP($A18,'Data Vlaue (Cr)'!$C:$FB,2)</f>
        <v>125</v>
      </c>
      <c r="C18" s="75">
        <f>VLOOKUP($A18,'Data Vlaue (Cr)'!$C:$FB,8)</f>
        <v>5444</v>
      </c>
      <c r="D18" s="75">
        <f>VLOOKUP($A18,'Data Vlaue (Cr)'!$C:$FB,4)</f>
        <v>5466</v>
      </c>
      <c r="E18" s="75">
        <f>VLOOKUP($A18,'Data Vlaue (Cr)'!$C:$FB,5)</f>
        <v>5560.5</v>
      </c>
      <c r="F18" s="75">
        <f t="shared" si="0"/>
        <v>22</v>
      </c>
      <c r="G18" s="75">
        <f t="shared" si="1"/>
        <v>-1.7288693743139409</v>
      </c>
      <c r="H18" s="75">
        <f>VLOOKUP($A18,'Data Vlaue (Cr)'!$C:$FB,99)</f>
        <v>910</v>
      </c>
      <c r="I18" s="75">
        <f>VLOOKUP($A18,'Data Vlaue (Cr)'!$C:$FB,100)</f>
        <v>890</v>
      </c>
      <c r="J18" s="75">
        <f t="shared" si="2"/>
        <v>20</v>
      </c>
      <c r="K18" s="75">
        <f t="shared" si="3"/>
        <v>2.197802197802198</v>
      </c>
      <c r="L18" s="75">
        <f>VLOOKUP($A18,'Data Vlaue (Cr)'!$C:$FB,67)</f>
        <v>256</v>
      </c>
      <c r="M18" s="75">
        <f>VLOOKUP($A18,'Data Vlaue (Cr)'!$C:$FB,68)</f>
        <v>280</v>
      </c>
      <c r="N18" s="75">
        <f t="shared" si="4"/>
        <v>-24</v>
      </c>
      <c r="O18" s="75">
        <f t="shared" si="5"/>
        <v>-9.375</v>
      </c>
      <c r="P18" s="75">
        <f>VLOOKUP($A18,'Data Vlaue (Cr)'!$C:$FB,119)</f>
        <v>0.7</v>
      </c>
      <c r="Q18" s="75">
        <f>VLOOKUP($A18,'Data Vlaue (Cr)'!$C:$FB,122)*100</f>
        <v>9.370000000000001</v>
      </c>
      <c r="R18" s="75">
        <f>VLOOKUP($A18,'Data Vlaue (Cr)'!$C:$FB,125)</f>
        <v>0.47</v>
      </c>
      <c r="S18" s="75">
        <f>VLOOKUP($A18,'Data Vlaue (Cr)'!$C:$FB,128)*100</f>
        <v>88</v>
      </c>
    </row>
    <row r="19" spans="1:19" x14ac:dyDescent="0.25">
      <c r="A19" s="96" t="str">
        <f>'Data Vlaue (Cr)'!C10</f>
        <v>AMBER</v>
      </c>
      <c r="B19" s="75">
        <f>VLOOKUP($A19,'Data Vlaue (Cr)'!$C:$FB,2)</f>
        <v>100</v>
      </c>
      <c r="C19" s="75">
        <f>VLOOKUP($A19,'Data Vlaue (Cr)'!$C:$FB,8)</f>
        <v>6929.5</v>
      </c>
      <c r="D19" s="75">
        <f>VLOOKUP($A19,'Data Vlaue (Cr)'!$C:$FB,4)</f>
        <v>6953.5</v>
      </c>
      <c r="E19" s="75">
        <f>VLOOKUP($A19,'Data Vlaue (Cr)'!$C:$FB,5)</f>
        <v>7297</v>
      </c>
      <c r="F19" s="75">
        <f t="shared" si="0"/>
        <v>24</v>
      </c>
      <c r="G19" s="75">
        <f t="shared" si="1"/>
        <v>-4.9399582943841231</v>
      </c>
      <c r="H19" s="75">
        <f>VLOOKUP($A19,'Data Vlaue (Cr)'!$C:$FB,99)</f>
        <v>2108</v>
      </c>
      <c r="I19" s="75">
        <f>VLOOKUP($A19,'Data Vlaue (Cr)'!$C:$FB,100)</f>
        <v>1861</v>
      </c>
      <c r="J19" s="75">
        <f t="shared" si="2"/>
        <v>247</v>
      </c>
      <c r="K19" s="75">
        <f t="shared" si="3"/>
        <v>11.717267552182163</v>
      </c>
      <c r="L19" s="75">
        <f>VLOOKUP($A19,'Data Vlaue (Cr)'!$C:$FB,67)</f>
        <v>3306</v>
      </c>
      <c r="M19" s="75">
        <f>VLOOKUP($A19,'Data Vlaue (Cr)'!$C:$FB,68)</f>
        <v>1608</v>
      </c>
      <c r="N19" s="75">
        <f t="shared" si="4"/>
        <v>1698</v>
      </c>
      <c r="O19" s="75">
        <f t="shared" si="5"/>
        <v>51.361161524500908</v>
      </c>
      <c r="P19" s="75">
        <f>VLOOKUP($A19,'Data Vlaue (Cr)'!$C:$FB,119)</f>
        <v>0.53</v>
      </c>
      <c r="Q19" s="75">
        <f>VLOOKUP($A19,'Data Vlaue (Cr)'!$C:$FB,122)*100</f>
        <v>-8.6199999999999992</v>
      </c>
      <c r="R19" s="75">
        <f>VLOOKUP($A19,'Data Vlaue (Cr)'!$C:$FB,125)</f>
        <v>0.81</v>
      </c>
      <c r="S19" s="75">
        <f>VLOOKUP($A19,'Data Vlaue (Cr)'!$C:$FB,128)*100</f>
        <v>107.69</v>
      </c>
    </row>
    <row r="20" spans="1:19" x14ac:dyDescent="0.25">
      <c r="A20" s="96" t="str">
        <f>'Data Vlaue (Cr)'!C11</f>
        <v>AMBUJACEM</v>
      </c>
      <c r="B20" s="75">
        <f>VLOOKUP($A20,'Data Vlaue (Cr)'!$C:$FB,2)</f>
        <v>1050</v>
      </c>
      <c r="C20" s="75">
        <f>VLOOKUP($A20,'Data Vlaue (Cr)'!$C:$FB,8)</f>
        <v>446.45</v>
      </c>
      <c r="D20" s="75">
        <f>VLOOKUP($A20,'Data Vlaue (Cr)'!$C:$FB,4)</f>
        <v>448.4</v>
      </c>
      <c r="E20" s="75">
        <f>VLOOKUP($A20,'Data Vlaue (Cr)'!$C:$FB,5)</f>
        <v>458.45</v>
      </c>
      <c r="F20" s="75">
        <f t="shared" si="0"/>
        <v>1.9499999999999886</v>
      </c>
      <c r="G20" s="75">
        <f t="shared" si="1"/>
        <v>-2.2413024085637852</v>
      </c>
      <c r="H20" s="75">
        <f>VLOOKUP($A20,'Data Vlaue (Cr)'!$C:$FB,99)</f>
        <v>3743</v>
      </c>
      <c r="I20" s="75">
        <f>VLOOKUP($A20,'Data Vlaue (Cr)'!$C:$FB,100)</f>
        <v>3631</v>
      </c>
      <c r="J20" s="75">
        <f t="shared" si="2"/>
        <v>112</v>
      </c>
      <c r="K20" s="75">
        <f t="shared" si="3"/>
        <v>2.9922522041143469</v>
      </c>
      <c r="L20" s="75">
        <f>VLOOKUP($A20,'Data Vlaue (Cr)'!$C:$FB,67)</f>
        <v>774</v>
      </c>
      <c r="M20" s="75">
        <f>VLOOKUP($A20,'Data Vlaue (Cr)'!$C:$FB,68)</f>
        <v>655</v>
      </c>
      <c r="N20" s="75">
        <f t="shared" si="4"/>
        <v>119</v>
      </c>
      <c r="O20" s="75">
        <f t="shared" si="5"/>
        <v>15.374677002583978</v>
      </c>
      <c r="P20" s="75">
        <f>VLOOKUP($A20,'Data Vlaue (Cr)'!$C:$FB,119)</f>
        <v>0.66</v>
      </c>
      <c r="Q20" s="75">
        <f>VLOOKUP($A20,'Data Vlaue (Cr)'!$C:$FB,122)*100</f>
        <v>-2.94</v>
      </c>
      <c r="R20" s="75">
        <f>VLOOKUP($A20,'Data Vlaue (Cr)'!$C:$FB,125)</f>
        <v>0.46</v>
      </c>
      <c r="S20" s="75">
        <f>VLOOKUP($A20,'Data Vlaue (Cr)'!$C:$FB,128)*100</f>
        <v>0</v>
      </c>
    </row>
    <row r="21" spans="1:19" x14ac:dyDescent="0.25">
      <c r="A21" s="96" t="str">
        <f>'Data Vlaue (Cr)'!C12</f>
        <v>ANGELONE</v>
      </c>
      <c r="B21" s="75">
        <f>VLOOKUP($A21,'Data Vlaue (Cr)'!$C:$FB,2)</f>
        <v>2500</v>
      </c>
      <c r="C21" s="75">
        <f>VLOOKUP($A21,'Data Vlaue (Cr)'!$C:$FB,8)</f>
        <v>213.07</v>
      </c>
      <c r="D21" s="75">
        <f>VLOOKUP($A21,'Data Vlaue (Cr)'!$C:$FB,4)</f>
        <v>213.78</v>
      </c>
      <c r="E21" s="75">
        <f>VLOOKUP($A21,'Data Vlaue (Cr)'!$C:$FB,5)</f>
        <v>218.06</v>
      </c>
      <c r="F21" s="75">
        <f t="shared" si="0"/>
        <v>0.71000000000000796</v>
      </c>
      <c r="G21" s="75">
        <f t="shared" si="1"/>
        <v>-2.0020581906632993</v>
      </c>
      <c r="H21" s="75">
        <f>VLOOKUP($A21,'Data Vlaue (Cr)'!$C:$FB,99)</f>
        <v>1728</v>
      </c>
      <c r="I21" s="75">
        <f>VLOOKUP($A21,'Data Vlaue (Cr)'!$C:$FB,100)</f>
        <v>1697</v>
      </c>
      <c r="J21" s="75">
        <f t="shared" si="2"/>
        <v>31</v>
      </c>
      <c r="K21" s="75">
        <f t="shared" si="3"/>
        <v>1.7939814814814814</v>
      </c>
      <c r="L21" s="75">
        <f>VLOOKUP($A21,'Data Vlaue (Cr)'!$C:$FB,67)</f>
        <v>744</v>
      </c>
      <c r="M21" s="75">
        <f>VLOOKUP($A21,'Data Vlaue (Cr)'!$C:$FB,68)</f>
        <v>600</v>
      </c>
      <c r="N21" s="75">
        <f t="shared" si="4"/>
        <v>144</v>
      </c>
      <c r="O21" s="75">
        <f t="shared" si="5"/>
        <v>19.35483870967742</v>
      </c>
      <c r="P21" s="75">
        <f>VLOOKUP($A21,'Data Vlaue (Cr)'!$C:$FB,119)</f>
        <v>0.54</v>
      </c>
      <c r="Q21" s="75">
        <f>VLOOKUP($A21,'Data Vlaue (Cr)'!$C:$FB,122)*100</f>
        <v>-8.4699999999999989</v>
      </c>
      <c r="R21" s="75">
        <f>VLOOKUP($A21,'Data Vlaue (Cr)'!$C:$FB,125)</f>
        <v>0.55000000000000004</v>
      </c>
      <c r="S21" s="75">
        <f>VLOOKUP($A21,'Data Vlaue (Cr)'!$C:$FB,128)*100</f>
        <v>12.24</v>
      </c>
    </row>
    <row r="22" spans="1:19" x14ac:dyDescent="0.25">
      <c r="A22" s="96" t="str">
        <f>'Data Vlaue (Cr)'!C13</f>
        <v>APLAPOLLO</v>
      </c>
      <c r="B22" s="75">
        <f>VLOOKUP($A22,'Data Vlaue (Cr)'!$C:$FB,2)</f>
        <v>350</v>
      </c>
      <c r="C22" s="75">
        <f>VLOOKUP($A22,'Data Vlaue (Cr)'!$C:$FB,8)</f>
        <v>2009.2</v>
      </c>
      <c r="D22" s="75">
        <f>VLOOKUP($A22,'Data Vlaue (Cr)'!$C:$FB,4)</f>
        <v>2010.2</v>
      </c>
      <c r="E22" s="75">
        <f>VLOOKUP($A22,'Data Vlaue (Cr)'!$C:$FB,5)</f>
        <v>2019</v>
      </c>
      <c r="F22" s="75">
        <f t="shared" si="0"/>
        <v>1</v>
      </c>
      <c r="G22" s="75">
        <f t="shared" si="1"/>
        <v>-0.43776738632971612</v>
      </c>
      <c r="H22" s="75">
        <f>VLOOKUP($A22,'Data Vlaue (Cr)'!$C:$FB,99)</f>
        <v>1600</v>
      </c>
      <c r="I22" s="75">
        <f>VLOOKUP($A22,'Data Vlaue (Cr)'!$C:$FB,100)</f>
        <v>1579</v>
      </c>
      <c r="J22" s="75">
        <f t="shared" si="2"/>
        <v>21</v>
      </c>
      <c r="K22" s="75">
        <f t="shared" si="3"/>
        <v>1.3125</v>
      </c>
      <c r="L22" s="75">
        <f>VLOOKUP($A22,'Data Vlaue (Cr)'!$C:$FB,67)</f>
        <v>1184</v>
      </c>
      <c r="M22" s="75">
        <f>VLOOKUP($A22,'Data Vlaue (Cr)'!$C:$FB,68)</f>
        <v>2335</v>
      </c>
      <c r="N22" s="75">
        <f t="shared" si="4"/>
        <v>-1151</v>
      </c>
      <c r="O22" s="75">
        <f t="shared" si="5"/>
        <v>-97.212837837837839</v>
      </c>
      <c r="P22" s="75">
        <f>VLOOKUP($A22,'Data Vlaue (Cr)'!$C:$FB,119)</f>
        <v>0.74</v>
      </c>
      <c r="Q22" s="75">
        <f>VLOOKUP($A22,'Data Vlaue (Cr)'!$C:$FB,122)*100</f>
        <v>-8.64</v>
      </c>
      <c r="R22" s="75">
        <f>VLOOKUP($A22,'Data Vlaue (Cr)'!$C:$FB,125)</f>
        <v>0.65</v>
      </c>
      <c r="S22" s="75">
        <f>VLOOKUP($A22,'Data Vlaue (Cr)'!$C:$FB,128)*100</f>
        <v>-35.64</v>
      </c>
    </row>
    <row r="23" spans="1:19" x14ac:dyDescent="0.25">
      <c r="A23" s="96" t="str">
        <f>'Data Vlaue (Cr)'!C14</f>
        <v>APOLLOHOSP</v>
      </c>
      <c r="B23" s="75">
        <f>VLOOKUP($A23,'Data Vlaue (Cr)'!$C:$FB,2)</f>
        <v>125</v>
      </c>
      <c r="C23" s="75">
        <f>VLOOKUP($A23,'Data Vlaue (Cr)'!$C:$FB,8)</f>
        <v>7574.5</v>
      </c>
      <c r="D23" s="75">
        <f>VLOOKUP($A23,'Data Vlaue (Cr)'!$C:$FB,4)</f>
        <v>7582.5</v>
      </c>
      <c r="E23" s="75">
        <f>VLOOKUP($A23,'Data Vlaue (Cr)'!$C:$FB,5)</f>
        <v>7703</v>
      </c>
      <c r="F23" s="75">
        <f t="shared" si="0"/>
        <v>8</v>
      </c>
      <c r="G23" s="75">
        <f t="shared" si="1"/>
        <v>-1.5891856247939335</v>
      </c>
      <c r="H23" s="75">
        <f>VLOOKUP($A23,'Data Vlaue (Cr)'!$C:$FB,99)</f>
        <v>3257</v>
      </c>
      <c r="I23" s="75">
        <f>VLOOKUP($A23,'Data Vlaue (Cr)'!$C:$FB,100)</f>
        <v>3301</v>
      </c>
      <c r="J23" s="75">
        <f t="shared" si="2"/>
        <v>-44</v>
      </c>
      <c r="K23" s="75">
        <f t="shared" si="3"/>
        <v>-1.3509364445809027</v>
      </c>
      <c r="L23" s="75">
        <f>VLOOKUP($A23,'Data Vlaue (Cr)'!$C:$FB,67)</f>
        <v>1934</v>
      </c>
      <c r="M23" s="75">
        <f>VLOOKUP($A23,'Data Vlaue (Cr)'!$C:$FB,68)</f>
        <v>1726</v>
      </c>
      <c r="N23" s="75">
        <f t="shared" si="4"/>
        <v>208</v>
      </c>
      <c r="O23" s="75">
        <f t="shared" si="5"/>
        <v>10.754912099276112</v>
      </c>
      <c r="P23" s="75">
        <f>VLOOKUP($A23,'Data Vlaue (Cr)'!$C:$FB,119)</f>
        <v>0.72</v>
      </c>
      <c r="Q23" s="75">
        <f>VLOOKUP($A23,'Data Vlaue (Cr)'!$C:$FB,122)*100</f>
        <v>-4</v>
      </c>
      <c r="R23" s="75">
        <f>VLOOKUP($A23,'Data Vlaue (Cr)'!$C:$FB,125)</f>
        <v>0.55000000000000004</v>
      </c>
      <c r="S23" s="75">
        <f>VLOOKUP($A23,'Data Vlaue (Cr)'!$C:$FB,128)*100</f>
        <v>-36.049999999999997</v>
      </c>
    </row>
    <row r="24" spans="1:19" x14ac:dyDescent="0.25">
      <c r="A24" s="96" t="str">
        <f>'Data Vlaue (Cr)'!C15</f>
        <v>ASHOKLEY</v>
      </c>
      <c r="B24" s="75">
        <f>VLOOKUP($A24,'Data Vlaue (Cr)'!$C:$FB,2)</f>
        <v>5000</v>
      </c>
      <c r="C24" s="75">
        <f>VLOOKUP($A24,'Data Vlaue (Cr)'!$C:$FB,8)</f>
        <v>178.47</v>
      </c>
      <c r="D24" s="75">
        <f>VLOOKUP($A24,'Data Vlaue (Cr)'!$C:$FB,4)</f>
        <v>179.02</v>
      </c>
      <c r="E24" s="75">
        <f>VLOOKUP($A24,'Data Vlaue (Cr)'!$C:$FB,5)</f>
        <v>185.47</v>
      </c>
      <c r="F24" s="75">
        <f t="shared" si="0"/>
        <v>0.55000000000001137</v>
      </c>
      <c r="G24" s="75">
        <f t="shared" si="1"/>
        <v>-3.6029493911294765</v>
      </c>
      <c r="H24" s="75">
        <f>VLOOKUP($A24,'Data Vlaue (Cr)'!$C:$FB,99)</f>
        <v>5032</v>
      </c>
      <c r="I24" s="75">
        <f>VLOOKUP($A24,'Data Vlaue (Cr)'!$C:$FB,100)</f>
        <v>4783</v>
      </c>
      <c r="J24" s="75">
        <f t="shared" si="2"/>
        <v>249</v>
      </c>
      <c r="K24" s="75">
        <f t="shared" si="3"/>
        <v>4.9483306836248016</v>
      </c>
      <c r="L24" s="75">
        <f>VLOOKUP($A24,'Data Vlaue (Cr)'!$C:$FB,67)</f>
        <v>5046</v>
      </c>
      <c r="M24" s="75">
        <f>VLOOKUP($A24,'Data Vlaue (Cr)'!$C:$FB,68)</f>
        <v>3044</v>
      </c>
      <c r="N24" s="75">
        <f t="shared" si="4"/>
        <v>2002</v>
      </c>
      <c r="O24" s="75">
        <f t="shared" si="5"/>
        <v>39.67499009116132</v>
      </c>
      <c r="P24" s="75">
        <f>VLOOKUP($A24,'Data Vlaue (Cr)'!$C:$FB,119)</f>
        <v>0.54</v>
      </c>
      <c r="Q24" s="75">
        <f>VLOOKUP($A24,'Data Vlaue (Cr)'!$C:$FB,122)*100</f>
        <v>8</v>
      </c>
      <c r="R24" s="75">
        <f>VLOOKUP($A24,'Data Vlaue (Cr)'!$C:$FB,125)</f>
        <v>0.68</v>
      </c>
      <c r="S24" s="75">
        <f>VLOOKUP($A24,'Data Vlaue (Cr)'!$C:$FB,128)*100</f>
        <v>9.68</v>
      </c>
    </row>
    <row r="25" spans="1:19" x14ac:dyDescent="0.25">
      <c r="A25" s="96" t="str">
        <f>'Data Vlaue (Cr)'!C16</f>
        <v>ASIANPAINT</v>
      </c>
      <c r="B25" s="75">
        <f>VLOOKUP($A25,'Data Vlaue (Cr)'!$C:$FB,2)</f>
        <v>250</v>
      </c>
      <c r="C25" s="75">
        <f>VLOOKUP($A25,'Data Vlaue (Cr)'!$C:$FB,8)</f>
        <v>2221.1999999999998</v>
      </c>
      <c r="D25" s="75">
        <f>VLOOKUP($A25,'Data Vlaue (Cr)'!$C:$FB,4)</f>
        <v>2226.6</v>
      </c>
      <c r="E25" s="75">
        <f>VLOOKUP($A25,'Data Vlaue (Cr)'!$C:$FB,5)</f>
        <v>2234.4</v>
      </c>
      <c r="F25" s="75">
        <f t="shared" si="0"/>
        <v>5.4000000000000909</v>
      </c>
      <c r="G25" s="75">
        <f t="shared" si="1"/>
        <v>-0.3503098895176584</v>
      </c>
      <c r="H25" s="75">
        <f>VLOOKUP($A25,'Data Vlaue (Cr)'!$C:$FB,99)</f>
        <v>5198</v>
      </c>
      <c r="I25" s="75">
        <f>VLOOKUP($A25,'Data Vlaue (Cr)'!$C:$FB,100)</f>
        <v>5102</v>
      </c>
      <c r="J25" s="75">
        <f t="shared" si="2"/>
        <v>96</v>
      </c>
      <c r="K25" s="75">
        <f t="shared" si="3"/>
        <v>1.846864178530204</v>
      </c>
      <c r="L25" s="75">
        <f>VLOOKUP($A25,'Data Vlaue (Cr)'!$C:$FB,67)</f>
        <v>2448</v>
      </c>
      <c r="M25" s="75">
        <f>VLOOKUP($A25,'Data Vlaue (Cr)'!$C:$FB,68)</f>
        <v>2301</v>
      </c>
      <c r="N25" s="75">
        <f t="shared" si="4"/>
        <v>147</v>
      </c>
      <c r="O25" s="75">
        <f t="shared" si="5"/>
        <v>6.0049019607843137</v>
      </c>
      <c r="P25" s="75">
        <f>VLOOKUP($A25,'Data Vlaue (Cr)'!$C:$FB,119)</f>
        <v>0.94</v>
      </c>
      <c r="Q25" s="75">
        <f>VLOOKUP($A25,'Data Vlaue (Cr)'!$C:$FB,122)*100</f>
        <v>-4.08</v>
      </c>
      <c r="R25" s="75">
        <f>VLOOKUP($A25,'Data Vlaue (Cr)'!$C:$FB,125)</f>
        <v>1.05</v>
      </c>
      <c r="S25" s="75">
        <f>VLOOKUP($A25,'Data Vlaue (Cr)'!$C:$FB,128)*100</f>
        <v>9.379999999999999</v>
      </c>
    </row>
    <row r="26" spans="1:19" x14ac:dyDescent="0.25">
      <c r="A26" s="96" t="str">
        <f>'Data Vlaue (Cr)'!C17</f>
        <v>ASTRAL</v>
      </c>
      <c r="B26" s="75">
        <f>VLOOKUP($A26,'Data Vlaue (Cr)'!$C:$FB,2)</f>
        <v>425</v>
      </c>
      <c r="C26" s="75">
        <f>VLOOKUP($A26,'Data Vlaue (Cr)'!$C:$FB,8)</f>
        <v>1696</v>
      </c>
      <c r="D26" s="75">
        <f>VLOOKUP($A26,'Data Vlaue (Cr)'!$C:$FB,4)</f>
        <v>1660.4</v>
      </c>
      <c r="E26" s="75">
        <f>VLOOKUP($A26,'Data Vlaue (Cr)'!$C:$FB,5)</f>
        <v>1652.3</v>
      </c>
      <c r="F26" s="75">
        <f t="shared" si="0"/>
        <v>-35.599999999999909</v>
      </c>
      <c r="G26" s="75">
        <f t="shared" si="1"/>
        <v>0.48783425680559722</v>
      </c>
      <c r="H26" s="75">
        <f>VLOOKUP($A26,'Data Vlaue (Cr)'!$C:$FB,99)</f>
        <v>2700</v>
      </c>
      <c r="I26" s="75">
        <f>VLOOKUP($A26,'Data Vlaue (Cr)'!$C:$FB,100)</f>
        <v>2791</v>
      </c>
      <c r="J26" s="75">
        <f t="shared" si="2"/>
        <v>-91</v>
      </c>
      <c r="K26" s="75">
        <f t="shared" si="3"/>
        <v>-3.3703703703703702</v>
      </c>
      <c r="L26" s="75">
        <f>VLOOKUP($A26,'Data Vlaue (Cr)'!$C:$FB,67)</f>
        <v>3854</v>
      </c>
      <c r="M26" s="75">
        <f>VLOOKUP($A26,'Data Vlaue (Cr)'!$C:$FB,68)</f>
        <v>6156</v>
      </c>
      <c r="N26" s="75">
        <f t="shared" si="4"/>
        <v>-2302</v>
      </c>
      <c r="O26" s="75">
        <f t="shared" si="5"/>
        <v>-59.730150492994291</v>
      </c>
      <c r="P26" s="75">
        <f>VLOOKUP($A26,'Data Vlaue (Cr)'!$C:$FB,119)</f>
        <v>0.56999999999999995</v>
      </c>
      <c r="Q26" s="75">
        <f>VLOOKUP($A26,'Data Vlaue (Cr)'!$C:$FB,122)*100</f>
        <v>16.329999999999998</v>
      </c>
      <c r="R26" s="75">
        <f>VLOOKUP($A26,'Data Vlaue (Cr)'!$C:$FB,125)</f>
        <v>0.71</v>
      </c>
      <c r="S26" s="75">
        <f>VLOOKUP($A26,'Data Vlaue (Cr)'!$C:$FB,128)*100</f>
        <v>208.70000000000002</v>
      </c>
    </row>
    <row r="27" spans="1:19" x14ac:dyDescent="0.25">
      <c r="A27" s="96" t="str">
        <f>'Data Vlaue (Cr)'!C18</f>
        <v>AUBANK</v>
      </c>
      <c r="B27" s="75">
        <f>VLOOKUP($A27,'Data Vlaue (Cr)'!$C:$FB,2)</f>
        <v>1000</v>
      </c>
      <c r="C27" s="75">
        <f>VLOOKUP($A27,'Data Vlaue (Cr)'!$C:$FB,8)</f>
        <v>902.2</v>
      </c>
      <c r="D27" s="75">
        <f>VLOOKUP($A27,'Data Vlaue (Cr)'!$C:$FB,4)</f>
        <v>906</v>
      </c>
      <c r="E27" s="75">
        <f>VLOOKUP($A27,'Data Vlaue (Cr)'!$C:$FB,5)</f>
        <v>918.6</v>
      </c>
      <c r="F27" s="75">
        <f t="shared" si="0"/>
        <v>3.7999999999999545</v>
      </c>
      <c r="G27" s="75">
        <f t="shared" si="1"/>
        <v>-1.3907284768211947</v>
      </c>
      <c r="H27" s="75">
        <f>VLOOKUP($A27,'Data Vlaue (Cr)'!$C:$FB,99)</f>
        <v>3683</v>
      </c>
      <c r="I27" s="75">
        <f>VLOOKUP($A27,'Data Vlaue (Cr)'!$C:$FB,100)</f>
        <v>3597</v>
      </c>
      <c r="J27" s="75">
        <f t="shared" si="2"/>
        <v>86</v>
      </c>
      <c r="K27" s="75">
        <f t="shared" si="3"/>
        <v>2.335052945967961</v>
      </c>
      <c r="L27" s="75">
        <f>VLOOKUP($A27,'Data Vlaue (Cr)'!$C:$FB,67)</f>
        <v>1707</v>
      </c>
      <c r="M27" s="75">
        <f>VLOOKUP($A27,'Data Vlaue (Cr)'!$C:$FB,68)</f>
        <v>1708</v>
      </c>
      <c r="N27" s="75">
        <f t="shared" si="4"/>
        <v>-1</v>
      </c>
      <c r="O27" s="75">
        <f t="shared" si="5"/>
        <v>-5.8582308142940832E-2</v>
      </c>
      <c r="P27" s="75">
        <f>VLOOKUP($A27,'Data Vlaue (Cr)'!$C:$FB,119)</f>
        <v>0.61</v>
      </c>
      <c r="Q27" s="75">
        <f>VLOOKUP($A27,'Data Vlaue (Cr)'!$C:$FB,122)*100</f>
        <v>-6.15</v>
      </c>
      <c r="R27" s="75">
        <f>VLOOKUP($A27,'Data Vlaue (Cr)'!$C:$FB,125)</f>
        <v>0.74</v>
      </c>
      <c r="S27" s="75">
        <f>VLOOKUP($A27,'Data Vlaue (Cr)'!$C:$FB,128)*100</f>
        <v>-12.94</v>
      </c>
    </row>
    <row r="28" spans="1:19" x14ac:dyDescent="0.25">
      <c r="A28" s="96" t="str">
        <f>'Data Vlaue (Cr)'!C19</f>
        <v>AUROPHARMA</v>
      </c>
      <c r="B28" s="75">
        <f>VLOOKUP($A28,'Data Vlaue (Cr)'!$C:$FB,2)</f>
        <v>550</v>
      </c>
      <c r="C28" s="75">
        <f>VLOOKUP($A28,'Data Vlaue (Cr)'!$C:$FB,8)</f>
        <v>1311.9</v>
      </c>
      <c r="D28" s="75">
        <f>VLOOKUP($A28,'Data Vlaue (Cr)'!$C:$FB,4)</f>
        <v>1313.2</v>
      </c>
      <c r="E28" s="75">
        <f>VLOOKUP($A28,'Data Vlaue (Cr)'!$C:$FB,5)</f>
        <v>1306.5</v>
      </c>
      <c r="F28" s="75">
        <f t="shared" si="0"/>
        <v>1.2999999999999545</v>
      </c>
      <c r="G28" s="75">
        <f t="shared" si="1"/>
        <v>0.51020408163265651</v>
      </c>
      <c r="H28" s="75">
        <f>VLOOKUP($A28,'Data Vlaue (Cr)'!$C:$FB,99)</f>
        <v>4372</v>
      </c>
      <c r="I28" s="75">
        <f>VLOOKUP($A28,'Data Vlaue (Cr)'!$C:$FB,100)</f>
        <v>4268</v>
      </c>
      <c r="J28" s="75">
        <f t="shared" si="2"/>
        <v>104</v>
      </c>
      <c r="K28" s="75">
        <f t="shared" si="3"/>
        <v>2.3787740164684354</v>
      </c>
      <c r="L28" s="75">
        <f>VLOOKUP($A28,'Data Vlaue (Cr)'!$C:$FB,67)</f>
        <v>3128</v>
      </c>
      <c r="M28" s="75">
        <f>VLOOKUP($A28,'Data Vlaue (Cr)'!$C:$FB,68)</f>
        <v>3313</v>
      </c>
      <c r="N28" s="75">
        <f t="shared" si="4"/>
        <v>-185</v>
      </c>
      <c r="O28" s="75">
        <f t="shared" si="5"/>
        <v>-5.914322250639386</v>
      </c>
      <c r="P28" s="75">
        <f>VLOOKUP($A28,'Data Vlaue (Cr)'!$C:$FB,119)</f>
        <v>0.93</v>
      </c>
      <c r="Q28" s="75">
        <f>VLOOKUP($A28,'Data Vlaue (Cr)'!$C:$FB,122)*100</f>
        <v>8.14</v>
      </c>
      <c r="R28" s="75">
        <f>VLOOKUP($A28,'Data Vlaue (Cr)'!$C:$FB,125)</f>
        <v>0.83</v>
      </c>
      <c r="S28" s="75">
        <f>VLOOKUP($A28,'Data Vlaue (Cr)'!$C:$FB,128)*100</f>
        <v>124.32000000000001</v>
      </c>
    </row>
    <row r="29" spans="1:19" x14ac:dyDescent="0.25">
      <c r="A29" s="96" t="str">
        <f>'Data Vlaue (Cr)'!C20</f>
        <v>AXISBANK</v>
      </c>
      <c r="B29" s="75">
        <f>VLOOKUP($A29,'Data Vlaue (Cr)'!$C:$FB,2)</f>
        <v>625</v>
      </c>
      <c r="C29" s="75">
        <f>VLOOKUP($A29,'Data Vlaue (Cr)'!$C:$FB,8)</f>
        <v>1234.5</v>
      </c>
      <c r="D29" s="75">
        <f>VLOOKUP($A29,'Data Vlaue (Cr)'!$C:$FB,4)</f>
        <v>1239.4000000000001</v>
      </c>
      <c r="E29" s="75">
        <f>VLOOKUP($A29,'Data Vlaue (Cr)'!$C:$FB,5)</f>
        <v>1260.3</v>
      </c>
      <c r="F29" s="75">
        <f t="shared" si="0"/>
        <v>4.9000000000000909</v>
      </c>
      <c r="G29" s="75">
        <f t="shared" si="1"/>
        <v>-1.6862998224947443</v>
      </c>
      <c r="H29" s="75">
        <f>VLOOKUP($A29,'Data Vlaue (Cr)'!$C:$FB,99)</f>
        <v>12655</v>
      </c>
      <c r="I29" s="75">
        <f>VLOOKUP($A29,'Data Vlaue (Cr)'!$C:$FB,100)</f>
        <v>12208</v>
      </c>
      <c r="J29" s="75">
        <f t="shared" si="2"/>
        <v>447</v>
      </c>
      <c r="K29" s="75">
        <f t="shared" si="3"/>
        <v>3.5322007111813511</v>
      </c>
      <c r="L29" s="75">
        <f>VLOOKUP($A29,'Data Vlaue (Cr)'!$C:$FB,67)</f>
        <v>7218</v>
      </c>
      <c r="M29" s="75">
        <f>VLOOKUP($A29,'Data Vlaue (Cr)'!$C:$FB,68)</f>
        <v>10262</v>
      </c>
      <c r="N29" s="75">
        <f t="shared" si="4"/>
        <v>-3044</v>
      </c>
      <c r="O29" s="75">
        <f t="shared" si="5"/>
        <v>-42.172346910501524</v>
      </c>
      <c r="P29" s="75">
        <f>VLOOKUP($A29,'Data Vlaue (Cr)'!$C:$FB,119)</f>
        <v>0.48</v>
      </c>
      <c r="Q29" s="75">
        <f>VLOOKUP($A29,'Data Vlaue (Cr)'!$C:$FB,122)*100</f>
        <v>-4</v>
      </c>
      <c r="R29" s="75">
        <f>VLOOKUP($A29,'Data Vlaue (Cr)'!$C:$FB,125)</f>
        <v>0.65</v>
      </c>
      <c r="S29" s="75">
        <f>VLOOKUP($A29,'Data Vlaue (Cr)'!$C:$FB,128)*100</f>
        <v>-4.41</v>
      </c>
    </row>
    <row r="30" spans="1:19" x14ac:dyDescent="0.25">
      <c r="A30" s="96" t="str">
        <f>'Data Vlaue (Cr)'!C21</f>
        <v>BAJAJ-AUTO</v>
      </c>
      <c r="B30" s="75">
        <f>VLOOKUP($A30,'Data Vlaue (Cr)'!$C:$FB,2)</f>
        <v>75</v>
      </c>
      <c r="C30" s="75">
        <f>VLOOKUP($A30,'Data Vlaue (Cr)'!$C:$FB,8)</f>
        <v>9162</v>
      </c>
      <c r="D30" s="75">
        <f>VLOOKUP($A30,'Data Vlaue (Cr)'!$C:$FB,4)</f>
        <v>9127.5</v>
      </c>
      <c r="E30" s="75">
        <f>VLOOKUP($A30,'Data Vlaue (Cr)'!$C:$FB,5)</f>
        <v>9308</v>
      </c>
      <c r="F30" s="75">
        <f t="shared" si="0"/>
        <v>-34.5</v>
      </c>
      <c r="G30" s="75">
        <f t="shared" si="1"/>
        <v>-1.9775403998904411</v>
      </c>
      <c r="H30" s="75">
        <f>VLOOKUP($A30,'Data Vlaue (Cr)'!$C:$FB,99)</f>
        <v>5471</v>
      </c>
      <c r="I30" s="75">
        <f>VLOOKUP($A30,'Data Vlaue (Cr)'!$C:$FB,100)</f>
        <v>5254</v>
      </c>
      <c r="J30" s="75">
        <f t="shared" si="2"/>
        <v>217</v>
      </c>
      <c r="K30" s="75">
        <f t="shared" si="3"/>
        <v>3.9663681228294645</v>
      </c>
      <c r="L30" s="75">
        <f>VLOOKUP($A30,'Data Vlaue (Cr)'!$C:$FB,67)</f>
        <v>3882</v>
      </c>
      <c r="M30" s="75">
        <f>VLOOKUP($A30,'Data Vlaue (Cr)'!$C:$FB,68)</f>
        <v>4821</v>
      </c>
      <c r="N30" s="75">
        <f t="shared" si="4"/>
        <v>-939</v>
      </c>
      <c r="O30" s="75">
        <f t="shared" si="5"/>
        <v>-24.188562596599692</v>
      </c>
      <c r="P30" s="75">
        <f>VLOOKUP($A30,'Data Vlaue (Cr)'!$C:$FB,119)</f>
        <v>0.47</v>
      </c>
      <c r="Q30" s="75">
        <f>VLOOKUP($A30,'Data Vlaue (Cr)'!$C:$FB,122)*100</f>
        <v>-6</v>
      </c>
      <c r="R30" s="75">
        <f>VLOOKUP($A30,'Data Vlaue (Cr)'!$C:$FB,125)</f>
        <v>0.7</v>
      </c>
      <c r="S30" s="75">
        <f>VLOOKUP($A30,'Data Vlaue (Cr)'!$C:$FB,128)*100</f>
        <v>-9.09</v>
      </c>
    </row>
    <row r="31" spans="1:19" x14ac:dyDescent="0.25">
      <c r="A31" s="96" t="str">
        <f>'Data Vlaue (Cr)'!C22</f>
        <v>BAJAJFINSV</v>
      </c>
      <c r="B31" s="75">
        <f>VLOOKUP($A31,'Data Vlaue (Cr)'!$C:$FB,2)</f>
        <v>250</v>
      </c>
      <c r="C31" s="75">
        <f>VLOOKUP($A31,'Data Vlaue (Cr)'!$C:$FB,8)</f>
        <v>1770.8</v>
      </c>
      <c r="D31" s="75">
        <f>VLOOKUP($A31,'Data Vlaue (Cr)'!$C:$FB,4)</f>
        <v>1773.1</v>
      </c>
      <c r="E31" s="75">
        <f>VLOOKUP($A31,'Data Vlaue (Cr)'!$C:$FB,5)</f>
        <v>1797.6</v>
      </c>
      <c r="F31" s="75">
        <f t="shared" si="0"/>
        <v>2.2999999999999545</v>
      </c>
      <c r="G31" s="75">
        <f t="shared" si="1"/>
        <v>-1.3817607579944731</v>
      </c>
      <c r="H31" s="75">
        <f>VLOOKUP($A31,'Data Vlaue (Cr)'!$C:$FB,99)</f>
        <v>4679</v>
      </c>
      <c r="I31" s="75">
        <f>VLOOKUP($A31,'Data Vlaue (Cr)'!$C:$FB,100)</f>
        <v>4644</v>
      </c>
      <c r="J31" s="75">
        <f t="shared" si="2"/>
        <v>35</v>
      </c>
      <c r="K31" s="75">
        <f t="shared" si="3"/>
        <v>0.74802308185509725</v>
      </c>
      <c r="L31" s="75">
        <f>VLOOKUP($A31,'Data Vlaue (Cr)'!$C:$FB,67)</f>
        <v>1788</v>
      </c>
      <c r="M31" s="75">
        <f>VLOOKUP($A31,'Data Vlaue (Cr)'!$C:$FB,68)</f>
        <v>3860</v>
      </c>
      <c r="N31" s="75">
        <f t="shared" si="4"/>
        <v>-2072</v>
      </c>
      <c r="O31" s="75">
        <f t="shared" si="5"/>
        <v>-115.88366890380313</v>
      </c>
      <c r="P31" s="75">
        <f>VLOOKUP($A31,'Data Vlaue (Cr)'!$C:$FB,119)</f>
        <v>0.45</v>
      </c>
      <c r="Q31" s="75">
        <f>VLOOKUP($A31,'Data Vlaue (Cr)'!$C:$FB,122)*100</f>
        <v>-8.16</v>
      </c>
      <c r="R31" s="75">
        <f>VLOOKUP($A31,'Data Vlaue (Cr)'!$C:$FB,125)</f>
        <v>0.5</v>
      </c>
      <c r="S31" s="75">
        <f>VLOOKUP($A31,'Data Vlaue (Cr)'!$C:$FB,128)*100</f>
        <v>-9.09</v>
      </c>
    </row>
    <row r="32" spans="1:19" x14ac:dyDescent="0.25">
      <c r="A32" s="96" t="str">
        <f>'Data Vlaue (Cr)'!C23</f>
        <v>BAJAJHLDNG</v>
      </c>
      <c r="B32" s="75">
        <f>VLOOKUP($A32,'Data Vlaue (Cr)'!$C:$FB,2)</f>
        <v>50</v>
      </c>
      <c r="C32" s="75">
        <f>VLOOKUP($A32,'Data Vlaue (Cr)'!$C:$FB,8)</f>
        <v>9789</v>
      </c>
      <c r="D32" s="75">
        <f>VLOOKUP($A32,'Data Vlaue (Cr)'!$C:$FB,4)</f>
        <v>9821</v>
      </c>
      <c r="E32" s="75">
        <f>VLOOKUP($A32,'Data Vlaue (Cr)'!$C:$FB,5)</f>
        <v>10179</v>
      </c>
      <c r="F32" s="75">
        <f t="shared" si="0"/>
        <v>32</v>
      </c>
      <c r="G32" s="75">
        <f t="shared" si="1"/>
        <v>-3.6452499745443436</v>
      </c>
      <c r="H32" s="75">
        <f>VLOOKUP($A32,'Data Vlaue (Cr)'!$C:$FB,99)</f>
        <v>433</v>
      </c>
      <c r="I32" s="75">
        <f>VLOOKUP($A32,'Data Vlaue (Cr)'!$C:$FB,100)</f>
        <v>407</v>
      </c>
      <c r="J32" s="75">
        <f t="shared" si="2"/>
        <v>26</v>
      </c>
      <c r="K32" s="75">
        <f t="shared" si="3"/>
        <v>6.0046189376443415</v>
      </c>
      <c r="L32" s="75">
        <f>VLOOKUP($A32,'Data Vlaue (Cr)'!$C:$FB,67)</f>
        <v>227</v>
      </c>
      <c r="M32" s="75">
        <f>VLOOKUP($A32,'Data Vlaue (Cr)'!$C:$FB,68)</f>
        <v>162</v>
      </c>
      <c r="N32" s="75">
        <f t="shared" si="4"/>
        <v>65</v>
      </c>
      <c r="O32" s="75">
        <f t="shared" si="5"/>
        <v>28.634361233480178</v>
      </c>
      <c r="P32" s="75">
        <f>VLOOKUP($A32,'Data Vlaue (Cr)'!$C:$FB,119)</f>
        <v>0.48</v>
      </c>
      <c r="Q32" s="75">
        <f>VLOOKUP($A32,'Data Vlaue (Cr)'!$C:$FB,122)*100</f>
        <v>6.67</v>
      </c>
      <c r="R32" s="75">
        <f>VLOOKUP($A32,'Data Vlaue (Cr)'!$C:$FB,125)</f>
        <v>0.68</v>
      </c>
      <c r="S32" s="75">
        <f>VLOOKUP($A32,'Data Vlaue (Cr)'!$C:$FB,128)*100</f>
        <v>65.849999999999994</v>
      </c>
    </row>
    <row r="33" spans="1:19" x14ac:dyDescent="0.25">
      <c r="A33" s="96" t="str">
        <f>'Data Vlaue (Cr)'!C24</f>
        <v>BAJFINANCE</v>
      </c>
      <c r="B33" s="75">
        <f>VLOOKUP($A33,'Data Vlaue (Cr)'!$C:$FB,2)</f>
        <v>750</v>
      </c>
      <c r="C33" s="75">
        <f>VLOOKUP($A33,'Data Vlaue (Cr)'!$C:$FB,8)</f>
        <v>863.1</v>
      </c>
      <c r="D33" s="75">
        <f>VLOOKUP($A33,'Data Vlaue (Cr)'!$C:$FB,4)</f>
        <v>866.6</v>
      </c>
      <c r="E33" s="75">
        <f>VLOOKUP($A33,'Data Vlaue (Cr)'!$C:$FB,5)</f>
        <v>894.1</v>
      </c>
      <c r="F33" s="75">
        <f t="shared" si="0"/>
        <v>3.5</v>
      </c>
      <c r="G33" s="75">
        <f t="shared" si="1"/>
        <v>-3.1733210246942067</v>
      </c>
      <c r="H33" s="75">
        <f>VLOOKUP($A33,'Data Vlaue (Cr)'!$C:$FB,99)</f>
        <v>10305</v>
      </c>
      <c r="I33" s="75">
        <f>VLOOKUP($A33,'Data Vlaue (Cr)'!$C:$FB,100)</f>
        <v>9663</v>
      </c>
      <c r="J33" s="75">
        <f t="shared" si="2"/>
        <v>642</v>
      </c>
      <c r="K33" s="75">
        <f t="shared" si="3"/>
        <v>6.2299854439592437</v>
      </c>
      <c r="L33" s="75">
        <f>VLOOKUP($A33,'Data Vlaue (Cr)'!$C:$FB,67)</f>
        <v>6100</v>
      </c>
      <c r="M33" s="75">
        <f>VLOOKUP($A33,'Data Vlaue (Cr)'!$C:$FB,68)</f>
        <v>6813</v>
      </c>
      <c r="N33" s="75">
        <f t="shared" si="4"/>
        <v>-713</v>
      </c>
      <c r="O33" s="75">
        <f t="shared" si="5"/>
        <v>-11.688524590163935</v>
      </c>
      <c r="P33" s="75">
        <f>VLOOKUP($A33,'Data Vlaue (Cr)'!$C:$FB,119)</f>
        <v>0.69</v>
      </c>
      <c r="Q33" s="75">
        <f>VLOOKUP($A33,'Data Vlaue (Cr)'!$C:$FB,122)*100</f>
        <v>-9.2100000000000009</v>
      </c>
      <c r="R33" s="75">
        <f>VLOOKUP($A33,'Data Vlaue (Cr)'!$C:$FB,125)</f>
        <v>0.79</v>
      </c>
      <c r="S33" s="75">
        <f>VLOOKUP($A33,'Data Vlaue (Cr)'!$C:$FB,128)*100</f>
        <v>-21.78</v>
      </c>
    </row>
    <row r="34" spans="1:19" x14ac:dyDescent="0.25">
      <c r="A34" s="96" t="str">
        <f>'Data Vlaue (Cr)'!C25</f>
        <v>BANDHANBNK</v>
      </c>
      <c r="B34" s="75">
        <f>VLOOKUP($A34,'Data Vlaue (Cr)'!$C:$FB,2)</f>
        <v>3600</v>
      </c>
      <c r="C34" s="75">
        <f>VLOOKUP($A34,'Data Vlaue (Cr)'!$C:$FB,8)</f>
        <v>178.01</v>
      </c>
      <c r="D34" s="75">
        <f>VLOOKUP($A34,'Data Vlaue (Cr)'!$C:$FB,4)</f>
        <v>178.47</v>
      </c>
      <c r="E34" s="75">
        <f>VLOOKUP($A34,'Data Vlaue (Cr)'!$C:$FB,5)</f>
        <v>182.51</v>
      </c>
      <c r="F34" s="75">
        <f t="shared" si="0"/>
        <v>0.46000000000000796</v>
      </c>
      <c r="G34" s="75">
        <f t="shared" si="1"/>
        <v>-2.2636857735193545</v>
      </c>
      <c r="H34" s="180">
        <f>VLOOKUP($A34,'Data Vlaue (Cr)'!$C:$FB,99)</f>
        <v>2729</v>
      </c>
      <c r="I34" s="180">
        <f>VLOOKUP($A34,'Data Vlaue (Cr)'!$C:$FB,100)</f>
        <v>2713</v>
      </c>
      <c r="J34" s="180">
        <f t="shared" si="2"/>
        <v>16</v>
      </c>
      <c r="K34" s="180">
        <f t="shared" si="3"/>
        <v>0.58629534628068891</v>
      </c>
      <c r="L34" s="180">
        <f>VLOOKUP($A34,'Data Vlaue (Cr)'!$C:$FB,67)</f>
        <v>751</v>
      </c>
      <c r="M34" s="180">
        <f>VLOOKUP($A34,'Data Vlaue (Cr)'!$C:$FB,68)</f>
        <v>987</v>
      </c>
      <c r="N34" s="180">
        <f t="shared" si="4"/>
        <v>-236</v>
      </c>
      <c r="O34" s="180">
        <f t="shared" si="5"/>
        <v>-31.424766977363518</v>
      </c>
      <c r="P34" s="180">
        <f>VLOOKUP($A34,'Data Vlaue (Cr)'!$C:$FB,119)</f>
        <v>0.6</v>
      </c>
      <c r="Q34" s="180">
        <f>VLOOKUP($A34,'Data Vlaue (Cr)'!$C:$FB,122)*100</f>
        <v>-6.25</v>
      </c>
      <c r="R34" s="180">
        <f>VLOOKUP($A34,'Data Vlaue (Cr)'!$C:$FB,125)</f>
        <v>0.56000000000000005</v>
      </c>
      <c r="S34" s="180">
        <f>VLOOKUP($A34,'Data Vlaue (Cr)'!$C:$FB,128)*100</f>
        <v>24.44</v>
      </c>
    </row>
    <row r="35" spans="1:19" x14ac:dyDescent="0.25">
      <c r="A35" s="96" t="str">
        <f>'Data Vlaue (Cr)'!C26</f>
        <v>BANKBARODA</v>
      </c>
      <c r="B35" s="75">
        <f>VLOOKUP($A35,'Data Vlaue (Cr)'!$C:$FB,2)</f>
        <v>2925</v>
      </c>
      <c r="C35" s="75">
        <f>VLOOKUP($A35,'Data Vlaue (Cr)'!$C:$FB,8)</f>
        <v>289.2</v>
      </c>
      <c r="D35" s="75">
        <f>VLOOKUP($A35,'Data Vlaue (Cr)'!$C:$FB,4)</f>
        <v>290.2</v>
      </c>
      <c r="E35" s="75">
        <f>VLOOKUP($A35,'Data Vlaue (Cr)'!$C:$FB,5)</f>
        <v>290.35000000000002</v>
      </c>
      <c r="F35" s="75">
        <f t="shared" si="0"/>
        <v>1</v>
      </c>
      <c r="G35" s="75">
        <f t="shared" si="1"/>
        <v>-5.1688490696083424E-2</v>
      </c>
      <c r="H35" s="75">
        <f>VLOOKUP($A35,'Data Vlaue (Cr)'!$C:$FB,99)</f>
        <v>5233</v>
      </c>
      <c r="I35" s="75">
        <f>VLOOKUP($A35,'Data Vlaue (Cr)'!$C:$FB,100)</f>
        <v>5154</v>
      </c>
      <c r="J35" s="75">
        <f t="shared" si="2"/>
        <v>79</v>
      </c>
      <c r="K35" s="75">
        <f t="shared" si="3"/>
        <v>1.50965029619721</v>
      </c>
      <c r="L35" s="75">
        <f>VLOOKUP($A35,'Data Vlaue (Cr)'!$C:$FB,67)</f>
        <v>2330</v>
      </c>
      <c r="M35" s="75">
        <f>VLOOKUP($A35,'Data Vlaue (Cr)'!$C:$FB,68)</f>
        <v>1751</v>
      </c>
      <c r="N35" s="75">
        <f t="shared" si="4"/>
        <v>579</v>
      </c>
      <c r="O35" s="75">
        <f t="shared" si="5"/>
        <v>24.849785407725321</v>
      </c>
      <c r="P35" s="75">
        <f>VLOOKUP($A35,'Data Vlaue (Cr)'!$C:$FB,119)</f>
        <v>0.86</v>
      </c>
      <c r="Q35" s="75">
        <f>VLOOKUP($A35,'Data Vlaue (Cr)'!$C:$FB,122)*100</f>
        <v>-4.4400000000000004</v>
      </c>
      <c r="R35" s="75">
        <f>VLOOKUP($A35,'Data Vlaue (Cr)'!$C:$FB,125)</f>
        <v>0.71</v>
      </c>
      <c r="S35" s="75">
        <f>VLOOKUP($A35,'Data Vlaue (Cr)'!$C:$FB,128)*100</f>
        <v>-16.470000000000002</v>
      </c>
    </row>
    <row r="36" spans="1:19" x14ac:dyDescent="0.25">
      <c r="A36" s="96" t="str">
        <f>'Data Vlaue (Cr)'!C27</f>
        <v>BANKINDIA</v>
      </c>
      <c r="B36" s="75">
        <f>VLOOKUP($A36,'Data Vlaue (Cr)'!$C:$FB,2)</f>
        <v>5200</v>
      </c>
      <c r="C36" s="75">
        <f>VLOOKUP($A36,'Data Vlaue (Cr)'!$C:$FB,8)</f>
        <v>154.78</v>
      </c>
      <c r="D36" s="75">
        <f>VLOOKUP($A36,'Data Vlaue (Cr)'!$C:$FB,4)</f>
        <v>154.91999999999999</v>
      </c>
      <c r="E36" s="75">
        <f>VLOOKUP($A36,'Data Vlaue (Cr)'!$C:$FB,5)</f>
        <v>154.61000000000001</v>
      </c>
      <c r="F36" s="75">
        <f t="shared" si="0"/>
        <v>0.13999999999998636</v>
      </c>
      <c r="G36" s="75">
        <f t="shared" si="1"/>
        <v>0.20010327911178277</v>
      </c>
      <c r="H36" s="75">
        <f>VLOOKUP($A36,'Data Vlaue (Cr)'!$C:$FB,99)</f>
        <v>1598</v>
      </c>
      <c r="I36" s="75">
        <f>VLOOKUP($A36,'Data Vlaue (Cr)'!$C:$FB,100)</f>
        <v>1603</v>
      </c>
      <c r="J36" s="75">
        <f t="shared" si="2"/>
        <v>-5</v>
      </c>
      <c r="K36" s="75">
        <f t="shared" si="3"/>
        <v>-0.31289111389236546</v>
      </c>
      <c r="L36" s="75">
        <f>VLOOKUP($A36,'Data Vlaue (Cr)'!$C:$FB,67)</f>
        <v>473</v>
      </c>
      <c r="M36" s="75">
        <f>VLOOKUP($A36,'Data Vlaue (Cr)'!$C:$FB,68)</f>
        <v>435</v>
      </c>
      <c r="N36" s="75">
        <f t="shared" si="4"/>
        <v>38</v>
      </c>
      <c r="O36" s="75">
        <f t="shared" si="5"/>
        <v>8.0338266384777999</v>
      </c>
      <c r="P36" s="75">
        <f>VLOOKUP($A36,'Data Vlaue (Cr)'!$C:$FB,119)</f>
        <v>0.77</v>
      </c>
      <c r="Q36" s="75">
        <f>VLOOKUP($A36,'Data Vlaue (Cr)'!$C:$FB,122)*100</f>
        <v>-3.75</v>
      </c>
      <c r="R36" s="75">
        <f>VLOOKUP($A36,'Data Vlaue (Cr)'!$C:$FB,125)</f>
        <v>0.54</v>
      </c>
      <c r="S36" s="75">
        <f>VLOOKUP($A36,'Data Vlaue (Cr)'!$C:$FB,128)*100</f>
        <v>-18.18</v>
      </c>
    </row>
    <row r="37" spans="1:19" x14ac:dyDescent="0.25">
      <c r="A37" s="96" t="str">
        <f>'Data Vlaue (Cr)'!C28</f>
        <v>BANKNIFTY</v>
      </c>
      <c r="B37" s="75">
        <f>VLOOKUP($A37,'Data Vlaue (Cr)'!$C:$FB,2)</f>
        <v>30</v>
      </c>
      <c r="C37" s="75">
        <f>VLOOKUP($A37,'Data Vlaue (Cr)'!$C:$FB,8)</f>
        <v>55100.95</v>
      </c>
      <c r="D37" s="75">
        <f>VLOOKUP($A37,'Data Vlaue (Cr)'!$C:$FB,4)</f>
        <v>55369.8</v>
      </c>
      <c r="E37" s="75">
        <f>VLOOKUP($A37,'Data Vlaue (Cr)'!$C:$FB,5)</f>
        <v>55929.8</v>
      </c>
      <c r="F37" s="75">
        <f t="shared" si="0"/>
        <v>268.85000000000582</v>
      </c>
      <c r="G37" s="75">
        <f t="shared" si="1"/>
        <v>-1.0113816557040118</v>
      </c>
      <c r="H37" s="75">
        <f>VLOOKUP($A37,'Data Vlaue (Cr)'!$C:$FB,99)</f>
        <v>212966</v>
      </c>
      <c r="I37" s="75">
        <f>VLOOKUP($A37,'Data Vlaue (Cr)'!$C:$FB,100)</f>
        <v>206730</v>
      </c>
      <c r="J37" s="75">
        <f t="shared" si="2"/>
        <v>6236</v>
      </c>
      <c r="K37" s="75">
        <f t="shared" si="3"/>
        <v>2.9281669374454138</v>
      </c>
      <c r="L37" s="75">
        <f>VLOOKUP($A37,'Data Vlaue (Cr)'!$C:$FB,67)</f>
        <v>426054</v>
      </c>
      <c r="M37" s="75">
        <f>VLOOKUP($A37,'Data Vlaue (Cr)'!$C:$FB,68)</f>
        <v>423065</v>
      </c>
      <c r="N37" s="75">
        <f t="shared" si="4"/>
        <v>2989</v>
      </c>
      <c r="O37" s="75">
        <f t="shared" si="5"/>
        <v>0.70155426307463375</v>
      </c>
      <c r="P37" s="75">
        <f>VLOOKUP($A37,'Data Vlaue (Cr)'!$C:$FB,119)</f>
        <v>0.79</v>
      </c>
      <c r="Q37" s="75">
        <f>VLOOKUP($A37,'Data Vlaue (Cr)'!$C:$FB,122)*100</f>
        <v>2.6</v>
      </c>
      <c r="R37" s="75">
        <f>VLOOKUP($A37,'Data Vlaue (Cr)'!$C:$FB,125)</f>
        <v>0.72</v>
      </c>
      <c r="S37" s="75">
        <f>VLOOKUP($A37,'Data Vlaue (Cr)'!$C:$FB,128)*100</f>
        <v>-17.239999999999998</v>
      </c>
    </row>
    <row r="38" spans="1:19" x14ac:dyDescent="0.25">
      <c r="A38" s="96" t="str">
        <f>'Data Vlaue (Cr)'!C29</f>
        <v>BDL</v>
      </c>
      <c r="B38" s="75">
        <f>VLOOKUP($A38,'Data Vlaue (Cr)'!$C:$FB,2)</f>
        <v>350</v>
      </c>
      <c r="C38" s="75">
        <f>VLOOKUP($A38,'Data Vlaue (Cr)'!$C:$FB,8)</f>
        <v>1349.4</v>
      </c>
      <c r="D38" s="75">
        <f>VLOOKUP($A38,'Data Vlaue (Cr)'!$C:$FB,4)</f>
        <v>1352.1</v>
      </c>
      <c r="E38" s="75">
        <f>VLOOKUP($A38,'Data Vlaue (Cr)'!$C:$FB,5)</f>
        <v>1358.1</v>
      </c>
      <c r="F38" s="75">
        <f t="shared" si="0"/>
        <v>2.6999999999998181</v>
      </c>
      <c r="G38" s="75">
        <f t="shared" si="1"/>
        <v>-0.44375416019525188</v>
      </c>
      <c r="H38" s="75">
        <f>VLOOKUP($A38,'Data Vlaue (Cr)'!$C:$FB,99)</f>
        <v>1646</v>
      </c>
      <c r="I38" s="75">
        <f>VLOOKUP($A38,'Data Vlaue (Cr)'!$C:$FB,100)</f>
        <v>1658</v>
      </c>
      <c r="J38" s="75">
        <f t="shared" si="2"/>
        <v>-12</v>
      </c>
      <c r="K38" s="75">
        <f t="shared" si="3"/>
        <v>-0.72904009720534624</v>
      </c>
      <c r="L38" s="75">
        <f>VLOOKUP($A38,'Data Vlaue (Cr)'!$C:$FB,67)</f>
        <v>771</v>
      </c>
      <c r="M38" s="75">
        <f>VLOOKUP($A38,'Data Vlaue (Cr)'!$C:$FB,68)</f>
        <v>1569</v>
      </c>
      <c r="N38" s="75">
        <f t="shared" si="4"/>
        <v>-798</v>
      </c>
      <c r="O38" s="75">
        <f t="shared" si="5"/>
        <v>-103.50194552529184</v>
      </c>
      <c r="P38" s="75">
        <f>VLOOKUP($A38,'Data Vlaue (Cr)'!$C:$FB,119)</f>
        <v>0.62</v>
      </c>
      <c r="Q38" s="75">
        <f>VLOOKUP($A38,'Data Vlaue (Cr)'!$C:$FB,122)*100</f>
        <v>0</v>
      </c>
      <c r="R38" s="75">
        <f>VLOOKUP($A38,'Data Vlaue (Cr)'!$C:$FB,125)</f>
        <v>0.4</v>
      </c>
      <c r="S38" s="75">
        <f>VLOOKUP($A38,'Data Vlaue (Cr)'!$C:$FB,128)*100</f>
        <v>5.26</v>
      </c>
    </row>
    <row r="39" spans="1:19" x14ac:dyDescent="0.25">
      <c r="A39" s="96" t="str">
        <f>'Data Vlaue (Cr)'!C30</f>
        <v>BEL</v>
      </c>
      <c r="B39" s="75">
        <f>VLOOKUP($A39,'Data Vlaue (Cr)'!$C:$FB,2)</f>
        <v>1425</v>
      </c>
      <c r="C39" s="75">
        <f>VLOOKUP($A39,'Data Vlaue (Cr)'!$C:$FB,8)</f>
        <v>453.55</v>
      </c>
      <c r="D39" s="75">
        <f>VLOOKUP($A39,'Data Vlaue (Cr)'!$C:$FB,4)</f>
        <v>454.4</v>
      </c>
      <c r="E39" s="75">
        <f>VLOOKUP($A39,'Data Vlaue (Cr)'!$C:$FB,5)</f>
        <v>455.8</v>
      </c>
      <c r="F39" s="75">
        <f t="shared" si="0"/>
        <v>0.84999999999996589</v>
      </c>
      <c r="G39" s="75">
        <f t="shared" si="1"/>
        <v>-0.3080985915493033</v>
      </c>
      <c r="H39" s="75">
        <f>VLOOKUP($A39,'Data Vlaue (Cr)'!$C:$FB,99)</f>
        <v>8654</v>
      </c>
      <c r="I39" s="75">
        <f>VLOOKUP($A39,'Data Vlaue (Cr)'!$C:$FB,100)</f>
        <v>8511</v>
      </c>
      <c r="J39" s="75">
        <f t="shared" si="2"/>
        <v>143</v>
      </c>
      <c r="K39" s="75">
        <f t="shared" si="3"/>
        <v>1.6524150681765659</v>
      </c>
      <c r="L39" s="75">
        <f>VLOOKUP($A39,'Data Vlaue (Cr)'!$C:$FB,67)</f>
        <v>4758</v>
      </c>
      <c r="M39" s="75">
        <f>VLOOKUP($A39,'Data Vlaue (Cr)'!$C:$FB,68)</f>
        <v>5053</v>
      </c>
      <c r="N39" s="75">
        <f t="shared" si="4"/>
        <v>-295</v>
      </c>
      <c r="O39" s="75">
        <f t="shared" si="5"/>
        <v>-6.200084068936528</v>
      </c>
      <c r="P39" s="75">
        <f>VLOOKUP($A39,'Data Vlaue (Cr)'!$C:$FB,119)</f>
        <v>0.57999999999999996</v>
      </c>
      <c r="Q39" s="75">
        <f>VLOOKUP($A39,'Data Vlaue (Cr)'!$C:$FB,122)*100</f>
        <v>-6.45</v>
      </c>
      <c r="R39" s="75">
        <f>VLOOKUP($A39,'Data Vlaue (Cr)'!$C:$FB,125)</f>
        <v>0.55000000000000004</v>
      </c>
      <c r="S39" s="75">
        <f>VLOOKUP($A39,'Data Vlaue (Cr)'!$C:$FB,128)*100</f>
        <v>-12.7</v>
      </c>
    </row>
    <row r="40" spans="1:19" x14ac:dyDescent="0.25">
      <c r="A40" s="96" t="str">
        <f>'Data Vlaue (Cr)'!C31</f>
        <v>BHARATFORG</v>
      </c>
      <c r="B40" s="75">
        <f>VLOOKUP($A40,'Data Vlaue (Cr)'!$C:$FB,2)</f>
        <v>500</v>
      </c>
      <c r="C40" s="75">
        <f>VLOOKUP($A40,'Data Vlaue (Cr)'!$C:$FB,8)</f>
        <v>1779.6</v>
      </c>
      <c r="D40" s="75">
        <f>VLOOKUP($A40,'Data Vlaue (Cr)'!$C:$FB,4)</f>
        <v>1784.1</v>
      </c>
      <c r="E40" s="75">
        <f>VLOOKUP($A40,'Data Vlaue (Cr)'!$C:$FB,5)</f>
        <v>1803.7</v>
      </c>
      <c r="F40" s="75">
        <f t="shared" si="0"/>
        <v>4.5</v>
      </c>
      <c r="G40" s="75">
        <f t="shared" si="1"/>
        <v>-1.0985931281878896</v>
      </c>
      <c r="H40" s="75">
        <f>VLOOKUP($A40,'Data Vlaue (Cr)'!$C:$FB,99)</f>
        <v>2522</v>
      </c>
      <c r="I40" s="75">
        <f>VLOOKUP($A40,'Data Vlaue (Cr)'!$C:$FB,100)</f>
        <v>2481</v>
      </c>
      <c r="J40" s="75">
        <f t="shared" si="2"/>
        <v>41</v>
      </c>
      <c r="K40" s="75">
        <f t="shared" si="3"/>
        <v>1.6256938937351311</v>
      </c>
      <c r="L40" s="75">
        <f>VLOOKUP($A40,'Data Vlaue (Cr)'!$C:$FB,67)</f>
        <v>3498</v>
      </c>
      <c r="M40" s="75">
        <f>VLOOKUP($A40,'Data Vlaue (Cr)'!$C:$FB,68)</f>
        <v>1672</v>
      </c>
      <c r="N40" s="75">
        <f t="shared" si="4"/>
        <v>1826</v>
      </c>
      <c r="O40" s="75">
        <f t="shared" si="5"/>
        <v>52.20125786163522</v>
      </c>
      <c r="P40" s="75">
        <f>VLOOKUP($A40,'Data Vlaue (Cr)'!$C:$FB,119)</f>
        <v>0.61</v>
      </c>
      <c r="Q40" s="75">
        <f>VLOOKUP($A40,'Data Vlaue (Cr)'!$C:$FB,122)*100</f>
        <v>-1.6099999999999999</v>
      </c>
      <c r="R40" s="75">
        <f>VLOOKUP($A40,'Data Vlaue (Cr)'!$C:$FB,125)</f>
        <v>0.75</v>
      </c>
      <c r="S40" s="75">
        <f>VLOOKUP($A40,'Data Vlaue (Cr)'!$C:$FB,128)*100</f>
        <v>-21.05</v>
      </c>
    </row>
    <row r="41" spans="1:19" x14ac:dyDescent="0.25">
      <c r="A41" s="96" t="str">
        <f>'Data Vlaue (Cr)'!C32</f>
        <v>BHARTIARTL</v>
      </c>
      <c r="B41" s="75">
        <f>VLOOKUP($A41,'Data Vlaue (Cr)'!$C:$FB,2)</f>
        <v>475</v>
      </c>
      <c r="C41" s="75">
        <f>VLOOKUP($A41,'Data Vlaue (Cr)'!$C:$FB,8)</f>
        <v>1801.3</v>
      </c>
      <c r="D41" s="75">
        <f>VLOOKUP($A41,'Data Vlaue (Cr)'!$C:$FB,4)</f>
        <v>1807.3</v>
      </c>
      <c r="E41" s="75">
        <f>VLOOKUP($A41,'Data Vlaue (Cr)'!$C:$FB,5)</f>
        <v>1811.3</v>
      </c>
      <c r="F41" s="75">
        <f t="shared" si="0"/>
        <v>6</v>
      </c>
      <c r="G41" s="75">
        <f t="shared" si="1"/>
        <v>-0.22132462789796933</v>
      </c>
      <c r="H41" s="75">
        <f>VLOOKUP($A41,'Data Vlaue (Cr)'!$C:$FB,99)</f>
        <v>17546</v>
      </c>
      <c r="I41" s="75">
        <f>VLOOKUP($A41,'Data Vlaue (Cr)'!$C:$FB,100)</f>
        <v>17650</v>
      </c>
      <c r="J41" s="75">
        <f t="shared" si="2"/>
        <v>-104</v>
      </c>
      <c r="K41" s="75">
        <f t="shared" si="3"/>
        <v>-0.59272768722215885</v>
      </c>
      <c r="L41" s="75">
        <f>VLOOKUP($A41,'Data Vlaue (Cr)'!$C:$FB,67)</f>
        <v>7085</v>
      </c>
      <c r="M41" s="75">
        <f>VLOOKUP($A41,'Data Vlaue (Cr)'!$C:$FB,68)</f>
        <v>10726</v>
      </c>
      <c r="N41" s="75">
        <f t="shared" si="4"/>
        <v>-3641</v>
      </c>
      <c r="O41" s="75">
        <f t="shared" si="5"/>
        <v>-51.390261115031755</v>
      </c>
      <c r="P41" s="75">
        <f>VLOOKUP($A41,'Data Vlaue (Cr)'!$C:$FB,119)</f>
        <v>0.46</v>
      </c>
      <c r="Q41" s="75">
        <f>VLOOKUP($A41,'Data Vlaue (Cr)'!$C:$FB,122)*100</f>
        <v>0</v>
      </c>
      <c r="R41" s="75">
        <f>VLOOKUP($A41,'Data Vlaue (Cr)'!$C:$FB,125)</f>
        <v>0.52</v>
      </c>
      <c r="S41" s="75">
        <f>VLOOKUP($A41,'Data Vlaue (Cr)'!$C:$FB,128)*100</f>
        <v>-13.33</v>
      </c>
    </row>
    <row r="42" spans="1:19" x14ac:dyDescent="0.25">
      <c r="A42" s="96" t="str">
        <f>'Data Vlaue (Cr)'!C33</f>
        <v>BHEL</v>
      </c>
      <c r="B42" s="75">
        <f>VLOOKUP($A42,'Data Vlaue (Cr)'!$C:$FB,2)</f>
        <v>2625</v>
      </c>
      <c r="C42" s="75">
        <f>VLOOKUP($A42,'Data Vlaue (Cr)'!$C:$FB,8)</f>
        <v>267.85000000000002</v>
      </c>
      <c r="D42" s="75">
        <f>VLOOKUP($A42,'Data Vlaue (Cr)'!$C:$FB,4)</f>
        <v>268.85000000000002</v>
      </c>
      <c r="E42" s="75">
        <f>VLOOKUP($A42,'Data Vlaue (Cr)'!$C:$FB,5)</f>
        <v>256.05</v>
      </c>
      <c r="F42" s="75">
        <f t="shared" si="0"/>
        <v>1</v>
      </c>
      <c r="G42" s="75">
        <f t="shared" si="1"/>
        <v>4.7610191556630124</v>
      </c>
      <c r="H42" s="75">
        <f>VLOOKUP($A42,'Data Vlaue (Cr)'!$C:$FB,99)</f>
        <v>5054</v>
      </c>
      <c r="I42" s="75">
        <f>VLOOKUP($A42,'Data Vlaue (Cr)'!$C:$FB,100)</f>
        <v>5087</v>
      </c>
      <c r="J42" s="75">
        <f t="shared" si="2"/>
        <v>-33</v>
      </c>
      <c r="K42" s="75">
        <f t="shared" si="3"/>
        <v>-0.65294815987336763</v>
      </c>
      <c r="L42" s="75">
        <f>VLOOKUP($A42,'Data Vlaue (Cr)'!$C:$FB,67)</f>
        <v>4975</v>
      </c>
      <c r="M42" s="75">
        <f>VLOOKUP($A42,'Data Vlaue (Cr)'!$C:$FB,68)</f>
        <v>2053</v>
      </c>
      <c r="N42" s="75">
        <f t="shared" si="4"/>
        <v>2922</v>
      </c>
      <c r="O42" s="75">
        <f t="shared" si="5"/>
        <v>58.733668341708544</v>
      </c>
      <c r="P42" s="75">
        <f>VLOOKUP($A42,'Data Vlaue (Cr)'!$C:$FB,119)</f>
        <v>0.88</v>
      </c>
      <c r="Q42" s="75">
        <f>VLOOKUP($A42,'Data Vlaue (Cr)'!$C:$FB,122)*100</f>
        <v>11.39</v>
      </c>
      <c r="R42" s="75">
        <f>VLOOKUP($A42,'Data Vlaue (Cr)'!$C:$FB,125)</f>
        <v>0.51</v>
      </c>
      <c r="S42" s="75">
        <f>VLOOKUP($A42,'Data Vlaue (Cr)'!$C:$FB,128)*100</f>
        <v>-32.89</v>
      </c>
    </row>
    <row r="43" spans="1:19" x14ac:dyDescent="0.25">
      <c r="A43" s="96" t="str">
        <f>'Data Vlaue (Cr)'!C34</f>
        <v>BIOCON</v>
      </c>
      <c r="B43" s="75">
        <f>VLOOKUP($A43,'Data Vlaue (Cr)'!$C:$FB,2)</f>
        <v>2500</v>
      </c>
      <c r="C43" s="75">
        <f>VLOOKUP($A43,'Data Vlaue (Cr)'!$C:$FB,8)</f>
        <v>392.2</v>
      </c>
      <c r="D43" s="75">
        <f>VLOOKUP($A43,'Data Vlaue (Cr)'!$C:$FB,4)</f>
        <v>393.4</v>
      </c>
      <c r="E43" s="75">
        <f>VLOOKUP($A43,'Data Vlaue (Cr)'!$C:$FB,5)</f>
        <v>396.7</v>
      </c>
      <c r="F43" s="75">
        <f t="shared" si="0"/>
        <v>1.1999999999999886</v>
      </c>
      <c r="G43" s="75">
        <f t="shared" si="1"/>
        <v>-0.83884087442806599</v>
      </c>
      <c r="H43" s="75">
        <f>VLOOKUP($A43,'Data Vlaue (Cr)'!$C:$FB,99)</f>
        <v>2752</v>
      </c>
      <c r="I43" s="75">
        <f>VLOOKUP($A43,'Data Vlaue (Cr)'!$C:$FB,100)</f>
        <v>2702</v>
      </c>
      <c r="J43" s="75">
        <f t="shared" si="2"/>
        <v>50</v>
      </c>
      <c r="K43" s="75">
        <f t="shared" si="3"/>
        <v>1.8168604651162792</v>
      </c>
      <c r="L43" s="75">
        <f>VLOOKUP($A43,'Data Vlaue (Cr)'!$C:$FB,67)</f>
        <v>1708</v>
      </c>
      <c r="M43" s="75">
        <f>VLOOKUP($A43,'Data Vlaue (Cr)'!$C:$FB,68)</f>
        <v>2681</v>
      </c>
      <c r="N43" s="75">
        <f t="shared" si="4"/>
        <v>-973</v>
      </c>
      <c r="O43" s="75">
        <f t="shared" si="5"/>
        <v>-56.967213114754102</v>
      </c>
      <c r="P43" s="75">
        <f>VLOOKUP($A43,'Data Vlaue (Cr)'!$C:$FB,119)</f>
        <v>0.78</v>
      </c>
      <c r="Q43" s="75">
        <f>VLOOKUP($A43,'Data Vlaue (Cr)'!$C:$FB,122)*100</f>
        <v>0</v>
      </c>
      <c r="R43" s="75">
        <f>VLOOKUP($A43,'Data Vlaue (Cr)'!$C:$FB,125)</f>
        <v>0.53</v>
      </c>
      <c r="S43" s="75">
        <f>VLOOKUP($A43,'Data Vlaue (Cr)'!$C:$FB,128)*100</f>
        <v>65.63</v>
      </c>
    </row>
    <row r="44" spans="1:19" x14ac:dyDescent="0.25">
      <c r="A44" s="96" t="str">
        <f>'Data Vlaue (Cr)'!C35</f>
        <v>BLUESTARCO</v>
      </c>
      <c r="B44" s="75">
        <f>VLOOKUP($A44,'Data Vlaue (Cr)'!$C:$FB,2)</f>
        <v>325</v>
      </c>
      <c r="C44" s="75">
        <f>VLOOKUP($A44,'Data Vlaue (Cr)'!$C:$FB,8)</f>
        <v>1953.5</v>
      </c>
      <c r="D44" s="75">
        <f>VLOOKUP($A44,'Data Vlaue (Cr)'!$C:$FB,4)</f>
        <v>1945.5</v>
      </c>
      <c r="E44" s="75">
        <f>VLOOKUP($A44,'Data Vlaue (Cr)'!$C:$FB,5)</f>
        <v>1940.8</v>
      </c>
      <c r="F44" s="75">
        <f t="shared" si="0"/>
        <v>-8</v>
      </c>
      <c r="G44" s="75">
        <f t="shared" si="1"/>
        <v>0.24158314058082991</v>
      </c>
      <c r="H44" s="75">
        <f>VLOOKUP($A44,'Data Vlaue (Cr)'!$C:$FB,99)</f>
        <v>871</v>
      </c>
      <c r="I44" s="75">
        <f>VLOOKUP($A44,'Data Vlaue (Cr)'!$C:$FB,100)</f>
        <v>859</v>
      </c>
      <c r="J44" s="75">
        <f t="shared" si="2"/>
        <v>12</v>
      </c>
      <c r="K44" s="75">
        <f t="shared" si="3"/>
        <v>1.3777267508610791</v>
      </c>
      <c r="L44" s="75">
        <f>VLOOKUP($A44,'Data Vlaue (Cr)'!$C:$FB,67)</f>
        <v>813</v>
      </c>
      <c r="M44" s="75">
        <f>VLOOKUP($A44,'Data Vlaue (Cr)'!$C:$FB,68)</f>
        <v>2147</v>
      </c>
      <c r="N44" s="75">
        <f t="shared" si="4"/>
        <v>-1334</v>
      </c>
      <c r="O44" s="75">
        <f t="shared" si="5"/>
        <v>-164.08364083640836</v>
      </c>
      <c r="P44" s="75">
        <f>VLOOKUP($A44,'Data Vlaue (Cr)'!$C:$FB,119)</f>
        <v>0.53</v>
      </c>
      <c r="Q44" s="75">
        <f>VLOOKUP($A44,'Data Vlaue (Cr)'!$C:$FB,122)*100</f>
        <v>-1.8499999999999999</v>
      </c>
      <c r="R44" s="75">
        <f>VLOOKUP($A44,'Data Vlaue (Cr)'!$C:$FB,125)</f>
        <v>0.2</v>
      </c>
      <c r="S44" s="75">
        <f>VLOOKUP($A44,'Data Vlaue (Cr)'!$C:$FB,128)*100</f>
        <v>5.26</v>
      </c>
    </row>
    <row r="45" spans="1:19" x14ac:dyDescent="0.25">
      <c r="A45" s="96" t="str">
        <f>'Data Vlaue (Cr)'!C36</f>
        <v>BOSCHLTD</v>
      </c>
      <c r="B45" s="75">
        <f>VLOOKUP($A45,'Data Vlaue (Cr)'!$C:$FB,2)</f>
        <v>25</v>
      </c>
      <c r="C45" s="75">
        <f>VLOOKUP($A45,'Data Vlaue (Cr)'!$C:$FB,8)</f>
        <v>31305</v>
      </c>
      <c r="D45" s="75">
        <f>VLOOKUP($A45,'Data Vlaue (Cr)'!$C:$FB,4)</f>
        <v>31405</v>
      </c>
      <c r="E45" s="75">
        <f>VLOOKUP($A45,'Data Vlaue (Cr)'!$C:$FB,5)</f>
        <v>31800</v>
      </c>
      <c r="F45" s="75">
        <f t="shared" si="0"/>
        <v>100</v>
      </c>
      <c r="G45" s="75">
        <f t="shared" si="1"/>
        <v>-1.2577615029453908</v>
      </c>
      <c r="H45" s="75">
        <f>VLOOKUP($A45,'Data Vlaue (Cr)'!$C:$FB,99)</f>
        <v>1893</v>
      </c>
      <c r="I45" s="75">
        <f>VLOOKUP($A45,'Data Vlaue (Cr)'!$C:$FB,100)</f>
        <v>1844</v>
      </c>
      <c r="J45" s="75">
        <f t="shared" si="2"/>
        <v>49</v>
      </c>
      <c r="K45" s="75">
        <f t="shared" si="3"/>
        <v>2.5884838880084522</v>
      </c>
      <c r="L45" s="75">
        <f>VLOOKUP($A45,'Data Vlaue (Cr)'!$C:$FB,67)</f>
        <v>624</v>
      </c>
      <c r="M45" s="75">
        <f>VLOOKUP($A45,'Data Vlaue (Cr)'!$C:$FB,68)</f>
        <v>1278</v>
      </c>
      <c r="N45" s="75">
        <f t="shared" si="4"/>
        <v>-654</v>
      </c>
      <c r="O45" s="75">
        <f t="shared" si="5"/>
        <v>-104.80769230769231</v>
      </c>
      <c r="P45" s="75">
        <f>VLOOKUP($A45,'Data Vlaue (Cr)'!$C:$FB,119)</f>
        <v>0.59</v>
      </c>
      <c r="Q45" s="75">
        <f>VLOOKUP($A45,'Data Vlaue (Cr)'!$C:$FB,122)*100</f>
        <v>-1.67</v>
      </c>
      <c r="R45" s="75">
        <f>VLOOKUP($A45,'Data Vlaue (Cr)'!$C:$FB,125)</f>
        <v>0.56000000000000005</v>
      </c>
      <c r="S45" s="75">
        <f>VLOOKUP($A45,'Data Vlaue (Cr)'!$C:$FB,128)*100</f>
        <v>-22.220000000000002</v>
      </c>
    </row>
    <row r="46" spans="1:19" x14ac:dyDescent="0.25">
      <c r="A46" s="96" t="str">
        <f>'Data Vlaue (Cr)'!C37</f>
        <v>BPCL</v>
      </c>
      <c r="B46" s="75">
        <f>VLOOKUP($A46,'Data Vlaue (Cr)'!$C:$FB,2)</f>
        <v>1975</v>
      </c>
      <c r="C46" s="75">
        <f>VLOOKUP($A46,'Data Vlaue (Cr)'!$C:$FB,8)</f>
        <v>326.35000000000002</v>
      </c>
      <c r="D46" s="75">
        <f>VLOOKUP($A46,'Data Vlaue (Cr)'!$C:$FB,4)</f>
        <v>327.2</v>
      </c>
      <c r="E46" s="75">
        <f>VLOOKUP($A46,'Data Vlaue (Cr)'!$C:$FB,5)</f>
        <v>325.64999999999998</v>
      </c>
      <c r="F46" s="75">
        <f t="shared" si="0"/>
        <v>0.84999999999996589</v>
      </c>
      <c r="G46" s="75">
        <f t="shared" si="1"/>
        <v>0.47371638141809641</v>
      </c>
      <c r="H46" s="75">
        <f>VLOOKUP($A46,'Data Vlaue (Cr)'!$C:$FB,99)</f>
        <v>2949</v>
      </c>
      <c r="I46" s="75">
        <f>VLOOKUP($A46,'Data Vlaue (Cr)'!$C:$FB,100)</f>
        <v>2896</v>
      </c>
      <c r="J46" s="75">
        <f t="shared" si="2"/>
        <v>53</v>
      </c>
      <c r="K46" s="75">
        <f t="shared" si="3"/>
        <v>1.7972193964055609</v>
      </c>
      <c r="L46" s="75">
        <f>VLOOKUP($A46,'Data Vlaue (Cr)'!$C:$FB,67)</f>
        <v>2261</v>
      </c>
      <c r="M46" s="75">
        <f>VLOOKUP($A46,'Data Vlaue (Cr)'!$C:$FB,68)</f>
        <v>1753</v>
      </c>
      <c r="N46" s="75">
        <f t="shared" si="4"/>
        <v>508</v>
      </c>
      <c r="O46" s="75">
        <f t="shared" si="5"/>
        <v>22.467934542237948</v>
      </c>
      <c r="P46" s="75">
        <f>VLOOKUP($A46,'Data Vlaue (Cr)'!$C:$FB,119)</f>
        <v>0.79</v>
      </c>
      <c r="Q46" s="75">
        <f>VLOOKUP($A46,'Data Vlaue (Cr)'!$C:$FB,122)*100</f>
        <v>3.95</v>
      </c>
      <c r="R46" s="75">
        <f>VLOOKUP($A46,'Data Vlaue (Cr)'!$C:$FB,125)</f>
        <v>0.99</v>
      </c>
      <c r="S46" s="75">
        <f>VLOOKUP($A46,'Data Vlaue (Cr)'!$C:$FB,128)*100</f>
        <v>39.44</v>
      </c>
    </row>
    <row r="47" spans="1:19" x14ac:dyDescent="0.25">
      <c r="A47" s="96" t="str">
        <f>'Data Vlaue (Cr)'!C38</f>
        <v>BRITANNIA</v>
      </c>
      <c r="B47" s="75">
        <f>VLOOKUP($A47,'Data Vlaue (Cr)'!$C:$FB,2)</f>
        <v>125</v>
      </c>
      <c r="C47" s="75">
        <f>VLOOKUP($A47,'Data Vlaue (Cr)'!$C:$FB,8)</f>
        <v>5787</v>
      </c>
      <c r="D47" s="75">
        <f>VLOOKUP($A47,'Data Vlaue (Cr)'!$C:$FB,4)</f>
        <v>5793</v>
      </c>
      <c r="E47" s="75">
        <f>VLOOKUP($A47,'Data Vlaue (Cr)'!$C:$FB,5)</f>
        <v>5927</v>
      </c>
      <c r="F47" s="75">
        <f t="shared" si="0"/>
        <v>6</v>
      </c>
      <c r="G47" s="75">
        <f t="shared" si="1"/>
        <v>-2.3131365441049541</v>
      </c>
      <c r="H47" s="75">
        <f>VLOOKUP($A47,'Data Vlaue (Cr)'!$C:$FB,99)</f>
        <v>2349</v>
      </c>
      <c r="I47" s="75">
        <f>VLOOKUP($A47,'Data Vlaue (Cr)'!$C:$FB,100)</f>
        <v>2454</v>
      </c>
      <c r="J47" s="75">
        <f t="shared" si="2"/>
        <v>-105</v>
      </c>
      <c r="K47" s="75">
        <f t="shared" si="3"/>
        <v>-4.4699872286079181</v>
      </c>
      <c r="L47" s="75">
        <f>VLOOKUP($A47,'Data Vlaue (Cr)'!$C:$FB,67)</f>
        <v>1984</v>
      </c>
      <c r="M47" s="75">
        <f>VLOOKUP($A47,'Data Vlaue (Cr)'!$C:$FB,68)</f>
        <v>980</v>
      </c>
      <c r="N47" s="75">
        <f t="shared" si="4"/>
        <v>1004</v>
      </c>
      <c r="O47" s="75">
        <f t="shared" si="5"/>
        <v>50.604838709677423</v>
      </c>
      <c r="P47" s="75">
        <f>VLOOKUP($A47,'Data Vlaue (Cr)'!$C:$FB,119)</f>
        <v>0.53</v>
      </c>
      <c r="Q47" s="75">
        <f>VLOOKUP($A47,'Data Vlaue (Cr)'!$C:$FB,122)*100</f>
        <v>-3.64</v>
      </c>
      <c r="R47" s="75">
        <f>VLOOKUP($A47,'Data Vlaue (Cr)'!$C:$FB,125)</f>
        <v>1.1399999999999999</v>
      </c>
      <c r="S47" s="75">
        <f>VLOOKUP($A47,'Data Vlaue (Cr)'!$C:$FB,128)*100</f>
        <v>-35.96</v>
      </c>
    </row>
    <row r="48" spans="1:19" x14ac:dyDescent="0.25">
      <c r="A48" s="96" t="str">
        <f>'Data Vlaue (Cr)'!C39</f>
        <v>BSE</v>
      </c>
      <c r="B48" s="75">
        <f>VLOOKUP($A48,'Data Vlaue (Cr)'!$C:$FB,2)</f>
        <v>375</v>
      </c>
      <c r="C48" s="75">
        <f>VLOOKUP($A48,'Data Vlaue (Cr)'!$C:$FB,8)</f>
        <v>2850.6</v>
      </c>
      <c r="D48" s="75">
        <f>VLOOKUP($A48,'Data Vlaue (Cr)'!$C:$FB,4)</f>
        <v>2851.7</v>
      </c>
      <c r="E48" s="75">
        <f>VLOOKUP($A48,'Data Vlaue (Cr)'!$C:$FB,5)</f>
        <v>2836.5</v>
      </c>
      <c r="F48" s="75">
        <f t="shared" si="0"/>
        <v>1.0999999999999091</v>
      </c>
      <c r="G48" s="75">
        <f t="shared" si="1"/>
        <v>0.53301539432618505</v>
      </c>
      <c r="H48" s="75">
        <f>VLOOKUP($A48,'Data Vlaue (Cr)'!$C:$FB,99)</f>
        <v>5924</v>
      </c>
      <c r="I48" s="75">
        <f>VLOOKUP($A48,'Data Vlaue (Cr)'!$C:$FB,100)</f>
        <v>5832</v>
      </c>
      <c r="J48" s="75">
        <f t="shared" si="2"/>
        <v>92</v>
      </c>
      <c r="K48" s="75">
        <f t="shared" si="3"/>
        <v>1.5530047265361242</v>
      </c>
      <c r="L48" s="75">
        <f>VLOOKUP($A48,'Data Vlaue (Cr)'!$C:$FB,67)</f>
        <v>7177</v>
      </c>
      <c r="M48" s="75">
        <f>VLOOKUP($A48,'Data Vlaue (Cr)'!$C:$FB,68)</f>
        <v>6838</v>
      </c>
      <c r="N48" s="75">
        <f t="shared" si="4"/>
        <v>339</v>
      </c>
      <c r="O48" s="75">
        <f t="shared" si="5"/>
        <v>4.7234220426361988</v>
      </c>
      <c r="P48" s="75">
        <f>VLOOKUP($A48,'Data Vlaue (Cr)'!$C:$FB,119)</f>
        <v>0.84</v>
      </c>
      <c r="Q48" s="75">
        <f>VLOOKUP($A48,'Data Vlaue (Cr)'!$C:$FB,122)*100</f>
        <v>0</v>
      </c>
      <c r="R48" s="75">
        <f>VLOOKUP($A48,'Data Vlaue (Cr)'!$C:$FB,125)</f>
        <v>0.9</v>
      </c>
      <c r="S48" s="75">
        <f>VLOOKUP($A48,'Data Vlaue (Cr)'!$C:$FB,128)*100</f>
        <v>-3.2300000000000004</v>
      </c>
    </row>
    <row r="49" spans="1:19" x14ac:dyDescent="0.25">
      <c r="A49" s="96" t="str">
        <f>'Data Vlaue (Cr)'!C40</f>
        <v>CAMS</v>
      </c>
      <c r="B49" s="75">
        <f>VLOOKUP($A49,'Data Vlaue (Cr)'!$C:$FB,2)</f>
        <v>750</v>
      </c>
      <c r="C49" s="75">
        <f>VLOOKUP($A49,'Data Vlaue (Cr)'!$C:$FB,8)</f>
        <v>663.75</v>
      </c>
      <c r="D49" s="75">
        <f>VLOOKUP($A49,'Data Vlaue (Cr)'!$C:$FB,4)</f>
        <v>663.9</v>
      </c>
      <c r="E49" s="75">
        <f>VLOOKUP($A49,'Data Vlaue (Cr)'!$C:$FB,5)</f>
        <v>676.4</v>
      </c>
      <c r="F49" s="75">
        <f t="shared" si="0"/>
        <v>0.14999999999997726</v>
      </c>
      <c r="G49" s="75">
        <f t="shared" si="1"/>
        <v>-1.8828136767585479</v>
      </c>
      <c r="H49" s="75">
        <f>VLOOKUP($A49,'Data Vlaue (Cr)'!$C:$FB,99)</f>
        <v>868</v>
      </c>
      <c r="I49" s="75">
        <f>VLOOKUP($A49,'Data Vlaue (Cr)'!$C:$FB,100)</f>
        <v>858</v>
      </c>
      <c r="J49" s="75">
        <f t="shared" si="2"/>
        <v>10</v>
      </c>
      <c r="K49" s="75">
        <f t="shared" si="3"/>
        <v>1.1520737327188941</v>
      </c>
      <c r="L49" s="75">
        <f>VLOOKUP($A49,'Data Vlaue (Cr)'!$C:$FB,67)</f>
        <v>354</v>
      </c>
      <c r="M49" s="75">
        <f>VLOOKUP($A49,'Data Vlaue (Cr)'!$C:$FB,68)</f>
        <v>371</v>
      </c>
      <c r="N49" s="75">
        <f t="shared" si="4"/>
        <v>-17</v>
      </c>
      <c r="O49" s="75">
        <f t="shared" si="5"/>
        <v>-4.8022598870056497</v>
      </c>
      <c r="P49" s="75">
        <f>VLOOKUP($A49,'Data Vlaue (Cr)'!$C:$FB,119)</f>
        <v>0.8</v>
      </c>
      <c r="Q49" s="75">
        <f>VLOOKUP($A49,'Data Vlaue (Cr)'!$C:$FB,122)*100</f>
        <v>-8.0500000000000007</v>
      </c>
      <c r="R49" s="75">
        <f>VLOOKUP($A49,'Data Vlaue (Cr)'!$C:$FB,125)</f>
        <v>0.77</v>
      </c>
      <c r="S49" s="75">
        <f>VLOOKUP($A49,'Data Vlaue (Cr)'!$C:$FB,128)*100</f>
        <v>57.14</v>
      </c>
    </row>
    <row r="50" spans="1:19" x14ac:dyDescent="0.25">
      <c r="A50" s="96" t="str">
        <f>'Data Vlaue (Cr)'!C41</f>
        <v>CANBK</v>
      </c>
      <c r="B50" s="75">
        <f>VLOOKUP($A50,'Data Vlaue (Cr)'!$C:$FB,2)</f>
        <v>6750</v>
      </c>
      <c r="C50" s="75">
        <f>VLOOKUP($A50,'Data Vlaue (Cr)'!$C:$FB,8)</f>
        <v>140.34</v>
      </c>
      <c r="D50" s="75">
        <f>VLOOKUP($A50,'Data Vlaue (Cr)'!$C:$FB,4)</f>
        <v>140.59</v>
      </c>
      <c r="E50" s="75">
        <f>VLOOKUP($A50,'Data Vlaue (Cr)'!$C:$FB,5)</f>
        <v>139.68</v>
      </c>
      <c r="F50" s="75">
        <f t="shared" si="0"/>
        <v>0.25</v>
      </c>
      <c r="G50" s="75">
        <f t="shared" si="1"/>
        <v>0.64727220997225732</v>
      </c>
      <c r="H50" s="75">
        <f>VLOOKUP($A50,'Data Vlaue (Cr)'!$C:$FB,99)</f>
        <v>5281</v>
      </c>
      <c r="I50" s="75">
        <f>VLOOKUP($A50,'Data Vlaue (Cr)'!$C:$FB,100)</f>
        <v>5181</v>
      </c>
      <c r="J50" s="75">
        <f t="shared" si="2"/>
        <v>100</v>
      </c>
      <c r="K50" s="75">
        <f t="shared" si="3"/>
        <v>1.8935807612194659</v>
      </c>
      <c r="L50" s="75">
        <f>VLOOKUP($A50,'Data Vlaue (Cr)'!$C:$FB,67)</f>
        <v>2639</v>
      </c>
      <c r="M50" s="75">
        <f>VLOOKUP($A50,'Data Vlaue (Cr)'!$C:$FB,68)</f>
        <v>1471</v>
      </c>
      <c r="N50" s="75">
        <f t="shared" si="4"/>
        <v>1168</v>
      </c>
      <c r="O50" s="75">
        <f t="shared" si="5"/>
        <v>44.259189086775294</v>
      </c>
      <c r="P50" s="75">
        <f>VLOOKUP($A50,'Data Vlaue (Cr)'!$C:$FB,119)</f>
        <v>0.75</v>
      </c>
      <c r="Q50" s="75">
        <f>VLOOKUP($A50,'Data Vlaue (Cr)'!$C:$FB,122)*100</f>
        <v>4.17</v>
      </c>
      <c r="R50" s="75">
        <f>VLOOKUP($A50,'Data Vlaue (Cr)'!$C:$FB,125)</f>
        <v>0.56000000000000005</v>
      </c>
      <c r="S50" s="75">
        <f>VLOOKUP($A50,'Data Vlaue (Cr)'!$C:$FB,128)*100</f>
        <v>-5.08</v>
      </c>
    </row>
    <row r="51" spans="1:19" x14ac:dyDescent="0.25">
      <c r="A51" s="96" t="str">
        <f>'Data Vlaue (Cr)'!C42</f>
        <v>CDSL</v>
      </c>
      <c r="B51" s="75">
        <f>VLOOKUP($A51,'Data Vlaue (Cr)'!$C:$FB,2)</f>
        <v>475</v>
      </c>
      <c r="C51" s="75">
        <f>VLOOKUP($A51,'Data Vlaue (Cr)'!$C:$FB,8)</f>
        <v>1210.8</v>
      </c>
      <c r="D51" s="75">
        <f>VLOOKUP($A51,'Data Vlaue (Cr)'!$C:$FB,4)</f>
        <v>1208.7</v>
      </c>
      <c r="E51" s="75">
        <f>VLOOKUP($A51,'Data Vlaue (Cr)'!$C:$FB,5)</f>
        <v>1218.8</v>
      </c>
      <c r="F51" s="75">
        <f t="shared" si="0"/>
        <v>-2.0999999999999091</v>
      </c>
      <c r="G51" s="75">
        <f t="shared" si="1"/>
        <v>-0.83560850500537021</v>
      </c>
      <c r="H51" s="75">
        <f>VLOOKUP($A51,'Data Vlaue (Cr)'!$C:$FB,99)</f>
        <v>2912</v>
      </c>
      <c r="I51" s="75">
        <f>VLOOKUP($A51,'Data Vlaue (Cr)'!$C:$FB,100)</f>
        <v>2804</v>
      </c>
      <c r="J51" s="75">
        <f t="shared" si="2"/>
        <v>108</v>
      </c>
      <c r="K51" s="75">
        <f t="shared" si="3"/>
        <v>3.7087912087912089</v>
      </c>
      <c r="L51" s="75">
        <f>VLOOKUP($A51,'Data Vlaue (Cr)'!$C:$FB,67)</f>
        <v>1354</v>
      </c>
      <c r="M51" s="75">
        <f>VLOOKUP($A51,'Data Vlaue (Cr)'!$C:$FB,68)</f>
        <v>1190</v>
      </c>
      <c r="N51" s="75">
        <f t="shared" si="4"/>
        <v>164</v>
      </c>
      <c r="O51" s="75">
        <f t="shared" si="5"/>
        <v>12.112259970457902</v>
      </c>
      <c r="P51" s="75">
        <f>VLOOKUP($A51,'Data Vlaue (Cr)'!$C:$FB,119)</f>
        <v>0.72</v>
      </c>
      <c r="Q51" s="75">
        <f>VLOOKUP($A51,'Data Vlaue (Cr)'!$C:$FB,122)*100</f>
        <v>-5.26</v>
      </c>
      <c r="R51" s="75">
        <f>VLOOKUP($A51,'Data Vlaue (Cr)'!$C:$FB,125)</f>
        <v>0.42</v>
      </c>
      <c r="S51" s="75">
        <f>VLOOKUP($A51,'Data Vlaue (Cr)'!$C:$FB,128)*100</f>
        <v>-19.23</v>
      </c>
    </row>
    <row r="52" spans="1:19" x14ac:dyDescent="0.25">
      <c r="A52" s="96" t="str">
        <f>'Data Vlaue (Cr)'!C43</f>
        <v>CGPOWER</v>
      </c>
      <c r="B52" s="75">
        <f>VLOOKUP($A52,'Data Vlaue (Cr)'!$C:$FB,2)</f>
        <v>850</v>
      </c>
      <c r="C52" s="75">
        <f>VLOOKUP($A52,'Data Vlaue (Cr)'!$C:$FB,8)</f>
        <v>737.3</v>
      </c>
      <c r="D52" s="75">
        <f>VLOOKUP($A52,'Data Vlaue (Cr)'!$C:$FB,4)</f>
        <v>740</v>
      </c>
      <c r="E52" s="75">
        <f>VLOOKUP($A52,'Data Vlaue (Cr)'!$C:$FB,5)</f>
        <v>727.6</v>
      </c>
      <c r="F52" s="75">
        <f t="shared" si="0"/>
        <v>2.7000000000000455</v>
      </c>
      <c r="G52" s="75">
        <f t="shared" si="1"/>
        <v>1.6756756756756723</v>
      </c>
      <c r="H52" s="75">
        <f>VLOOKUP($A52,'Data Vlaue (Cr)'!$C:$FB,99)</f>
        <v>1909</v>
      </c>
      <c r="I52" s="75">
        <f>VLOOKUP($A52,'Data Vlaue (Cr)'!$C:$FB,100)</f>
        <v>1788</v>
      </c>
      <c r="J52" s="75">
        <f t="shared" si="2"/>
        <v>121</v>
      </c>
      <c r="K52" s="75">
        <f t="shared" si="3"/>
        <v>6.3383970665269782</v>
      </c>
      <c r="L52" s="75">
        <f>VLOOKUP($A52,'Data Vlaue (Cr)'!$C:$FB,67)</f>
        <v>1974</v>
      </c>
      <c r="M52" s="75">
        <f>VLOOKUP($A52,'Data Vlaue (Cr)'!$C:$FB,68)</f>
        <v>1325</v>
      </c>
      <c r="N52" s="75">
        <f t="shared" si="4"/>
        <v>649</v>
      </c>
      <c r="O52" s="75">
        <f t="shared" si="5"/>
        <v>32.877406281661607</v>
      </c>
      <c r="P52" s="75">
        <f>VLOOKUP($A52,'Data Vlaue (Cr)'!$C:$FB,119)</f>
        <v>0.66</v>
      </c>
      <c r="Q52" s="75">
        <f>VLOOKUP($A52,'Data Vlaue (Cr)'!$C:$FB,122)*100</f>
        <v>-4.3499999999999996</v>
      </c>
      <c r="R52" s="75">
        <f>VLOOKUP($A52,'Data Vlaue (Cr)'!$C:$FB,125)</f>
        <v>0.33</v>
      </c>
      <c r="S52" s="75">
        <f>VLOOKUP($A52,'Data Vlaue (Cr)'!$C:$FB,128)*100</f>
        <v>-15.379999999999999</v>
      </c>
    </row>
    <row r="53" spans="1:19" x14ac:dyDescent="0.25">
      <c r="A53" s="96" t="str">
        <f>'Data Vlaue (Cr)'!C44</f>
        <v>CHOLAFIN</v>
      </c>
      <c r="B53" s="75">
        <f>VLOOKUP($A53,'Data Vlaue (Cr)'!$C:$FB,2)</f>
        <v>625</v>
      </c>
      <c r="C53" s="75">
        <f>VLOOKUP($A53,'Data Vlaue (Cr)'!$C:$FB,8)</f>
        <v>1526.1</v>
      </c>
      <c r="D53" s="75">
        <f>VLOOKUP($A53,'Data Vlaue (Cr)'!$C:$FB,4)</f>
        <v>1532</v>
      </c>
      <c r="E53" s="75">
        <f>VLOOKUP($A53,'Data Vlaue (Cr)'!$C:$FB,5)</f>
        <v>1561.1</v>
      </c>
      <c r="F53" s="75">
        <f t="shared" si="0"/>
        <v>5.9000000000000909</v>
      </c>
      <c r="G53" s="75">
        <f t="shared" si="1"/>
        <v>-1.8994778067885059</v>
      </c>
      <c r="H53" s="75">
        <f>VLOOKUP($A53,'Data Vlaue (Cr)'!$C:$FB,99)</f>
        <v>3769</v>
      </c>
      <c r="I53" s="75">
        <f>VLOOKUP($A53,'Data Vlaue (Cr)'!$C:$FB,100)</f>
        <v>3639</v>
      </c>
      <c r="J53" s="75">
        <f t="shared" si="2"/>
        <v>130</v>
      </c>
      <c r="K53" s="75">
        <f t="shared" si="3"/>
        <v>3.4491907667816393</v>
      </c>
      <c r="L53" s="75">
        <f>VLOOKUP($A53,'Data Vlaue (Cr)'!$C:$FB,67)</f>
        <v>1482</v>
      </c>
      <c r="M53" s="75">
        <f>VLOOKUP($A53,'Data Vlaue (Cr)'!$C:$FB,68)</f>
        <v>1812</v>
      </c>
      <c r="N53" s="75">
        <f t="shared" si="4"/>
        <v>-330</v>
      </c>
      <c r="O53" s="75">
        <f t="shared" si="5"/>
        <v>-22.267206477732792</v>
      </c>
      <c r="P53" s="75">
        <f>VLOOKUP($A53,'Data Vlaue (Cr)'!$C:$FB,119)</f>
        <v>0.77</v>
      </c>
      <c r="Q53" s="75">
        <f>VLOOKUP($A53,'Data Vlaue (Cr)'!$C:$FB,122)*100</f>
        <v>-9.41</v>
      </c>
      <c r="R53" s="75">
        <f>VLOOKUP($A53,'Data Vlaue (Cr)'!$C:$FB,125)</f>
        <v>0.79</v>
      </c>
      <c r="S53" s="75">
        <f>VLOOKUP($A53,'Data Vlaue (Cr)'!$C:$FB,128)*100</f>
        <v>-30.09</v>
      </c>
    </row>
    <row r="54" spans="1:19" x14ac:dyDescent="0.25">
      <c r="A54" s="96" t="str">
        <f>'Data Vlaue (Cr)'!C45</f>
        <v>CIPLA</v>
      </c>
      <c r="B54" s="75">
        <f>VLOOKUP($A54,'Data Vlaue (Cr)'!$C:$FB,2)</f>
        <v>375</v>
      </c>
      <c r="C54" s="75">
        <f>VLOOKUP($A54,'Data Vlaue (Cr)'!$C:$FB,8)</f>
        <v>1324.3</v>
      </c>
      <c r="D54" s="75">
        <f>VLOOKUP($A54,'Data Vlaue (Cr)'!$C:$FB,4)</f>
        <v>1329.8</v>
      </c>
      <c r="E54" s="75">
        <f>VLOOKUP($A54,'Data Vlaue (Cr)'!$C:$FB,5)</f>
        <v>1330.2</v>
      </c>
      <c r="F54" s="75">
        <f t="shared" si="0"/>
        <v>5.5</v>
      </c>
      <c r="G54" s="75">
        <f t="shared" si="1"/>
        <v>-3.0079711234778986E-2</v>
      </c>
      <c r="H54" s="75">
        <f>VLOOKUP($A54,'Data Vlaue (Cr)'!$C:$FB,99)</f>
        <v>3285</v>
      </c>
      <c r="I54" s="75">
        <f>VLOOKUP($A54,'Data Vlaue (Cr)'!$C:$FB,100)</f>
        <v>3142</v>
      </c>
      <c r="J54" s="75">
        <f t="shared" si="2"/>
        <v>143</v>
      </c>
      <c r="K54" s="75">
        <f t="shared" si="3"/>
        <v>4.3531202435312029</v>
      </c>
      <c r="L54" s="75">
        <f>VLOOKUP($A54,'Data Vlaue (Cr)'!$C:$FB,67)</f>
        <v>1845</v>
      </c>
      <c r="M54" s="75">
        <f>VLOOKUP($A54,'Data Vlaue (Cr)'!$C:$FB,68)</f>
        <v>996</v>
      </c>
      <c r="N54" s="75">
        <f t="shared" si="4"/>
        <v>849</v>
      </c>
      <c r="O54" s="75">
        <f t="shared" si="5"/>
        <v>46.016260162601625</v>
      </c>
      <c r="P54" s="75">
        <f>VLOOKUP($A54,'Data Vlaue (Cr)'!$C:$FB,119)</f>
        <v>0.41</v>
      </c>
      <c r="Q54" s="75">
        <f>VLOOKUP($A54,'Data Vlaue (Cr)'!$C:$FB,122)*100</f>
        <v>-2.3800000000000003</v>
      </c>
      <c r="R54" s="75">
        <f>VLOOKUP($A54,'Data Vlaue (Cr)'!$C:$FB,125)</f>
        <v>0.32</v>
      </c>
      <c r="S54" s="75">
        <f>VLOOKUP($A54,'Data Vlaue (Cr)'!$C:$FB,128)*100</f>
        <v>-3.0300000000000002</v>
      </c>
    </row>
    <row r="55" spans="1:19" x14ac:dyDescent="0.25">
      <c r="A55" s="96" t="str">
        <f>'Data Vlaue (Cr)'!C46</f>
        <v>COALINDIA</v>
      </c>
      <c r="B55" s="75">
        <f>VLOOKUP($A55,'Data Vlaue (Cr)'!$C:$FB,2)</f>
        <v>1350</v>
      </c>
      <c r="C55" s="75">
        <f>VLOOKUP($A55,'Data Vlaue (Cr)'!$C:$FB,8)</f>
        <v>470.1</v>
      </c>
      <c r="D55" s="75">
        <f>VLOOKUP($A55,'Data Vlaue (Cr)'!$C:$FB,4)</f>
        <v>470.55</v>
      </c>
      <c r="E55" s="75">
        <f>VLOOKUP($A55,'Data Vlaue (Cr)'!$C:$FB,5)</f>
        <v>448.45</v>
      </c>
      <c r="F55" s="75">
        <f t="shared" si="0"/>
        <v>0.44999999999998863</v>
      </c>
      <c r="G55" s="75">
        <f t="shared" si="1"/>
        <v>4.6966316013176117</v>
      </c>
      <c r="H55" s="75">
        <f>VLOOKUP($A55,'Data Vlaue (Cr)'!$C:$FB,99)</f>
        <v>5342</v>
      </c>
      <c r="I55" s="75">
        <f>VLOOKUP($A55,'Data Vlaue (Cr)'!$C:$FB,100)</f>
        <v>4839</v>
      </c>
      <c r="J55" s="75">
        <f t="shared" si="2"/>
        <v>503</v>
      </c>
      <c r="K55" s="75">
        <f t="shared" si="3"/>
        <v>9.4159490827405463</v>
      </c>
      <c r="L55" s="75">
        <f>VLOOKUP($A55,'Data Vlaue (Cr)'!$C:$FB,67)</f>
        <v>14813</v>
      </c>
      <c r="M55" s="75">
        <f>VLOOKUP($A55,'Data Vlaue (Cr)'!$C:$FB,68)</f>
        <v>5237</v>
      </c>
      <c r="N55" s="75">
        <f t="shared" si="4"/>
        <v>9576</v>
      </c>
      <c r="O55" s="75">
        <f t="shared" si="5"/>
        <v>64.645919125092817</v>
      </c>
      <c r="P55" s="75">
        <f>VLOOKUP($A55,'Data Vlaue (Cr)'!$C:$FB,119)</f>
        <v>0.74</v>
      </c>
      <c r="Q55" s="75">
        <f>VLOOKUP($A55,'Data Vlaue (Cr)'!$C:$FB,122)*100</f>
        <v>13.850000000000001</v>
      </c>
      <c r="R55" s="75">
        <f>VLOOKUP($A55,'Data Vlaue (Cr)'!$C:$FB,125)</f>
        <v>0.4</v>
      </c>
      <c r="S55" s="75">
        <f>VLOOKUP($A55,'Data Vlaue (Cr)'!$C:$FB,128)*100</f>
        <v>-16.669999999999998</v>
      </c>
    </row>
    <row r="56" spans="1:19" x14ac:dyDescent="0.25">
      <c r="A56" s="96" t="str">
        <f>'Data Vlaue (Cr)'!C47</f>
        <v>COFORGE</v>
      </c>
      <c r="B56" s="75">
        <f>VLOOKUP($A56,'Data Vlaue (Cr)'!$C:$FB,2)</f>
        <v>375</v>
      </c>
      <c r="C56" s="75">
        <f>VLOOKUP($A56,'Data Vlaue (Cr)'!$C:$FB,8)</f>
        <v>1107.9000000000001</v>
      </c>
      <c r="D56" s="75">
        <f>VLOOKUP($A56,'Data Vlaue (Cr)'!$C:$FB,4)</f>
        <v>1110.5999999999999</v>
      </c>
      <c r="E56" s="75">
        <f>VLOOKUP($A56,'Data Vlaue (Cr)'!$C:$FB,5)</f>
        <v>1113.0999999999999</v>
      </c>
      <c r="F56" s="75">
        <f t="shared" si="0"/>
        <v>2.6999999999998181</v>
      </c>
      <c r="G56" s="75">
        <f t="shared" si="1"/>
        <v>-0.22510354763191071</v>
      </c>
      <c r="H56" s="75">
        <f>VLOOKUP($A56,'Data Vlaue (Cr)'!$C:$FB,99)</f>
        <v>5050</v>
      </c>
      <c r="I56" s="75">
        <f>VLOOKUP($A56,'Data Vlaue (Cr)'!$C:$FB,100)</f>
        <v>4945</v>
      </c>
      <c r="J56" s="75">
        <f t="shared" si="2"/>
        <v>105</v>
      </c>
      <c r="K56" s="75">
        <f t="shared" si="3"/>
        <v>2.0792079207920793</v>
      </c>
      <c r="L56" s="75">
        <f>VLOOKUP($A56,'Data Vlaue (Cr)'!$C:$FB,67)</f>
        <v>2796</v>
      </c>
      <c r="M56" s="75">
        <f>VLOOKUP($A56,'Data Vlaue (Cr)'!$C:$FB,68)</f>
        <v>2333</v>
      </c>
      <c r="N56" s="75">
        <f t="shared" si="4"/>
        <v>463</v>
      </c>
      <c r="O56" s="75">
        <f t="shared" si="5"/>
        <v>16.559370529327609</v>
      </c>
      <c r="P56" s="75">
        <f>VLOOKUP($A56,'Data Vlaue (Cr)'!$C:$FB,119)</f>
        <v>0.37</v>
      </c>
      <c r="Q56" s="75">
        <f>VLOOKUP($A56,'Data Vlaue (Cr)'!$C:$FB,122)*100</f>
        <v>0</v>
      </c>
      <c r="R56" s="75">
        <f>VLOOKUP($A56,'Data Vlaue (Cr)'!$C:$FB,125)</f>
        <v>0.44</v>
      </c>
      <c r="S56" s="75">
        <f>VLOOKUP($A56,'Data Vlaue (Cr)'!$C:$FB,128)*100</f>
        <v>10</v>
      </c>
    </row>
    <row r="57" spans="1:19" x14ac:dyDescent="0.25">
      <c r="A57" s="96" t="str">
        <f>'Data Vlaue (Cr)'!C48</f>
        <v>COLPAL</v>
      </c>
      <c r="B57" s="75">
        <f>VLOOKUP($A57,'Data Vlaue (Cr)'!$C:$FB,2)</f>
        <v>225</v>
      </c>
      <c r="C57" s="75">
        <f>VLOOKUP($A57,'Data Vlaue (Cr)'!$C:$FB,8)</f>
        <v>1975.8</v>
      </c>
      <c r="D57" s="75">
        <f>VLOOKUP($A57,'Data Vlaue (Cr)'!$C:$FB,4)</f>
        <v>1973.2</v>
      </c>
      <c r="E57" s="75">
        <f>VLOOKUP($A57,'Data Vlaue (Cr)'!$C:$FB,5)</f>
        <v>2049.6999999999998</v>
      </c>
      <c r="F57" s="75">
        <f t="shared" si="0"/>
        <v>-2.5999999999999091</v>
      </c>
      <c r="G57" s="75">
        <f t="shared" si="1"/>
        <v>-3.8769511453476473</v>
      </c>
      <c r="H57" s="75">
        <f>VLOOKUP($A57,'Data Vlaue (Cr)'!$C:$FB,99)</f>
        <v>2647</v>
      </c>
      <c r="I57" s="75">
        <f>VLOOKUP($A57,'Data Vlaue (Cr)'!$C:$FB,100)</f>
        <v>2412</v>
      </c>
      <c r="J57" s="75">
        <f t="shared" si="2"/>
        <v>235</v>
      </c>
      <c r="K57" s="75">
        <f t="shared" si="3"/>
        <v>8.8779750661125796</v>
      </c>
      <c r="L57" s="75">
        <f>VLOOKUP($A57,'Data Vlaue (Cr)'!$C:$FB,67)</f>
        <v>2585</v>
      </c>
      <c r="M57" s="75">
        <f>VLOOKUP($A57,'Data Vlaue (Cr)'!$C:$FB,68)</f>
        <v>6181</v>
      </c>
      <c r="N57" s="75">
        <f t="shared" si="4"/>
        <v>-3596</v>
      </c>
      <c r="O57" s="75">
        <f t="shared" si="5"/>
        <v>-139.110251450677</v>
      </c>
      <c r="P57" s="75">
        <f>VLOOKUP($A57,'Data Vlaue (Cr)'!$C:$FB,119)</f>
        <v>0.61</v>
      </c>
      <c r="Q57" s="75">
        <f>VLOOKUP($A57,'Data Vlaue (Cr)'!$C:$FB,122)*100</f>
        <v>-6.15</v>
      </c>
      <c r="R57" s="75">
        <f>VLOOKUP($A57,'Data Vlaue (Cr)'!$C:$FB,125)</f>
        <v>0.62</v>
      </c>
      <c r="S57" s="75">
        <f>VLOOKUP($A57,'Data Vlaue (Cr)'!$C:$FB,128)*100</f>
        <v>-47.010000000000005</v>
      </c>
    </row>
    <row r="58" spans="1:19" x14ac:dyDescent="0.25">
      <c r="A58" s="96" t="str">
        <f>'Data Vlaue (Cr)'!C49</f>
        <v>CONCOR</v>
      </c>
      <c r="B58" s="75">
        <f>VLOOKUP($A58,'Data Vlaue (Cr)'!$C:$FB,2)</f>
        <v>1250</v>
      </c>
      <c r="C58" s="75">
        <f>VLOOKUP($A58,'Data Vlaue (Cr)'!$C:$FB,8)</f>
        <v>467.15</v>
      </c>
      <c r="D58" s="75">
        <f>VLOOKUP($A58,'Data Vlaue (Cr)'!$C:$FB,4)</f>
        <v>469.1</v>
      </c>
      <c r="E58" s="75">
        <f>VLOOKUP($A58,'Data Vlaue (Cr)'!$C:$FB,5)</f>
        <v>470.8</v>
      </c>
      <c r="F58" s="75">
        <f t="shared" si="0"/>
        <v>1.9500000000000455</v>
      </c>
      <c r="G58" s="75">
        <f t="shared" si="1"/>
        <v>-0.362396077595393</v>
      </c>
      <c r="H58" s="75">
        <f>VLOOKUP($A58,'Data Vlaue (Cr)'!$C:$FB,99)</f>
        <v>2228</v>
      </c>
      <c r="I58" s="75">
        <f>VLOOKUP($A58,'Data Vlaue (Cr)'!$C:$FB,100)</f>
        <v>2190</v>
      </c>
      <c r="J58" s="75">
        <f t="shared" si="2"/>
        <v>38</v>
      </c>
      <c r="K58" s="75">
        <f t="shared" si="3"/>
        <v>1.7055655296229804</v>
      </c>
      <c r="L58" s="75">
        <f>VLOOKUP($A58,'Data Vlaue (Cr)'!$C:$FB,67)</f>
        <v>467</v>
      </c>
      <c r="M58" s="75">
        <f>VLOOKUP($A58,'Data Vlaue (Cr)'!$C:$FB,68)</f>
        <v>490</v>
      </c>
      <c r="N58" s="75">
        <f t="shared" si="4"/>
        <v>-23</v>
      </c>
      <c r="O58" s="75">
        <f t="shared" si="5"/>
        <v>-4.925053533190578</v>
      </c>
      <c r="P58" s="75">
        <f>VLOOKUP($A58,'Data Vlaue (Cr)'!$C:$FB,119)</f>
        <v>0.72</v>
      </c>
      <c r="Q58" s="75">
        <f>VLOOKUP($A58,'Data Vlaue (Cr)'!$C:$FB,122)*100</f>
        <v>-1.37</v>
      </c>
      <c r="R58" s="75">
        <f>VLOOKUP($A58,'Data Vlaue (Cr)'!$C:$FB,125)</f>
        <v>0.39</v>
      </c>
      <c r="S58" s="75">
        <f>VLOOKUP($A58,'Data Vlaue (Cr)'!$C:$FB,128)*100</f>
        <v>-22</v>
      </c>
    </row>
    <row r="59" spans="1:19" x14ac:dyDescent="0.25">
      <c r="A59" s="96" t="str">
        <f>'Data Vlaue (Cr)'!C50</f>
        <v>CROMPTON</v>
      </c>
      <c r="B59" s="75">
        <f>VLOOKUP($A59,'Data Vlaue (Cr)'!$C:$FB,2)</f>
        <v>1800</v>
      </c>
      <c r="C59" s="75">
        <f>VLOOKUP($A59,'Data Vlaue (Cr)'!$C:$FB,8)</f>
        <v>247.2</v>
      </c>
      <c r="D59" s="75">
        <f>VLOOKUP($A59,'Data Vlaue (Cr)'!$C:$FB,4)</f>
        <v>247.7</v>
      </c>
      <c r="E59" s="75">
        <f>VLOOKUP($A59,'Data Vlaue (Cr)'!$C:$FB,5)</f>
        <v>248.25</v>
      </c>
      <c r="F59" s="75">
        <f t="shared" si="0"/>
        <v>0.5</v>
      </c>
      <c r="G59" s="75">
        <f t="shared" si="1"/>
        <v>-0.22204279370206353</v>
      </c>
      <c r="H59" s="75">
        <f>VLOOKUP($A59,'Data Vlaue (Cr)'!$C:$FB,99)</f>
        <v>1534</v>
      </c>
      <c r="I59" s="75">
        <f>VLOOKUP($A59,'Data Vlaue (Cr)'!$C:$FB,100)</f>
        <v>1517</v>
      </c>
      <c r="J59" s="75">
        <f t="shared" si="2"/>
        <v>17</v>
      </c>
      <c r="K59" s="75">
        <f t="shared" si="3"/>
        <v>1.108213820078227</v>
      </c>
      <c r="L59" s="75">
        <f>VLOOKUP($A59,'Data Vlaue (Cr)'!$C:$FB,67)</f>
        <v>545</v>
      </c>
      <c r="M59" s="75">
        <f>VLOOKUP($A59,'Data Vlaue (Cr)'!$C:$FB,68)</f>
        <v>282</v>
      </c>
      <c r="N59" s="75">
        <f t="shared" si="4"/>
        <v>263</v>
      </c>
      <c r="O59" s="75">
        <f t="shared" si="5"/>
        <v>48.256880733944953</v>
      </c>
      <c r="P59" s="75">
        <f>VLOOKUP($A59,'Data Vlaue (Cr)'!$C:$FB,119)</f>
        <v>0.52</v>
      </c>
      <c r="Q59" s="75">
        <f>VLOOKUP($A59,'Data Vlaue (Cr)'!$C:$FB,122)*100</f>
        <v>-1.8900000000000001</v>
      </c>
      <c r="R59" s="75">
        <f>VLOOKUP($A59,'Data Vlaue (Cr)'!$C:$FB,125)</f>
        <v>0.28000000000000003</v>
      </c>
      <c r="S59" s="75">
        <f>VLOOKUP($A59,'Data Vlaue (Cr)'!$C:$FB,128)*100</f>
        <v>-15.15</v>
      </c>
    </row>
    <row r="60" spans="1:19" x14ac:dyDescent="0.25">
      <c r="A60" s="96" t="str">
        <f>'Data Vlaue (Cr)'!C51</f>
        <v>CUMMINSIND</v>
      </c>
      <c r="B60" s="75">
        <f>VLOOKUP($A60,'Data Vlaue (Cr)'!$C:$FB,2)</f>
        <v>200</v>
      </c>
      <c r="C60" s="75">
        <f>VLOOKUP($A60,'Data Vlaue (Cr)'!$C:$FB,8)</f>
        <v>4753.6000000000004</v>
      </c>
      <c r="D60" s="75">
        <f>VLOOKUP($A60,'Data Vlaue (Cr)'!$C:$FB,4)</f>
        <v>4759.5</v>
      </c>
      <c r="E60" s="75">
        <f>VLOOKUP($A60,'Data Vlaue (Cr)'!$C:$FB,5)</f>
        <v>4634.8</v>
      </c>
      <c r="F60" s="75">
        <f t="shared" si="0"/>
        <v>5.8999999999996362</v>
      </c>
      <c r="G60" s="75">
        <f t="shared" si="1"/>
        <v>2.6200231116713901</v>
      </c>
      <c r="H60" s="75">
        <f>VLOOKUP($A60,'Data Vlaue (Cr)'!$C:$FB,99)</f>
        <v>2549</v>
      </c>
      <c r="I60" s="75">
        <f>VLOOKUP($A60,'Data Vlaue (Cr)'!$C:$FB,100)</f>
        <v>2547</v>
      </c>
      <c r="J60" s="75">
        <f t="shared" si="2"/>
        <v>2</v>
      </c>
      <c r="K60" s="75">
        <f t="shared" si="3"/>
        <v>7.8462142016477054E-2</v>
      </c>
      <c r="L60" s="75">
        <f>VLOOKUP($A60,'Data Vlaue (Cr)'!$C:$FB,67)</f>
        <v>2845</v>
      </c>
      <c r="M60" s="75">
        <f>VLOOKUP($A60,'Data Vlaue (Cr)'!$C:$FB,68)</f>
        <v>2210</v>
      </c>
      <c r="N60" s="75">
        <f t="shared" si="4"/>
        <v>635</v>
      </c>
      <c r="O60" s="75">
        <f t="shared" si="5"/>
        <v>22.319859402460455</v>
      </c>
      <c r="P60" s="75">
        <f>VLOOKUP($A60,'Data Vlaue (Cr)'!$C:$FB,119)</f>
        <v>0.76</v>
      </c>
      <c r="Q60" s="75">
        <f>VLOOKUP($A60,'Data Vlaue (Cr)'!$C:$FB,122)*100</f>
        <v>10.14</v>
      </c>
      <c r="R60" s="75">
        <f>VLOOKUP($A60,'Data Vlaue (Cr)'!$C:$FB,125)</f>
        <v>0.47</v>
      </c>
      <c r="S60" s="75">
        <f>VLOOKUP($A60,'Data Vlaue (Cr)'!$C:$FB,128)*100</f>
        <v>56.67</v>
      </c>
    </row>
    <row r="61" spans="1:19" x14ac:dyDescent="0.25">
      <c r="A61" s="96" t="str">
        <f>'Data Vlaue (Cr)'!C52</f>
        <v>DABUR</v>
      </c>
      <c r="B61" s="75">
        <f>VLOOKUP($A61,'Data Vlaue (Cr)'!$C:$FB,2)</f>
        <v>1250</v>
      </c>
      <c r="C61" s="75">
        <f>VLOOKUP($A61,'Data Vlaue (Cr)'!$C:$FB,8)</f>
        <v>459.35</v>
      </c>
      <c r="D61" s="75">
        <f>VLOOKUP($A61,'Data Vlaue (Cr)'!$C:$FB,4)</f>
        <v>461.4</v>
      </c>
      <c r="E61" s="75">
        <f>VLOOKUP($A61,'Data Vlaue (Cr)'!$C:$FB,5)</f>
        <v>472.35</v>
      </c>
      <c r="F61" s="75">
        <f t="shared" si="0"/>
        <v>2.0499999999999545</v>
      </c>
      <c r="G61" s="75">
        <f t="shared" si="1"/>
        <v>-2.3732119635890867</v>
      </c>
      <c r="H61" s="75">
        <f>VLOOKUP($A61,'Data Vlaue (Cr)'!$C:$FB,99)</f>
        <v>2006</v>
      </c>
      <c r="I61" s="75">
        <f>VLOOKUP($A61,'Data Vlaue (Cr)'!$C:$FB,100)</f>
        <v>1924</v>
      </c>
      <c r="J61" s="75">
        <f t="shared" si="2"/>
        <v>82</v>
      </c>
      <c r="K61" s="75">
        <f t="shared" si="3"/>
        <v>4.0877367896311068</v>
      </c>
      <c r="L61" s="75">
        <f>VLOOKUP($A61,'Data Vlaue (Cr)'!$C:$FB,67)</f>
        <v>782</v>
      </c>
      <c r="M61" s="75">
        <f>VLOOKUP($A61,'Data Vlaue (Cr)'!$C:$FB,68)</f>
        <v>464</v>
      </c>
      <c r="N61" s="75">
        <f t="shared" si="4"/>
        <v>318</v>
      </c>
      <c r="O61" s="75">
        <f t="shared" si="5"/>
        <v>40.664961636828643</v>
      </c>
      <c r="P61" s="75">
        <f>VLOOKUP($A61,'Data Vlaue (Cr)'!$C:$FB,119)</f>
        <v>0.54</v>
      </c>
      <c r="Q61" s="75">
        <f>VLOOKUP($A61,'Data Vlaue (Cr)'!$C:$FB,122)*100</f>
        <v>-3.5700000000000003</v>
      </c>
      <c r="R61" s="75">
        <f>VLOOKUP($A61,'Data Vlaue (Cr)'!$C:$FB,125)</f>
        <v>0.9</v>
      </c>
      <c r="S61" s="75">
        <f>VLOOKUP($A61,'Data Vlaue (Cr)'!$C:$FB,128)*100</f>
        <v>-5.26</v>
      </c>
    </row>
    <row r="62" spans="1:19" x14ac:dyDescent="0.25">
      <c r="A62" s="96" t="str">
        <f>'Data Vlaue (Cr)'!C53</f>
        <v>DALBHARAT</v>
      </c>
      <c r="B62" s="75">
        <f>VLOOKUP($A62,'Data Vlaue (Cr)'!$C:$FB,2)</f>
        <v>325</v>
      </c>
      <c r="C62" s="75">
        <f>VLOOKUP($A62,'Data Vlaue (Cr)'!$C:$FB,8)</f>
        <v>1894.5</v>
      </c>
      <c r="D62" s="75">
        <f>VLOOKUP($A62,'Data Vlaue (Cr)'!$C:$FB,4)</f>
        <v>1896.3</v>
      </c>
      <c r="E62" s="75">
        <f>VLOOKUP($A62,'Data Vlaue (Cr)'!$C:$FB,5)</f>
        <v>1857.8</v>
      </c>
      <c r="F62" s="75">
        <f t="shared" si="0"/>
        <v>1.7999999999999545</v>
      </c>
      <c r="G62" s="75">
        <f t="shared" si="1"/>
        <v>2.0302694721299375</v>
      </c>
      <c r="H62" s="75">
        <f>VLOOKUP($A62,'Data Vlaue (Cr)'!$C:$FB,99)</f>
        <v>1070</v>
      </c>
      <c r="I62" s="75">
        <f>VLOOKUP($A62,'Data Vlaue (Cr)'!$C:$FB,100)</f>
        <v>958</v>
      </c>
      <c r="J62" s="75">
        <f t="shared" si="2"/>
        <v>112</v>
      </c>
      <c r="K62" s="75">
        <f t="shared" si="3"/>
        <v>10.467289719626169</v>
      </c>
      <c r="L62" s="75">
        <f>VLOOKUP($A62,'Data Vlaue (Cr)'!$C:$FB,67)</f>
        <v>1720</v>
      </c>
      <c r="M62" s="75">
        <f>VLOOKUP($A62,'Data Vlaue (Cr)'!$C:$FB,68)</f>
        <v>1029</v>
      </c>
      <c r="N62" s="75">
        <f t="shared" si="4"/>
        <v>691</v>
      </c>
      <c r="O62" s="75">
        <f t="shared" si="5"/>
        <v>40.174418604651166</v>
      </c>
      <c r="P62" s="75">
        <f>VLOOKUP($A62,'Data Vlaue (Cr)'!$C:$FB,119)</f>
        <v>1.34</v>
      </c>
      <c r="Q62" s="75">
        <f>VLOOKUP($A62,'Data Vlaue (Cr)'!$C:$FB,122)*100</f>
        <v>11.67</v>
      </c>
      <c r="R62" s="75">
        <f>VLOOKUP($A62,'Data Vlaue (Cr)'!$C:$FB,125)</f>
        <v>4.1100000000000003</v>
      </c>
      <c r="S62" s="75">
        <f>VLOOKUP($A62,'Data Vlaue (Cr)'!$C:$FB,128)*100</f>
        <v>166.88</v>
      </c>
    </row>
    <row r="63" spans="1:19" x14ac:dyDescent="0.25">
      <c r="A63" s="96" t="str">
        <f>'Data Vlaue (Cr)'!C54</f>
        <v>DELHIVERY</v>
      </c>
      <c r="B63" s="75">
        <f>VLOOKUP($A63,'Data Vlaue (Cr)'!$C:$FB,2)</f>
        <v>2075</v>
      </c>
      <c r="C63" s="75">
        <f>VLOOKUP($A63,'Data Vlaue (Cr)'!$C:$FB,8)</f>
        <v>408.2</v>
      </c>
      <c r="D63" s="75">
        <f>VLOOKUP($A63,'Data Vlaue (Cr)'!$C:$FB,4)</f>
        <v>409.9</v>
      </c>
      <c r="E63" s="75">
        <f>VLOOKUP($A63,'Data Vlaue (Cr)'!$C:$FB,5)</f>
        <v>418.65</v>
      </c>
      <c r="F63" s="75">
        <f t="shared" si="0"/>
        <v>1.6999999999999886</v>
      </c>
      <c r="G63" s="75">
        <f t="shared" si="1"/>
        <v>-2.1346669919492562</v>
      </c>
      <c r="H63" s="75">
        <f>VLOOKUP($A63,'Data Vlaue (Cr)'!$C:$FB,99)</f>
        <v>1486</v>
      </c>
      <c r="I63" s="75">
        <f>VLOOKUP($A63,'Data Vlaue (Cr)'!$C:$FB,100)</f>
        <v>1421</v>
      </c>
      <c r="J63" s="75">
        <f t="shared" si="2"/>
        <v>65</v>
      </c>
      <c r="K63" s="75">
        <f t="shared" si="3"/>
        <v>4.3741588156123816</v>
      </c>
      <c r="L63" s="75">
        <f>VLOOKUP($A63,'Data Vlaue (Cr)'!$C:$FB,67)</f>
        <v>519</v>
      </c>
      <c r="M63" s="75">
        <f>VLOOKUP($A63,'Data Vlaue (Cr)'!$C:$FB,68)</f>
        <v>310</v>
      </c>
      <c r="N63" s="75">
        <f t="shared" si="4"/>
        <v>209</v>
      </c>
      <c r="O63" s="75">
        <f t="shared" si="5"/>
        <v>40.26974951830443</v>
      </c>
      <c r="P63" s="75">
        <f>VLOOKUP($A63,'Data Vlaue (Cr)'!$C:$FB,119)</f>
        <v>0.56999999999999995</v>
      </c>
      <c r="Q63" s="75">
        <f>VLOOKUP($A63,'Data Vlaue (Cr)'!$C:$FB,122)*100</f>
        <v>-1.72</v>
      </c>
      <c r="R63" s="75">
        <f>VLOOKUP($A63,'Data Vlaue (Cr)'!$C:$FB,125)</f>
        <v>0.72</v>
      </c>
      <c r="S63" s="75">
        <f>VLOOKUP($A63,'Data Vlaue (Cr)'!$C:$FB,128)*100</f>
        <v>-16.28</v>
      </c>
    </row>
    <row r="64" spans="1:19" x14ac:dyDescent="0.25">
      <c r="A64" s="96" t="str">
        <f>'Data Vlaue (Cr)'!C55</f>
        <v>DIVISLAB</v>
      </c>
      <c r="B64" s="75">
        <f>VLOOKUP($A64,'Data Vlaue (Cr)'!$C:$FB,2)</f>
        <v>100</v>
      </c>
      <c r="C64" s="75">
        <f>VLOOKUP($A64,'Data Vlaue (Cr)'!$C:$FB,8)</f>
        <v>6282</v>
      </c>
      <c r="D64" s="75">
        <f>VLOOKUP($A64,'Data Vlaue (Cr)'!$C:$FB,4)</f>
        <v>6290.5</v>
      </c>
      <c r="E64" s="75">
        <f>VLOOKUP($A64,'Data Vlaue (Cr)'!$C:$FB,5)</f>
        <v>6367</v>
      </c>
      <c r="F64" s="75">
        <f t="shared" si="0"/>
        <v>8.5</v>
      </c>
      <c r="G64" s="75">
        <f t="shared" si="1"/>
        <v>-1.2161195453461568</v>
      </c>
      <c r="H64" s="75">
        <f>VLOOKUP($A64,'Data Vlaue (Cr)'!$C:$FB,99)</f>
        <v>2471</v>
      </c>
      <c r="I64" s="75">
        <f>VLOOKUP($A64,'Data Vlaue (Cr)'!$C:$FB,100)</f>
        <v>2560</v>
      </c>
      <c r="J64" s="75">
        <f t="shared" si="2"/>
        <v>-89</v>
      </c>
      <c r="K64" s="75">
        <f t="shared" si="3"/>
        <v>-3.6017806556050185</v>
      </c>
      <c r="L64" s="75">
        <f>VLOOKUP($A64,'Data Vlaue (Cr)'!$C:$FB,67)</f>
        <v>1226</v>
      </c>
      <c r="M64" s="75">
        <f>VLOOKUP($A64,'Data Vlaue (Cr)'!$C:$FB,68)</f>
        <v>1292</v>
      </c>
      <c r="N64" s="75">
        <f t="shared" si="4"/>
        <v>-66</v>
      </c>
      <c r="O64" s="75">
        <f t="shared" si="5"/>
        <v>-5.383360522022838</v>
      </c>
      <c r="P64" s="75">
        <f>VLOOKUP($A64,'Data Vlaue (Cr)'!$C:$FB,119)</f>
        <v>0.6</v>
      </c>
      <c r="Q64" s="75">
        <f>VLOOKUP($A64,'Data Vlaue (Cr)'!$C:$FB,122)*100</f>
        <v>7.1400000000000006</v>
      </c>
      <c r="R64" s="75">
        <f>VLOOKUP($A64,'Data Vlaue (Cr)'!$C:$FB,125)</f>
        <v>0.48</v>
      </c>
      <c r="S64" s="75">
        <f>VLOOKUP($A64,'Data Vlaue (Cr)'!$C:$FB,128)*100</f>
        <v>29.73</v>
      </c>
    </row>
    <row r="65" spans="1:19" x14ac:dyDescent="0.25">
      <c r="A65" s="96" t="str">
        <f>'Data Vlaue (Cr)'!C56</f>
        <v>DIXON</v>
      </c>
      <c r="B65" s="75">
        <f>VLOOKUP($A65,'Data Vlaue (Cr)'!$C:$FB,2)</f>
        <v>50</v>
      </c>
      <c r="C65" s="75">
        <f>VLOOKUP($A65,'Data Vlaue (Cr)'!$C:$FB,8)</f>
        <v>10803</v>
      </c>
      <c r="D65" s="75">
        <f>VLOOKUP($A65,'Data Vlaue (Cr)'!$C:$FB,4)</f>
        <v>10737</v>
      </c>
      <c r="E65" s="75">
        <f>VLOOKUP($A65,'Data Vlaue (Cr)'!$C:$FB,5)</f>
        <v>10572</v>
      </c>
      <c r="F65" s="75">
        <f t="shared" si="0"/>
        <v>-66</v>
      </c>
      <c r="G65" s="75">
        <f t="shared" si="1"/>
        <v>1.5367421067337244</v>
      </c>
      <c r="H65" s="75">
        <f>VLOOKUP($A65,'Data Vlaue (Cr)'!$C:$FB,99)</f>
        <v>7019</v>
      </c>
      <c r="I65" s="75">
        <f>VLOOKUP($A65,'Data Vlaue (Cr)'!$C:$FB,100)</f>
        <v>6987</v>
      </c>
      <c r="J65" s="75">
        <f t="shared" si="2"/>
        <v>32</v>
      </c>
      <c r="K65" s="75">
        <f t="shared" si="3"/>
        <v>0.45590539962957688</v>
      </c>
      <c r="L65" s="75">
        <f>VLOOKUP($A65,'Data Vlaue (Cr)'!$C:$FB,67)</f>
        <v>11079</v>
      </c>
      <c r="M65" s="75">
        <f>VLOOKUP($A65,'Data Vlaue (Cr)'!$C:$FB,68)</f>
        <v>15715</v>
      </c>
      <c r="N65" s="75">
        <f t="shared" si="4"/>
        <v>-4636</v>
      </c>
      <c r="O65" s="75">
        <f t="shared" si="5"/>
        <v>-41.844931853055328</v>
      </c>
      <c r="P65" s="75">
        <f>VLOOKUP($A65,'Data Vlaue (Cr)'!$C:$FB,119)</f>
        <v>0.63</v>
      </c>
      <c r="Q65" s="75">
        <f>VLOOKUP($A65,'Data Vlaue (Cr)'!$C:$FB,122)*100</f>
        <v>6.78</v>
      </c>
      <c r="R65" s="75">
        <f>VLOOKUP($A65,'Data Vlaue (Cr)'!$C:$FB,125)</f>
        <v>0.39</v>
      </c>
      <c r="S65" s="75">
        <f>VLOOKUP($A65,'Data Vlaue (Cr)'!$C:$FB,128)*100</f>
        <v>-15.22</v>
      </c>
    </row>
    <row r="66" spans="1:19" x14ac:dyDescent="0.25">
      <c r="A66" s="96" t="str">
        <f>'Data Vlaue (Cr)'!C57</f>
        <v>DLF</v>
      </c>
      <c r="B66" s="75">
        <f>VLOOKUP($A66,'Data Vlaue (Cr)'!$C:$FB,2)</f>
        <v>825</v>
      </c>
      <c r="C66" s="75">
        <f>VLOOKUP($A66,'Data Vlaue (Cr)'!$C:$FB,8)</f>
        <v>558.1</v>
      </c>
      <c r="D66" s="75">
        <f>VLOOKUP($A66,'Data Vlaue (Cr)'!$C:$FB,4)</f>
        <v>560.15</v>
      </c>
      <c r="E66" s="75">
        <f>VLOOKUP($A66,'Data Vlaue (Cr)'!$C:$FB,5)</f>
        <v>574.20000000000005</v>
      </c>
      <c r="F66" s="75">
        <f t="shared" si="0"/>
        <v>2.0499999999999545</v>
      </c>
      <c r="G66" s="75">
        <f t="shared" si="1"/>
        <v>-2.5082567169508287</v>
      </c>
      <c r="H66" s="75">
        <f>VLOOKUP($A66,'Data Vlaue (Cr)'!$C:$FB,99)</f>
        <v>4314</v>
      </c>
      <c r="I66" s="75">
        <f>VLOOKUP($A66,'Data Vlaue (Cr)'!$C:$FB,100)</f>
        <v>4195</v>
      </c>
      <c r="J66" s="75">
        <f t="shared" si="2"/>
        <v>119</v>
      </c>
      <c r="K66" s="75">
        <f t="shared" si="3"/>
        <v>2.7584608252202134</v>
      </c>
      <c r="L66" s="75">
        <f>VLOOKUP($A66,'Data Vlaue (Cr)'!$C:$FB,67)</f>
        <v>1598</v>
      </c>
      <c r="M66" s="75">
        <f>VLOOKUP($A66,'Data Vlaue (Cr)'!$C:$FB,68)</f>
        <v>1498</v>
      </c>
      <c r="N66" s="75">
        <f t="shared" si="4"/>
        <v>100</v>
      </c>
      <c r="O66" s="75">
        <f t="shared" si="5"/>
        <v>6.2578222778473096</v>
      </c>
      <c r="P66" s="75">
        <f>VLOOKUP($A66,'Data Vlaue (Cr)'!$C:$FB,119)</f>
        <v>0.77</v>
      </c>
      <c r="Q66" s="75">
        <f>VLOOKUP($A66,'Data Vlaue (Cr)'!$C:$FB,122)*100</f>
        <v>-6.1</v>
      </c>
      <c r="R66" s="75">
        <f>VLOOKUP($A66,'Data Vlaue (Cr)'!$C:$FB,125)</f>
        <v>0.64</v>
      </c>
      <c r="S66" s="75">
        <f>VLOOKUP($A66,'Data Vlaue (Cr)'!$C:$FB,128)*100</f>
        <v>-34.69</v>
      </c>
    </row>
    <row r="67" spans="1:19" x14ac:dyDescent="0.25">
      <c r="A67" s="96" t="str">
        <f>'Data Vlaue (Cr)'!C58</f>
        <v>DMART</v>
      </c>
      <c r="B67" s="75">
        <f>VLOOKUP($A67,'Data Vlaue (Cr)'!$C:$FB,2)</f>
        <v>150</v>
      </c>
      <c r="C67" s="75">
        <f>VLOOKUP($A67,'Data Vlaue (Cr)'!$C:$FB,8)</f>
        <v>3953.6</v>
      </c>
      <c r="D67" s="75">
        <f>VLOOKUP($A67,'Data Vlaue (Cr)'!$C:$FB,4)</f>
        <v>3965.4</v>
      </c>
      <c r="E67" s="75">
        <f>VLOOKUP($A67,'Data Vlaue (Cr)'!$C:$FB,5)</f>
        <v>3930.9</v>
      </c>
      <c r="F67" s="75">
        <f t="shared" si="0"/>
        <v>11.800000000000182</v>
      </c>
      <c r="G67" s="75">
        <f t="shared" si="1"/>
        <v>0.87002572249962173</v>
      </c>
      <c r="H67" s="75">
        <f>VLOOKUP($A67,'Data Vlaue (Cr)'!$C:$FB,99)</f>
        <v>3400</v>
      </c>
      <c r="I67" s="75">
        <f>VLOOKUP($A67,'Data Vlaue (Cr)'!$C:$FB,100)</f>
        <v>3244</v>
      </c>
      <c r="J67" s="75">
        <f t="shared" si="2"/>
        <v>156</v>
      </c>
      <c r="K67" s="75">
        <f t="shared" si="3"/>
        <v>4.5882352941176467</v>
      </c>
      <c r="L67" s="75">
        <f>VLOOKUP($A67,'Data Vlaue (Cr)'!$C:$FB,67)</f>
        <v>1563</v>
      </c>
      <c r="M67" s="75">
        <f>VLOOKUP($A67,'Data Vlaue (Cr)'!$C:$FB,68)</f>
        <v>1393</v>
      </c>
      <c r="N67" s="75">
        <f t="shared" si="4"/>
        <v>170</v>
      </c>
      <c r="O67" s="75">
        <f t="shared" si="5"/>
        <v>10.876519513755598</v>
      </c>
      <c r="P67" s="75">
        <f>VLOOKUP($A67,'Data Vlaue (Cr)'!$C:$FB,119)</f>
        <v>0.73</v>
      </c>
      <c r="Q67" s="75">
        <f>VLOOKUP($A67,'Data Vlaue (Cr)'!$C:$FB,122)*100</f>
        <v>0</v>
      </c>
      <c r="R67" s="75">
        <f>VLOOKUP($A67,'Data Vlaue (Cr)'!$C:$FB,125)</f>
        <v>0.49</v>
      </c>
      <c r="S67" s="75">
        <f>VLOOKUP($A67,'Data Vlaue (Cr)'!$C:$FB,128)*100</f>
        <v>6.52</v>
      </c>
    </row>
    <row r="68" spans="1:19" x14ac:dyDescent="0.25">
      <c r="A68" s="96" t="str">
        <f>'Data Vlaue (Cr)'!C59</f>
        <v>DRREDDY</v>
      </c>
      <c r="B68" s="75">
        <f>VLOOKUP($A68,'Data Vlaue (Cr)'!$C:$FB,2)</f>
        <v>625</v>
      </c>
      <c r="C68" s="75">
        <f>VLOOKUP($A68,'Data Vlaue (Cr)'!$C:$FB,8)</f>
        <v>1319</v>
      </c>
      <c r="D68" s="75">
        <f>VLOOKUP($A68,'Data Vlaue (Cr)'!$C:$FB,4)</f>
        <v>1324.2</v>
      </c>
      <c r="E68" s="75">
        <f>VLOOKUP($A68,'Data Vlaue (Cr)'!$C:$FB,5)</f>
        <v>1326.5</v>
      </c>
      <c r="F68" s="75">
        <f t="shared" si="0"/>
        <v>5.2000000000000455</v>
      </c>
      <c r="G68" s="75">
        <f t="shared" si="1"/>
        <v>-0.17368977495846205</v>
      </c>
      <c r="H68" s="75">
        <f>VLOOKUP($A68,'Data Vlaue (Cr)'!$C:$FB,99)</f>
        <v>3907</v>
      </c>
      <c r="I68" s="75">
        <f>VLOOKUP($A68,'Data Vlaue (Cr)'!$C:$FB,100)</f>
        <v>3878</v>
      </c>
      <c r="J68" s="75">
        <f t="shared" si="2"/>
        <v>29</v>
      </c>
      <c r="K68" s="75">
        <f t="shared" si="3"/>
        <v>0.74225748656257995</v>
      </c>
      <c r="L68" s="75">
        <f>VLOOKUP($A68,'Data Vlaue (Cr)'!$C:$FB,67)</f>
        <v>2279</v>
      </c>
      <c r="M68" s="75">
        <f>VLOOKUP($A68,'Data Vlaue (Cr)'!$C:$FB,68)</f>
        <v>3752</v>
      </c>
      <c r="N68" s="75">
        <f t="shared" si="4"/>
        <v>-1473</v>
      </c>
      <c r="O68" s="75">
        <f t="shared" si="5"/>
        <v>-64.633611232996927</v>
      </c>
      <c r="P68" s="75">
        <f>VLOOKUP($A68,'Data Vlaue (Cr)'!$C:$FB,119)</f>
        <v>0.47</v>
      </c>
      <c r="Q68" s="75">
        <f>VLOOKUP($A68,'Data Vlaue (Cr)'!$C:$FB,122)*100</f>
        <v>2.17</v>
      </c>
      <c r="R68" s="75">
        <f>VLOOKUP($A68,'Data Vlaue (Cr)'!$C:$FB,125)</f>
        <v>0.37</v>
      </c>
      <c r="S68" s="75">
        <f>VLOOKUP($A68,'Data Vlaue (Cr)'!$C:$FB,128)*100</f>
        <v>27.589999999999996</v>
      </c>
    </row>
    <row r="69" spans="1:19" x14ac:dyDescent="0.25">
      <c r="A69" s="96" t="str">
        <f>'Data Vlaue (Cr)'!C60</f>
        <v>EICHERMOT</v>
      </c>
      <c r="B69" s="75">
        <f>VLOOKUP($A69,'Data Vlaue (Cr)'!$C:$FB,2)</f>
        <v>100</v>
      </c>
      <c r="C69" s="75">
        <f>VLOOKUP($A69,'Data Vlaue (Cr)'!$C:$FB,8)</f>
        <v>6975.5</v>
      </c>
      <c r="D69" s="75">
        <f>VLOOKUP($A69,'Data Vlaue (Cr)'!$C:$FB,4)</f>
        <v>7005</v>
      </c>
      <c r="E69" s="75">
        <f>VLOOKUP($A69,'Data Vlaue (Cr)'!$C:$FB,5)</f>
        <v>7277.5</v>
      </c>
      <c r="F69" s="75">
        <f t="shared" si="0"/>
        <v>29.5</v>
      </c>
      <c r="G69" s="75">
        <f t="shared" si="1"/>
        <v>-3.8900785153461812</v>
      </c>
      <c r="H69" s="75">
        <f>VLOOKUP($A69,'Data Vlaue (Cr)'!$C:$FB,99)</f>
        <v>5311</v>
      </c>
      <c r="I69" s="75">
        <f>VLOOKUP($A69,'Data Vlaue (Cr)'!$C:$FB,100)</f>
        <v>4798</v>
      </c>
      <c r="J69" s="75">
        <f t="shared" si="2"/>
        <v>513</v>
      </c>
      <c r="K69" s="75">
        <f t="shared" si="3"/>
        <v>9.6591978911692724</v>
      </c>
      <c r="L69" s="75">
        <f>VLOOKUP($A69,'Data Vlaue (Cr)'!$C:$FB,67)</f>
        <v>5399</v>
      </c>
      <c r="M69" s="75">
        <f>VLOOKUP($A69,'Data Vlaue (Cr)'!$C:$FB,68)</f>
        <v>2965</v>
      </c>
      <c r="N69" s="75">
        <f t="shared" si="4"/>
        <v>2434</v>
      </c>
      <c r="O69" s="75">
        <f t="shared" si="5"/>
        <v>45.082422670864972</v>
      </c>
      <c r="P69" s="75">
        <f>VLOOKUP($A69,'Data Vlaue (Cr)'!$C:$FB,119)</f>
        <v>0.54</v>
      </c>
      <c r="Q69" s="75">
        <f>VLOOKUP($A69,'Data Vlaue (Cr)'!$C:$FB,122)*100</f>
        <v>-6.9</v>
      </c>
      <c r="R69" s="75">
        <f>VLOOKUP($A69,'Data Vlaue (Cr)'!$C:$FB,125)</f>
        <v>0.7</v>
      </c>
      <c r="S69" s="75">
        <f>VLOOKUP($A69,'Data Vlaue (Cr)'!$C:$FB,128)*100</f>
        <v>1.4500000000000002</v>
      </c>
    </row>
    <row r="70" spans="1:19" x14ac:dyDescent="0.25">
      <c r="A70" s="96" t="str">
        <f>'Data Vlaue (Cr)'!C61</f>
        <v>ETERNAL</v>
      </c>
      <c r="B70" s="75">
        <f>VLOOKUP($A70,'Data Vlaue (Cr)'!$C:$FB,2)</f>
        <v>2425</v>
      </c>
      <c r="C70" s="75">
        <f>VLOOKUP($A70,'Data Vlaue (Cr)'!$C:$FB,8)</f>
        <v>221.17</v>
      </c>
      <c r="D70" s="75">
        <f>VLOOKUP($A70,'Data Vlaue (Cr)'!$C:$FB,4)</f>
        <v>221.99</v>
      </c>
      <c r="E70" s="75">
        <f>VLOOKUP($A70,'Data Vlaue (Cr)'!$C:$FB,5)</f>
        <v>224</v>
      </c>
      <c r="F70" s="75">
        <f t="shared" si="0"/>
        <v>0.8200000000000216</v>
      </c>
      <c r="G70" s="75">
        <f t="shared" si="1"/>
        <v>-0.90544619126987291</v>
      </c>
      <c r="H70" s="75">
        <f>VLOOKUP($A70,'Data Vlaue (Cr)'!$C:$FB,99)</f>
        <v>10971</v>
      </c>
      <c r="I70" s="75">
        <f>VLOOKUP($A70,'Data Vlaue (Cr)'!$C:$FB,100)</f>
        <v>10880</v>
      </c>
      <c r="J70" s="75">
        <f t="shared" si="2"/>
        <v>91</v>
      </c>
      <c r="K70" s="75">
        <f t="shared" si="3"/>
        <v>0.82945948409443082</v>
      </c>
      <c r="L70" s="75">
        <f>VLOOKUP($A70,'Data Vlaue (Cr)'!$C:$FB,67)</f>
        <v>7028</v>
      </c>
      <c r="M70" s="75">
        <f>VLOOKUP($A70,'Data Vlaue (Cr)'!$C:$FB,68)</f>
        <v>3198</v>
      </c>
      <c r="N70" s="75">
        <f t="shared" si="4"/>
        <v>3830</v>
      </c>
      <c r="O70" s="75">
        <f t="shared" si="5"/>
        <v>54.496300512236772</v>
      </c>
      <c r="P70" s="75">
        <f>VLOOKUP($A70,'Data Vlaue (Cr)'!$C:$FB,119)</f>
        <v>0.56999999999999995</v>
      </c>
      <c r="Q70" s="75">
        <f>VLOOKUP($A70,'Data Vlaue (Cr)'!$C:$FB,122)*100</f>
        <v>5.56</v>
      </c>
      <c r="R70" s="75">
        <f>VLOOKUP($A70,'Data Vlaue (Cr)'!$C:$FB,125)</f>
        <v>1.21</v>
      </c>
      <c r="S70" s="75">
        <f>VLOOKUP($A70,'Data Vlaue (Cr)'!$C:$FB,128)*100</f>
        <v>68.06</v>
      </c>
    </row>
    <row r="71" spans="1:19" x14ac:dyDescent="0.25">
      <c r="A71" s="96" t="str">
        <f>'Data Vlaue (Cr)'!C62</f>
        <v>EXIDEIND</v>
      </c>
      <c r="B71" s="75">
        <f>VLOOKUP($A71,'Data Vlaue (Cr)'!$C:$FB,2)</f>
        <v>1800</v>
      </c>
      <c r="C71" s="75">
        <f>VLOOKUP($A71,'Data Vlaue (Cr)'!$C:$FB,8)</f>
        <v>310</v>
      </c>
      <c r="D71" s="75">
        <f>VLOOKUP($A71,'Data Vlaue (Cr)'!$C:$FB,4)</f>
        <v>310.3</v>
      </c>
      <c r="E71" s="75">
        <f>VLOOKUP($A71,'Data Vlaue (Cr)'!$C:$FB,5)</f>
        <v>311.7</v>
      </c>
      <c r="F71" s="75">
        <f t="shared" si="0"/>
        <v>0.30000000000001137</v>
      </c>
      <c r="G71" s="75">
        <f t="shared" si="1"/>
        <v>-0.45117628101836199</v>
      </c>
      <c r="H71" s="75">
        <f>VLOOKUP($A71,'Data Vlaue (Cr)'!$C:$FB,99)</f>
        <v>1563</v>
      </c>
      <c r="I71" s="75">
        <f>VLOOKUP($A71,'Data Vlaue (Cr)'!$C:$FB,100)</f>
        <v>1544</v>
      </c>
      <c r="J71" s="75">
        <f t="shared" si="2"/>
        <v>19</v>
      </c>
      <c r="K71" s="75">
        <f t="shared" si="3"/>
        <v>1.2156110044785668</v>
      </c>
      <c r="L71" s="75">
        <f>VLOOKUP($A71,'Data Vlaue (Cr)'!$C:$FB,67)</f>
        <v>322</v>
      </c>
      <c r="M71" s="75">
        <f>VLOOKUP($A71,'Data Vlaue (Cr)'!$C:$FB,68)</f>
        <v>297</v>
      </c>
      <c r="N71" s="75">
        <f t="shared" si="4"/>
        <v>25</v>
      </c>
      <c r="O71" s="75">
        <f t="shared" si="5"/>
        <v>7.7639751552795024</v>
      </c>
      <c r="P71" s="75">
        <f>VLOOKUP($A71,'Data Vlaue (Cr)'!$C:$FB,119)</f>
        <v>0.8</v>
      </c>
      <c r="Q71" s="75">
        <f>VLOOKUP($A71,'Data Vlaue (Cr)'!$C:$FB,122)*100</f>
        <v>-3.61</v>
      </c>
      <c r="R71" s="75">
        <f>VLOOKUP($A71,'Data Vlaue (Cr)'!$C:$FB,125)</f>
        <v>0.33</v>
      </c>
      <c r="S71" s="75">
        <f>VLOOKUP($A71,'Data Vlaue (Cr)'!$C:$FB,128)*100</f>
        <v>-26.669999999999998</v>
      </c>
    </row>
    <row r="72" spans="1:19" x14ac:dyDescent="0.25">
      <c r="A72" s="96" t="str">
        <f>'Data Vlaue (Cr)'!C63</f>
        <v>FEDERALBNK</v>
      </c>
      <c r="B72" s="75">
        <f>VLOOKUP($A72,'Data Vlaue (Cr)'!$C:$FB,2)</f>
        <v>5000</v>
      </c>
      <c r="C72" s="75">
        <f>VLOOKUP($A72,'Data Vlaue (Cr)'!$C:$FB,8)</f>
        <v>270.25</v>
      </c>
      <c r="D72" s="75">
        <f>VLOOKUP($A72,'Data Vlaue (Cr)'!$C:$FB,4)</f>
        <v>271.10000000000002</v>
      </c>
      <c r="E72" s="75">
        <f>VLOOKUP($A72,'Data Vlaue (Cr)'!$C:$FB,5)</f>
        <v>270.5</v>
      </c>
      <c r="F72" s="75">
        <f t="shared" si="0"/>
        <v>0.85000000000002274</v>
      </c>
      <c r="G72" s="75">
        <f t="shared" si="1"/>
        <v>0.22132054592402164</v>
      </c>
      <c r="H72" s="75">
        <f>VLOOKUP($A72,'Data Vlaue (Cr)'!$C:$FB,99)</f>
        <v>4869</v>
      </c>
      <c r="I72" s="75">
        <f>VLOOKUP($A72,'Data Vlaue (Cr)'!$C:$FB,100)</f>
        <v>4693</v>
      </c>
      <c r="J72" s="75">
        <f t="shared" si="2"/>
        <v>176</v>
      </c>
      <c r="K72" s="75">
        <f t="shared" si="3"/>
        <v>3.6147052782912303</v>
      </c>
      <c r="L72" s="75">
        <f>VLOOKUP($A72,'Data Vlaue (Cr)'!$C:$FB,67)</f>
        <v>3209</v>
      </c>
      <c r="M72" s="75">
        <f>VLOOKUP($A72,'Data Vlaue (Cr)'!$C:$FB,68)</f>
        <v>3092</v>
      </c>
      <c r="N72" s="75">
        <f t="shared" si="4"/>
        <v>117</v>
      </c>
      <c r="O72" s="75">
        <f t="shared" si="5"/>
        <v>3.6459956372701772</v>
      </c>
      <c r="P72" s="75">
        <f>VLOOKUP($A72,'Data Vlaue (Cr)'!$C:$FB,119)</f>
        <v>0.52</v>
      </c>
      <c r="Q72" s="75">
        <f>VLOOKUP($A72,'Data Vlaue (Cr)'!$C:$FB,122)*100</f>
        <v>-3.6999999999999997</v>
      </c>
      <c r="R72" s="75">
        <f>VLOOKUP($A72,'Data Vlaue (Cr)'!$C:$FB,125)</f>
        <v>0.41</v>
      </c>
      <c r="S72" s="75">
        <f>VLOOKUP($A72,'Data Vlaue (Cr)'!$C:$FB,128)*100</f>
        <v>32.26</v>
      </c>
    </row>
    <row r="73" spans="1:19" x14ac:dyDescent="0.25">
      <c r="A73" s="96" t="str">
        <f>'Data Vlaue (Cr)'!C64</f>
        <v>FINNIFTY</v>
      </c>
      <c r="B73" s="75">
        <f>VLOOKUP($A73,'Data Vlaue (Cr)'!$C:$FB,2)</f>
        <v>60</v>
      </c>
      <c r="C73" s="75">
        <f>VLOOKUP($A73,'Data Vlaue (Cr)'!$C:$FB,8)</f>
        <v>25663.200000000001</v>
      </c>
      <c r="D73" s="75">
        <f>VLOOKUP($A73,'Data Vlaue (Cr)'!$C:$FB,4)</f>
        <v>25750</v>
      </c>
      <c r="E73" s="75">
        <f>VLOOKUP($A73,'Data Vlaue (Cr)'!$C:$FB,5)</f>
        <v>26003.8</v>
      </c>
      <c r="F73" s="75">
        <f t="shared" si="0"/>
        <v>86.799999999999272</v>
      </c>
      <c r="G73" s="75">
        <f t="shared" si="1"/>
        <v>-0.98563106796116218</v>
      </c>
      <c r="H73" s="75">
        <f>VLOOKUP($A73,'Data Vlaue (Cr)'!$C:$FB,99)</f>
        <v>4432</v>
      </c>
      <c r="I73" s="75">
        <f>VLOOKUP($A73,'Data Vlaue (Cr)'!$C:$FB,100)</f>
        <v>4245</v>
      </c>
      <c r="J73" s="75">
        <f t="shared" si="2"/>
        <v>187</v>
      </c>
      <c r="K73" s="75">
        <f t="shared" si="3"/>
        <v>4.2193140794223831</v>
      </c>
      <c r="L73" s="75">
        <f>VLOOKUP($A73,'Data Vlaue (Cr)'!$C:$FB,67)</f>
        <v>5494</v>
      </c>
      <c r="M73" s="75">
        <f>VLOOKUP($A73,'Data Vlaue (Cr)'!$C:$FB,68)</f>
        <v>6412</v>
      </c>
      <c r="N73" s="75">
        <f t="shared" si="4"/>
        <v>-918</v>
      </c>
      <c r="O73" s="75">
        <f t="shared" si="5"/>
        <v>-16.709137240626138</v>
      </c>
      <c r="P73" s="75">
        <f>VLOOKUP($A73,'Data Vlaue (Cr)'!$C:$FB,119)</f>
        <v>0.92</v>
      </c>
      <c r="Q73" s="75">
        <f>VLOOKUP($A73,'Data Vlaue (Cr)'!$C:$FB,122)*100</f>
        <v>0</v>
      </c>
      <c r="R73" s="75">
        <f>VLOOKUP($A73,'Data Vlaue (Cr)'!$C:$FB,125)</f>
        <v>1.32</v>
      </c>
      <c r="S73" s="75">
        <f>VLOOKUP($A73,'Data Vlaue (Cr)'!$C:$FB,128)*100</f>
        <v>38.950000000000003</v>
      </c>
    </row>
    <row r="74" spans="1:19" x14ac:dyDescent="0.25">
      <c r="A74" s="96" t="str">
        <f>'Data Vlaue (Cr)'!C65</f>
        <v>FORTIS</v>
      </c>
      <c r="B74" s="75">
        <f>VLOOKUP($A74,'Data Vlaue (Cr)'!$C:$FB,2)</f>
        <v>775</v>
      </c>
      <c r="C74" s="75">
        <f>VLOOKUP($A74,'Data Vlaue (Cr)'!$C:$FB,8)</f>
        <v>859.5</v>
      </c>
      <c r="D74" s="75">
        <f>VLOOKUP($A74,'Data Vlaue (Cr)'!$C:$FB,4)</f>
        <v>863.05</v>
      </c>
      <c r="E74" s="75">
        <f>VLOOKUP($A74,'Data Vlaue (Cr)'!$C:$FB,5)</f>
        <v>882.2</v>
      </c>
      <c r="F74" s="75">
        <f t="shared" si="0"/>
        <v>3.5499999999999545</v>
      </c>
      <c r="G74" s="75">
        <f t="shared" si="1"/>
        <v>-2.2188749203406628</v>
      </c>
      <c r="H74" s="75">
        <f>VLOOKUP($A74,'Data Vlaue (Cr)'!$C:$FB,99)</f>
        <v>1553</v>
      </c>
      <c r="I74" s="75">
        <f>VLOOKUP($A74,'Data Vlaue (Cr)'!$C:$FB,100)</f>
        <v>1494</v>
      </c>
      <c r="J74" s="75">
        <f t="shared" si="2"/>
        <v>59</v>
      </c>
      <c r="K74" s="75">
        <f t="shared" si="3"/>
        <v>3.7990985189954927</v>
      </c>
      <c r="L74" s="75">
        <f>VLOOKUP($A74,'Data Vlaue (Cr)'!$C:$FB,67)</f>
        <v>467</v>
      </c>
      <c r="M74" s="75">
        <f>VLOOKUP($A74,'Data Vlaue (Cr)'!$C:$FB,68)</f>
        <v>393</v>
      </c>
      <c r="N74" s="75">
        <f t="shared" si="4"/>
        <v>74</v>
      </c>
      <c r="O74" s="75">
        <f t="shared" si="5"/>
        <v>15.845824411134904</v>
      </c>
      <c r="P74" s="75">
        <f>VLOOKUP($A74,'Data Vlaue (Cr)'!$C:$FB,119)</f>
        <v>0.42</v>
      </c>
      <c r="Q74" s="75">
        <f>VLOOKUP($A74,'Data Vlaue (Cr)'!$C:$FB,122)*100</f>
        <v>-2.33</v>
      </c>
      <c r="R74" s="75">
        <f>VLOOKUP($A74,'Data Vlaue (Cr)'!$C:$FB,125)</f>
        <v>0.28999999999999998</v>
      </c>
      <c r="S74" s="75">
        <f>VLOOKUP($A74,'Data Vlaue (Cr)'!$C:$FB,128)*100</f>
        <v>-23.68</v>
      </c>
    </row>
    <row r="75" spans="1:19" x14ac:dyDescent="0.25">
      <c r="A75" s="96" t="str">
        <f>'Data Vlaue (Cr)'!C66</f>
        <v>GAIL</v>
      </c>
      <c r="B75" s="75">
        <f>VLOOKUP($A75,'Data Vlaue (Cr)'!$C:$FB,2)</f>
        <v>3150</v>
      </c>
      <c r="C75" s="75">
        <f>VLOOKUP($A75,'Data Vlaue (Cr)'!$C:$FB,8)</f>
        <v>152.35</v>
      </c>
      <c r="D75" s="75">
        <f>VLOOKUP($A75,'Data Vlaue (Cr)'!$C:$FB,4)</f>
        <v>152.94</v>
      </c>
      <c r="E75" s="75">
        <f>VLOOKUP($A75,'Data Vlaue (Cr)'!$C:$FB,5)</f>
        <v>148.52000000000001</v>
      </c>
      <c r="F75" s="75">
        <f t="shared" si="0"/>
        <v>0.59000000000000341</v>
      </c>
      <c r="G75" s="75">
        <f>(D75-E75)/D75*100</f>
        <v>2.8900222309402297</v>
      </c>
      <c r="H75" s="75">
        <f>VLOOKUP($A75,'Data Vlaue (Cr)'!$C:$FB,99)</f>
        <v>2851</v>
      </c>
      <c r="I75" s="75">
        <f>VLOOKUP($A75,'Data Vlaue (Cr)'!$C:$FB,100)</f>
        <v>2809</v>
      </c>
      <c r="J75" s="75">
        <f t="shared" si="2"/>
        <v>42</v>
      </c>
      <c r="K75" s="75">
        <f t="shared" si="3"/>
        <v>1.4731673097158891</v>
      </c>
      <c r="L75" s="75">
        <f>VLOOKUP($A75,'Data Vlaue (Cr)'!$C:$FB,67)</f>
        <v>1398</v>
      </c>
      <c r="M75" s="75">
        <f>VLOOKUP($A75,'Data Vlaue (Cr)'!$C:$FB,68)</f>
        <v>1093</v>
      </c>
      <c r="N75" s="75">
        <f t="shared" si="4"/>
        <v>305</v>
      </c>
      <c r="O75" s="75">
        <f t="shared" si="5"/>
        <v>21.816881258941343</v>
      </c>
      <c r="P75" s="75">
        <f>VLOOKUP($A75,'Data Vlaue (Cr)'!$C:$FB,119)</f>
        <v>1.01</v>
      </c>
      <c r="Q75" s="75">
        <f>VLOOKUP($A75,'Data Vlaue (Cr)'!$C:$FB,122)*100</f>
        <v>-0.98</v>
      </c>
      <c r="R75" s="75">
        <f>VLOOKUP($A75,'Data Vlaue (Cr)'!$C:$FB,125)</f>
        <v>0.4</v>
      </c>
      <c r="S75" s="75">
        <f>VLOOKUP($A75,'Data Vlaue (Cr)'!$C:$FB,128)*100</f>
        <v>-28.57</v>
      </c>
    </row>
    <row r="76" spans="1:19" x14ac:dyDescent="0.25">
      <c r="A76" s="96" t="str">
        <f>'Data Vlaue (Cr)'!C67</f>
        <v>GLENMARK</v>
      </c>
      <c r="B76" s="75">
        <f>VLOOKUP($A76,'Data Vlaue (Cr)'!$C:$FB,2)</f>
        <v>375</v>
      </c>
      <c r="C76" s="75">
        <f>VLOOKUP($A76,'Data Vlaue (Cr)'!$C:$FB,8)</f>
        <v>2256.4</v>
      </c>
      <c r="D76" s="75">
        <f>VLOOKUP($A76,'Data Vlaue (Cr)'!$C:$FB,4)</f>
        <v>2263.5</v>
      </c>
      <c r="E76" s="75">
        <f>VLOOKUP($A76,'Data Vlaue (Cr)'!$C:$FB,5)</f>
        <v>2278.1999999999998</v>
      </c>
      <c r="F76" s="75">
        <f t="shared" ref="F76:F139" si="6">D76-C76</f>
        <v>7.0999999999999091</v>
      </c>
      <c r="G76" s="75">
        <f t="shared" ref="G76:G139" si="7">(D76-E76)/D76*100</f>
        <v>-0.64943671305499528</v>
      </c>
      <c r="H76" s="75">
        <f>VLOOKUP($A76,'Data Vlaue (Cr)'!$C:$FB,99)</f>
        <v>3372</v>
      </c>
      <c r="I76" s="75">
        <f>VLOOKUP($A76,'Data Vlaue (Cr)'!$C:$FB,100)</f>
        <v>3412</v>
      </c>
      <c r="J76" s="75">
        <f t="shared" ref="J76:J139" si="8">H76-I76</f>
        <v>-40</v>
      </c>
      <c r="K76" s="75">
        <f t="shared" ref="K76:K139" si="9">J76/H76*100</f>
        <v>-1.1862396204033214</v>
      </c>
      <c r="L76" s="75">
        <f>VLOOKUP($A76,'Data Vlaue (Cr)'!$C:$FB,67)</f>
        <v>1584</v>
      </c>
      <c r="M76" s="75">
        <f>VLOOKUP($A76,'Data Vlaue (Cr)'!$C:$FB,68)</f>
        <v>3865</v>
      </c>
      <c r="N76" s="75">
        <f t="shared" ref="N76:N139" si="10">L76-M76</f>
        <v>-2281</v>
      </c>
      <c r="O76" s="75">
        <f t="shared" ref="O76:O139" si="11">N76/L76*100</f>
        <v>-144.00252525252526</v>
      </c>
      <c r="P76" s="75">
        <f>VLOOKUP($A76,'Data Vlaue (Cr)'!$C:$FB,119)</f>
        <v>0.56000000000000005</v>
      </c>
      <c r="Q76" s="75">
        <f>VLOOKUP($A76,'Data Vlaue (Cr)'!$C:$FB,122)*100</f>
        <v>3.6999999999999997</v>
      </c>
      <c r="R76" s="75">
        <f>VLOOKUP($A76,'Data Vlaue (Cr)'!$C:$FB,125)</f>
        <v>0.72</v>
      </c>
      <c r="S76" s="75">
        <f>VLOOKUP($A76,'Data Vlaue (Cr)'!$C:$FB,128)*100</f>
        <v>148.28</v>
      </c>
    </row>
    <row r="77" spans="1:19" x14ac:dyDescent="0.25">
      <c r="A77" s="96" t="str">
        <f>'Data Vlaue (Cr)'!C68</f>
        <v>GMRAIRPORT</v>
      </c>
      <c r="B77" s="75">
        <f>VLOOKUP($A77,'Data Vlaue (Cr)'!$C:$FB,2)</f>
        <v>6975</v>
      </c>
      <c r="C77" s="75">
        <f>VLOOKUP($A77,'Data Vlaue (Cr)'!$C:$FB,8)</f>
        <v>93.29</v>
      </c>
      <c r="D77" s="75">
        <f>VLOOKUP($A77,'Data Vlaue (Cr)'!$C:$FB,4)</f>
        <v>93.69</v>
      </c>
      <c r="E77" s="75">
        <f>VLOOKUP($A77,'Data Vlaue (Cr)'!$C:$FB,5)</f>
        <v>93.95</v>
      </c>
      <c r="F77" s="75">
        <f t="shared" si="6"/>
        <v>0.39999999999999147</v>
      </c>
      <c r="G77" s="75">
        <f t="shared" si="7"/>
        <v>-0.27751094033515333</v>
      </c>
      <c r="H77" s="75">
        <f>VLOOKUP($A77,'Data Vlaue (Cr)'!$C:$FB,99)</f>
        <v>2226</v>
      </c>
      <c r="I77" s="75">
        <f>VLOOKUP($A77,'Data Vlaue (Cr)'!$C:$FB,100)</f>
        <v>2219</v>
      </c>
      <c r="J77" s="75">
        <f t="shared" si="8"/>
        <v>7</v>
      </c>
      <c r="K77" s="75">
        <f t="shared" si="9"/>
        <v>0.31446540880503149</v>
      </c>
      <c r="L77" s="75">
        <f>VLOOKUP($A77,'Data Vlaue (Cr)'!$C:$FB,67)</f>
        <v>620</v>
      </c>
      <c r="M77" s="75">
        <f>VLOOKUP($A77,'Data Vlaue (Cr)'!$C:$FB,68)</f>
        <v>541</v>
      </c>
      <c r="N77" s="75">
        <f t="shared" si="10"/>
        <v>79</v>
      </c>
      <c r="O77" s="75">
        <f t="shared" si="11"/>
        <v>12.741935483870966</v>
      </c>
      <c r="P77" s="75">
        <f>VLOOKUP($A77,'Data Vlaue (Cr)'!$C:$FB,119)</f>
        <v>0.63</v>
      </c>
      <c r="Q77" s="75">
        <f>VLOOKUP($A77,'Data Vlaue (Cr)'!$C:$FB,122)*100</f>
        <v>-1.5599999999999998</v>
      </c>
      <c r="R77" s="75">
        <f>VLOOKUP($A77,'Data Vlaue (Cr)'!$C:$FB,125)</f>
        <v>1.0900000000000001</v>
      </c>
      <c r="S77" s="75">
        <f>VLOOKUP($A77,'Data Vlaue (Cr)'!$C:$FB,128)*100</f>
        <v>73.02</v>
      </c>
    </row>
    <row r="78" spans="1:19" x14ac:dyDescent="0.25">
      <c r="A78" s="96" t="str">
        <f>'Data Vlaue (Cr)'!C69</f>
        <v>GODREJCP</v>
      </c>
      <c r="B78" s="75">
        <f>VLOOKUP($A78,'Data Vlaue (Cr)'!$C:$FB,2)</f>
        <v>500</v>
      </c>
      <c r="C78" s="75">
        <f>VLOOKUP($A78,'Data Vlaue (Cr)'!$C:$FB,8)</f>
        <v>1052.3</v>
      </c>
      <c r="D78" s="75">
        <f>VLOOKUP($A78,'Data Vlaue (Cr)'!$C:$FB,4)</f>
        <v>1056.2</v>
      </c>
      <c r="E78" s="75">
        <f>VLOOKUP($A78,'Data Vlaue (Cr)'!$C:$FB,5)</f>
        <v>1092.4000000000001</v>
      </c>
      <c r="F78" s="75">
        <f t="shared" si="6"/>
        <v>3.9000000000000909</v>
      </c>
      <c r="G78" s="75">
        <f t="shared" si="7"/>
        <v>-3.4273811778072378</v>
      </c>
      <c r="H78" s="75">
        <f>VLOOKUP($A78,'Data Vlaue (Cr)'!$C:$FB,99)</f>
        <v>1351</v>
      </c>
      <c r="I78" s="75">
        <f>VLOOKUP($A78,'Data Vlaue (Cr)'!$C:$FB,100)</f>
        <v>1229</v>
      </c>
      <c r="J78" s="75">
        <f t="shared" si="8"/>
        <v>122</v>
      </c>
      <c r="K78" s="75">
        <f t="shared" si="9"/>
        <v>9.0303478904515178</v>
      </c>
      <c r="L78" s="75">
        <f>VLOOKUP($A78,'Data Vlaue (Cr)'!$C:$FB,67)</f>
        <v>870</v>
      </c>
      <c r="M78" s="75">
        <f>VLOOKUP($A78,'Data Vlaue (Cr)'!$C:$FB,68)</f>
        <v>340</v>
      </c>
      <c r="N78" s="75">
        <f t="shared" si="10"/>
        <v>530</v>
      </c>
      <c r="O78" s="75">
        <f t="shared" si="11"/>
        <v>60.919540229885058</v>
      </c>
      <c r="P78" s="75">
        <f>VLOOKUP($A78,'Data Vlaue (Cr)'!$C:$FB,119)</f>
        <v>0.87</v>
      </c>
      <c r="Q78" s="75">
        <f>VLOOKUP($A78,'Data Vlaue (Cr)'!$C:$FB,122)*100</f>
        <v>-1.1400000000000001</v>
      </c>
      <c r="R78" s="75">
        <f>VLOOKUP($A78,'Data Vlaue (Cr)'!$C:$FB,125)</f>
        <v>0.8</v>
      </c>
      <c r="S78" s="75">
        <f>VLOOKUP($A78,'Data Vlaue (Cr)'!$C:$FB,128)*100</f>
        <v>-14.89</v>
      </c>
    </row>
    <row r="79" spans="1:19" x14ac:dyDescent="0.25">
      <c r="A79" s="96" t="str">
        <f>'Data Vlaue (Cr)'!C70</f>
        <v>GODREJPROP</v>
      </c>
      <c r="B79" s="75">
        <f>VLOOKUP($A79,'Data Vlaue (Cr)'!$C:$FB,2)</f>
        <v>275</v>
      </c>
      <c r="C79" s="75">
        <f>VLOOKUP($A79,'Data Vlaue (Cr)'!$C:$FB,8)</f>
        <v>1616.3</v>
      </c>
      <c r="D79" s="75">
        <f>VLOOKUP($A79,'Data Vlaue (Cr)'!$C:$FB,4)</f>
        <v>1622.5</v>
      </c>
      <c r="E79" s="75">
        <f>VLOOKUP($A79,'Data Vlaue (Cr)'!$C:$FB,5)</f>
        <v>1655.3</v>
      </c>
      <c r="F79" s="75">
        <f t="shared" si="6"/>
        <v>6.2000000000000455</v>
      </c>
      <c r="G79" s="75">
        <f t="shared" si="7"/>
        <v>-2.0215716486902897</v>
      </c>
      <c r="H79" s="75">
        <f>VLOOKUP($A79,'Data Vlaue (Cr)'!$C:$FB,99)</f>
        <v>2191</v>
      </c>
      <c r="I79" s="75">
        <f>VLOOKUP($A79,'Data Vlaue (Cr)'!$C:$FB,100)</f>
        <v>2165</v>
      </c>
      <c r="J79" s="75">
        <f t="shared" si="8"/>
        <v>26</v>
      </c>
      <c r="K79" s="75">
        <f t="shared" si="9"/>
        <v>1.1866727521679599</v>
      </c>
      <c r="L79" s="75">
        <f>VLOOKUP($A79,'Data Vlaue (Cr)'!$C:$FB,67)</f>
        <v>767</v>
      </c>
      <c r="M79" s="75">
        <f>VLOOKUP($A79,'Data Vlaue (Cr)'!$C:$FB,68)</f>
        <v>645</v>
      </c>
      <c r="N79" s="75">
        <f t="shared" si="10"/>
        <v>122</v>
      </c>
      <c r="O79" s="75">
        <f t="shared" si="11"/>
        <v>15.90612777053455</v>
      </c>
      <c r="P79" s="75">
        <f>VLOOKUP($A79,'Data Vlaue (Cr)'!$C:$FB,119)</f>
        <v>0.72</v>
      </c>
      <c r="Q79" s="75">
        <f>VLOOKUP($A79,'Data Vlaue (Cr)'!$C:$FB,122)*100</f>
        <v>-1.37</v>
      </c>
      <c r="R79" s="75">
        <f>VLOOKUP($A79,'Data Vlaue (Cr)'!$C:$FB,125)</f>
        <v>0.85</v>
      </c>
      <c r="S79" s="75">
        <f>VLOOKUP($A79,'Data Vlaue (Cr)'!$C:$FB,128)*100</f>
        <v>13.33</v>
      </c>
    </row>
    <row r="80" spans="1:19" x14ac:dyDescent="0.25">
      <c r="A80" s="96" t="str">
        <f>'Data Vlaue (Cr)'!C71</f>
        <v>GRASIM</v>
      </c>
      <c r="B80" s="75">
        <f>VLOOKUP($A80,'Data Vlaue (Cr)'!$C:$FB,2)</f>
        <v>250</v>
      </c>
      <c r="C80" s="75">
        <f>VLOOKUP($A80,'Data Vlaue (Cr)'!$C:$FB,8)</f>
        <v>2673.1</v>
      </c>
      <c r="D80" s="75">
        <f>VLOOKUP($A80,'Data Vlaue (Cr)'!$C:$FB,4)</f>
        <v>2675.6</v>
      </c>
      <c r="E80" s="75">
        <f>VLOOKUP($A80,'Data Vlaue (Cr)'!$C:$FB,5)</f>
        <v>2734.4</v>
      </c>
      <c r="F80" s="75">
        <f t="shared" si="6"/>
        <v>2.5</v>
      </c>
      <c r="G80" s="75">
        <f t="shared" si="7"/>
        <v>-2.1976379129914854</v>
      </c>
      <c r="H80" s="75">
        <f>VLOOKUP($A80,'Data Vlaue (Cr)'!$C:$FB,99)</f>
        <v>4859</v>
      </c>
      <c r="I80" s="75">
        <f>VLOOKUP($A80,'Data Vlaue (Cr)'!$C:$FB,100)</f>
        <v>4817</v>
      </c>
      <c r="J80" s="75">
        <f t="shared" si="8"/>
        <v>42</v>
      </c>
      <c r="K80" s="75">
        <f t="shared" si="9"/>
        <v>0.86437538588186869</v>
      </c>
      <c r="L80" s="75">
        <f>VLOOKUP($A80,'Data Vlaue (Cr)'!$C:$FB,67)</f>
        <v>976</v>
      </c>
      <c r="M80" s="75">
        <f>VLOOKUP($A80,'Data Vlaue (Cr)'!$C:$FB,68)</f>
        <v>1190</v>
      </c>
      <c r="N80" s="75">
        <f t="shared" si="10"/>
        <v>-214</v>
      </c>
      <c r="O80" s="75">
        <f t="shared" si="11"/>
        <v>-21.92622950819672</v>
      </c>
      <c r="P80" s="75">
        <f>VLOOKUP($A80,'Data Vlaue (Cr)'!$C:$FB,119)</f>
        <v>0.56999999999999995</v>
      </c>
      <c r="Q80" s="75">
        <f>VLOOKUP($A80,'Data Vlaue (Cr)'!$C:$FB,122)*100</f>
        <v>-5</v>
      </c>
      <c r="R80" s="75">
        <f>VLOOKUP($A80,'Data Vlaue (Cr)'!$C:$FB,125)</f>
        <v>0.71</v>
      </c>
      <c r="S80" s="75">
        <f>VLOOKUP($A80,'Data Vlaue (Cr)'!$C:$FB,128)*100</f>
        <v>2.9000000000000004</v>
      </c>
    </row>
    <row r="81" spans="1:19" x14ac:dyDescent="0.25">
      <c r="A81" s="96" t="str">
        <f>'Data Vlaue (Cr)'!C72</f>
        <v>HAL</v>
      </c>
      <c r="B81" s="75">
        <f>VLOOKUP($A81,'Data Vlaue (Cr)'!$C:$FB,2)</f>
        <v>150</v>
      </c>
      <c r="C81" s="75">
        <f>VLOOKUP($A81,'Data Vlaue (Cr)'!$C:$FB,8)</f>
        <v>4013.5</v>
      </c>
      <c r="D81" s="75">
        <f>VLOOKUP($A81,'Data Vlaue (Cr)'!$C:$FB,4)</f>
        <v>4017.5</v>
      </c>
      <c r="E81" s="75">
        <f>VLOOKUP($A81,'Data Vlaue (Cr)'!$C:$FB,5)</f>
        <v>4008</v>
      </c>
      <c r="F81" s="75">
        <f t="shared" si="6"/>
        <v>4</v>
      </c>
      <c r="G81" s="75">
        <f t="shared" si="7"/>
        <v>0.23646546359676418</v>
      </c>
      <c r="H81" s="75">
        <f>VLOOKUP($A81,'Data Vlaue (Cr)'!$C:$FB,99)</f>
        <v>7899</v>
      </c>
      <c r="I81" s="75">
        <f>VLOOKUP($A81,'Data Vlaue (Cr)'!$C:$FB,100)</f>
        <v>8005</v>
      </c>
      <c r="J81" s="75">
        <f t="shared" si="8"/>
        <v>-106</v>
      </c>
      <c r="K81" s="75">
        <f t="shared" si="9"/>
        <v>-1.3419420179769592</v>
      </c>
      <c r="L81" s="75">
        <f>VLOOKUP($A81,'Data Vlaue (Cr)'!$C:$FB,67)</f>
        <v>2971</v>
      </c>
      <c r="M81" s="75">
        <f>VLOOKUP($A81,'Data Vlaue (Cr)'!$C:$FB,68)</f>
        <v>3814</v>
      </c>
      <c r="N81" s="75">
        <f t="shared" si="10"/>
        <v>-843</v>
      </c>
      <c r="O81" s="75">
        <f t="shared" si="11"/>
        <v>-28.374284752608546</v>
      </c>
      <c r="P81" s="75">
        <f>VLOOKUP($A81,'Data Vlaue (Cr)'!$C:$FB,119)</f>
        <v>0.65</v>
      </c>
      <c r="Q81" s="75">
        <f>VLOOKUP($A81,'Data Vlaue (Cr)'!$C:$FB,122)*100</f>
        <v>-1.52</v>
      </c>
      <c r="R81" s="75">
        <f>VLOOKUP($A81,'Data Vlaue (Cr)'!$C:$FB,125)</f>
        <v>0.32</v>
      </c>
      <c r="S81" s="75">
        <f>VLOOKUP($A81,'Data Vlaue (Cr)'!$C:$FB,128)*100</f>
        <v>-21.95</v>
      </c>
    </row>
    <row r="82" spans="1:19" x14ac:dyDescent="0.25">
      <c r="A82" s="96" t="str">
        <f>'Data Vlaue (Cr)'!C73</f>
        <v>HAVELLS</v>
      </c>
      <c r="B82" s="75">
        <f>VLOOKUP($A82,'Data Vlaue (Cr)'!$C:$FB,2)</f>
        <v>500</v>
      </c>
      <c r="C82" s="75">
        <f>VLOOKUP($A82,'Data Vlaue (Cr)'!$C:$FB,8)</f>
        <v>1354</v>
      </c>
      <c r="D82" s="75">
        <f>VLOOKUP($A82,'Data Vlaue (Cr)'!$C:$FB,4)</f>
        <v>1355.6</v>
      </c>
      <c r="E82" s="75">
        <f>VLOOKUP($A82,'Data Vlaue (Cr)'!$C:$FB,5)</f>
        <v>1370.8</v>
      </c>
      <c r="F82" s="75">
        <f t="shared" si="6"/>
        <v>1.5999999999999091</v>
      </c>
      <c r="G82" s="75">
        <f t="shared" si="7"/>
        <v>-1.1212747123045181</v>
      </c>
      <c r="H82" s="75">
        <f>VLOOKUP($A82,'Data Vlaue (Cr)'!$C:$FB,99)</f>
        <v>1844</v>
      </c>
      <c r="I82" s="75">
        <f>VLOOKUP($A82,'Data Vlaue (Cr)'!$C:$FB,100)</f>
        <v>1872</v>
      </c>
      <c r="J82" s="75">
        <f t="shared" si="8"/>
        <v>-28</v>
      </c>
      <c r="K82" s="75">
        <f t="shared" si="9"/>
        <v>-1.5184381778741864</v>
      </c>
      <c r="L82" s="75">
        <f>VLOOKUP($A82,'Data Vlaue (Cr)'!$C:$FB,67)</f>
        <v>761</v>
      </c>
      <c r="M82" s="75">
        <f>VLOOKUP($A82,'Data Vlaue (Cr)'!$C:$FB,68)</f>
        <v>1786</v>
      </c>
      <c r="N82" s="75">
        <f t="shared" si="10"/>
        <v>-1025</v>
      </c>
      <c r="O82" s="75">
        <f t="shared" si="11"/>
        <v>-134.69119579500656</v>
      </c>
      <c r="P82" s="75">
        <f>VLOOKUP($A82,'Data Vlaue (Cr)'!$C:$FB,119)</f>
        <v>0.75</v>
      </c>
      <c r="Q82" s="75">
        <f>VLOOKUP($A82,'Data Vlaue (Cr)'!$C:$FB,122)*100</f>
        <v>-10.71</v>
      </c>
      <c r="R82" s="75">
        <f>VLOOKUP($A82,'Data Vlaue (Cr)'!$C:$FB,125)</f>
        <v>0.68</v>
      </c>
      <c r="S82" s="75">
        <f>VLOOKUP($A82,'Data Vlaue (Cr)'!$C:$FB,128)*100</f>
        <v>112.5</v>
      </c>
    </row>
    <row r="83" spans="1:19" x14ac:dyDescent="0.25">
      <c r="A83" s="96" t="str">
        <f>'Data Vlaue (Cr)'!C74</f>
        <v>HCLTECH</v>
      </c>
      <c r="B83" s="75">
        <f>VLOOKUP($A83,'Data Vlaue (Cr)'!$C:$FB,2)</f>
        <v>350</v>
      </c>
      <c r="C83" s="75">
        <f>VLOOKUP($A83,'Data Vlaue (Cr)'!$C:$FB,8)</f>
        <v>1358.1</v>
      </c>
      <c r="D83" s="75">
        <f>VLOOKUP($A83,'Data Vlaue (Cr)'!$C:$FB,4)</f>
        <v>1352.4</v>
      </c>
      <c r="E83" s="75">
        <f>VLOOKUP($A83,'Data Vlaue (Cr)'!$C:$FB,5)</f>
        <v>1348.6</v>
      </c>
      <c r="F83" s="75">
        <f t="shared" si="6"/>
        <v>-5.6999999999998181</v>
      </c>
      <c r="G83" s="75">
        <f t="shared" si="7"/>
        <v>0.28098195800060494</v>
      </c>
      <c r="H83" s="75">
        <f>VLOOKUP($A83,'Data Vlaue (Cr)'!$C:$FB,99)</f>
        <v>5174</v>
      </c>
      <c r="I83" s="75">
        <f>VLOOKUP($A83,'Data Vlaue (Cr)'!$C:$FB,100)</f>
        <v>4970</v>
      </c>
      <c r="J83" s="75">
        <f t="shared" si="8"/>
        <v>204</v>
      </c>
      <c r="K83" s="75">
        <f t="shared" si="9"/>
        <v>3.9427908774642444</v>
      </c>
      <c r="L83" s="75">
        <f>VLOOKUP($A83,'Data Vlaue (Cr)'!$C:$FB,67)</f>
        <v>1856</v>
      </c>
      <c r="M83" s="75">
        <f>VLOOKUP($A83,'Data Vlaue (Cr)'!$C:$FB,68)</f>
        <v>1234</v>
      </c>
      <c r="N83" s="75">
        <f t="shared" si="10"/>
        <v>622</v>
      </c>
      <c r="O83" s="75">
        <f t="shared" si="11"/>
        <v>33.512931034482754</v>
      </c>
      <c r="P83" s="75">
        <f>VLOOKUP($A83,'Data Vlaue (Cr)'!$C:$FB,119)</f>
        <v>0.5</v>
      </c>
      <c r="Q83" s="75">
        <f>VLOOKUP($A83,'Data Vlaue (Cr)'!$C:$FB,122)*100</f>
        <v>-9.09</v>
      </c>
      <c r="R83" s="75">
        <f>VLOOKUP($A83,'Data Vlaue (Cr)'!$C:$FB,125)</f>
        <v>0.48</v>
      </c>
      <c r="S83" s="75">
        <f>VLOOKUP($A83,'Data Vlaue (Cr)'!$C:$FB,128)*100</f>
        <v>-44.83</v>
      </c>
    </row>
    <row r="84" spans="1:19" x14ac:dyDescent="0.25">
      <c r="A84" s="96" t="str">
        <f>'Data Vlaue (Cr)'!C75</f>
        <v>HDFCAMC</v>
      </c>
      <c r="B84" s="75">
        <f>VLOOKUP($A84,'Data Vlaue (Cr)'!$C:$FB,2)</f>
        <v>300</v>
      </c>
      <c r="C84" s="75">
        <f>VLOOKUP($A84,'Data Vlaue (Cr)'!$C:$FB,8)</f>
        <v>2429</v>
      </c>
      <c r="D84" s="75">
        <f>VLOOKUP($A84,'Data Vlaue (Cr)'!$C:$FB,4)</f>
        <v>2434.8000000000002</v>
      </c>
      <c r="E84" s="75">
        <f>VLOOKUP($A84,'Data Vlaue (Cr)'!$C:$FB,5)</f>
        <v>2457.1</v>
      </c>
      <c r="F84" s="75">
        <f t="shared" si="6"/>
        <v>5.8000000000001819</v>
      </c>
      <c r="G84" s="75">
        <f t="shared" si="7"/>
        <v>-0.91588631509773799</v>
      </c>
      <c r="H84" s="75">
        <f>VLOOKUP($A84,'Data Vlaue (Cr)'!$C:$FB,99)</f>
        <v>2024</v>
      </c>
      <c r="I84" s="75">
        <f>VLOOKUP($A84,'Data Vlaue (Cr)'!$C:$FB,100)</f>
        <v>1990</v>
      </c>
      <c r="J84" s="75">
        <f t="shared" si="8"/>
        <v>34</v>
      </c>
      <c r="K84" s="75">
        <f t="shared" si="9"/>
        <v>1.6798418972332017</v>
      </c>
      <c r="L84" s="75">
        <f>VLOOKUP($A84,'Data Vlaue (Cr)'!$C:$FB,67)</f>
        <v>663</v>
      </c>
      <c r="M84" s="75">
        <f>VLOOKUP($A84,'Data Vlaue (Cr)'!$C:$FB,68)</f>
        <v>788</v>
      </c>
      <c r="N84" s="75">
        <f t="shared" si="10"/>
        <v>-125</v>
      </c>
      <c r="O84" s="75">
        <f t="shared" si="11"/>
        <v>-18.85369532428356</v>
      </c>
      <c r="P84" s="75">
        <f>VLOOKUP($A84,'Data Vlaue (Cr)'!$C:$FB,119)</f>
        <v>0.64</v>
      </c>
      <c r="Q84" s="75">
        <f>VLOOKUP($A84,'Data Vlaue (Cr)'!$C:$FB,122)*100</f>
        <v>-5.88</v>
      </c>
      <c r="R84" s="75">
        <f>VLOOKUP($A84,'Data Vlaue (Cr)'!$C:$FB,125)</f>
        <v>0.54</v>
      </c>
      <c r="S84" s="75">
        <f>VLOOKUP($A84,'Data Vlaue (Cr)'!$C:$FB,128)*100</f>
        <v>12.5</v>
      </c>
    </row>
    <row r="85" spans="1:19" x14ac:dyDescent="0.25">
      <c r="A85" s="96" t="str">
        <f>'Data Vlaue (Cr)'!C76</f>
        <v>HDFCBANK</v>
      </c>
      <c r="B85" s="75">
        <f>VLOOKUP($A85,'Data Vlaue (Cr)'!$C:$FB,2)</f>
        <v>550</v>
      </c>
      <c r="C85" s="75">
        <f>VLOOKUP($A85,'Data Vlaue (Cr)'!$C:$FB,8)</f>
        <v>832.75</v>
      </c>
      <c r="D85" s="75">
        <f>VLOOKUP($A85,'Data Vlaue (Cr)'!$C:$FB,4)</f>
        <v>835.3</v>
      </c>
      <c r="E85" s="75">
        <f>VLOOKUP($A85,'Data Vlaue (Cr)'!$C:$FB,5)</f>
        <v>837.95</v>
      </c>
      <c r="F85" s="75">
        <f t="shared" si="6"/>
        <v>2.5499999999999545</v>
      </c>
      <c r="G85" s="75">
        <f t="shared" si="7"/>
        <v>-0.31725128696277877</v>
      </c>
      <c r="H85" s="75">
        <f>VLOOKUP($A85,'Data Vlaue (Cr)'!$C:$FB,99)</f>
        <v>38289</v>
      </c>
      <c r="I85" s="75">
        <f>VLOOKUP($A85,'Data Vlaue (Cr)'!$C:$FB,100)</f>
        <v>38628</v>
      </c>
      <c r="J85" s="75">
        <f t="shared" si="8"/>
        <v>-339</v>
      </c>
      <c r="K85" s="75">
        <f t="shared" si="9"/>
        <v>-0.88537177779518927</v>
      </c>
      <c r="L85" s="75">
        <f>VLOOKUP($A85,'Data Vlaue (Cr)'!$C:$FB,67)</f>
        <v>10342</v>
      </c>
      <c r="M85" s="75">
        <f>VLOOKUP($A85,'Data Vlaue (Cr)'!$C:$FB,68)</f>
        <v>14127</v>
      </c>
      <c r="N85" s="75">
        <f t="shared" si="10"/>
        <v>-3785</v>
      </c>
      <c r="O85" s="75">
        <f t="shared" si="11"/>
        <v>-36.598336878746856</v>
      </c>
      <c r="P85" s="75">
        <f>VLOOKUP($A85,'Data Vlaue (Cr)'!$C:$FB,119)</f>
        <v>0.52</v>
      </c>
      <c r="Q85" s="75">
        <f>VLOOKUP($A85,'Data Vlaue (Cr)'!$C:$FB,122)*100</f>
        <v>1.96</v>
      </c>
      <c r="R85" s="75">
        <f>VLOOKUP($A85,'Data Vlaue (Cr)'!$C:$FB,125)</f>
        <v>0.56999999999999995</v>
      </c>
      <c r="S85" s="75">
        <f>VLOOKUP($A85,'Data Vlaue (Cr)'!$C:$FB,128)*100</f>
        <v>14.000000000000002</v>
      </c>
    </row>
    <row r="86" spans="1:19" x14ac:dyDescent="0.25">
      <c r="A86" s="96" t="str">
        <f>'Data Vlaue (Cr)'!C77</f>
        <v>HDFCLIFE</v>
      </c>
      <c r="B86" s="75">
        <f>VLOOKUP($A86,'Data Vlaue (Cr)'!$C:$FB,2)</f>
        <v>1100</v>
      </c>
      <c r="C86" s="75">
        <f>VLOOKUP($A86,'Data Vlaue (Cr)'!$C:$FB,8)</f>
        <v>645.70000000000005</v>
      </c>
      <c r="D86" s="75">
        <f>VLOOKUP($A86,'Data Vlaue (Cr)'!$C:$FB,4)</f>
        <v>646.6</v>
      </c>
      <c r="E86" s="75">
        <f>VLOOKUP($A86,'Data Vlaue (Cr)'!$C:$FB,5)</f>
        <v>649</v>
      </c>
      <c r="F86" s="75">
        <f t="shared" si="6"/>
        <v>0.89999999999997726</v>
      </c>
      <c r="G86" s="75">
        <f t="shared" si="7"/>
        <v>-0.37117228580265654</v>
      </c>
      <c r="H86" s="75">
        <f>VLOOKUP($A86,'Data Vlaue (Cr)'!$C:$FB,99)</f>
        <v>3732</v>
      </c>
      <c r="I86" s="75">
        <f>VLOOKUP($A86,'Data Vlaue (Cr)'!$C:$FB,100)</f>
        <v>3738</v>
      </c>
      <c r="J86" s="75">
        <f t="shared" si="8"/>
        <v>-6</v>
      </c>
      <c r="K86" s="75">
        <f t="shared" si="9"/>
        <v>-0.16077170418006431</v>
      </c>
      <c r="L86" s="75">
        <f>VLOOKUP($A86,'Data Vlaue (Cr)'!$C:$FB,67)</f>
        <v>857</v>
      </c>
      <c r="M86" s="75">
        <f>VLOOKUP($A86,'Data Vlaue (Cr)'!$C:$FB,68)</f>
        <v>849</v>
      </c>
      <c r="N86" s="75">
        <f t="shared" si="10"/>
        <v>8</v>
      </c>
      <c r="O86" s="75">
        <f t="shared" si="11"/>
        <v>0.93348891481913643</v>
      </c>
      <c r="P86" s="75">
        <f>VLOOKUP($A86,'Data Vlaue (Cr)'!$C:$FB,119)</f>
        <v>0.39</v>
      </c>
      <c r="Q86" s="75">
        <f>VLOOKUP($A86,'Data Vlaue (Cr)'!$C:$FB,122)*100</f>
        <v>5.41</v>
      </c>
      <c r="R86" s="75">
        <f>VLOOKUP($A86,'Data Vlaue (Cr)'!$C:$FB,125)</f>
        <v>0.41</v>
      </c>
      <c r="S86" s="75">
        <f>VLOOKUP($A86,'Data Vlaue (Cr)'!$C:$FB,128)*100</f>
        <v>-18</v>
      </c>
    </row>
    <row r="87" spans="1:19" x14ac:dyDescent="0.25">
      <c r="A87" s="96" t="str">
        <f>'Data Vlaue (Cr)'!C78</f>
        <v>HEROMOTOCO</v>
      </c>
      <c r="B87" s="75">
        <f>VLOOKUP($A87,'Data Vlaue (Cr)'!$C:$FB,2)</f>
        <v>150</v>
      </c>
      <c r="C87" s="75">
        <f>VLOOKUP($A87,'Data Vlaue (Cr)'!$C:$FB,8)</f>
        <v>5394.5</v>
      </c>
      <c r="D87" s="75">
        <f>VLOOKUP($A87,'Data Vlaue (Cr)'!$C:$FB,4)</f>
        <v>5403</v>
      </c>
      <c r="E87" s="75">
        <f>VLOOKUP($A87,'Data Vlaue (Cr)'!$C:$FB,5)</f>
        <v>5582.5</v>
      </c>
      <c r="F87" s="75">
        <f t="shared" si="6"/>
        <v>8.5</v>
      </c>
      <c r="G87" s="75">
        <f t="shared" si="7"/>
        <v>-3.322228391634277</v>
      </c>
      <c r="H87" s="75">
        <f>VLOOKUP($A87,'Data Vlaue (Cr)'!$C:$FB,99)</f>
        <v>3697</v>
      </c>
      <c r="I87" s="75">
        <f>VLOOKUP($A87,'Data Vlaue (Cr)'!$C:$FB,100)</f>
        <v>3555</v>
      </c>
      <c r="J87" s="75">
        <f t="shared" si="8"/>
        <v>142</v>
      </c>
      <c r="K87" s="75">
        <f t="shared" si="9"/>
        <v>3.8409521233432513</v>
      </c>
      <c r="L87" s="75">
        <f>VLOOKUP($A87,'Data Vlaue (Cr)'!$C:$FB,67)</f>
        <v>3251</v>
      </c>
      <c r="M87" s="75">
        <f>VLOOKUP($A87,'Data Vlaue (Cr)'!$C:$FB,68)</f>
        <v>3416</v>
      </c>
      <c r="N87" s="75">
        <f t="shared" si="10"/>
        <v>-165</v>
      </c>
      <c r="O87" s="75">
        <f t="shared" si="11"/>
        <v>-5.0753614272531529</v>
      </c>
      <c r="P87" s="75">
        <f>VLOOKUP($A87,'Data Vlaue (Cr)'!$C:$FB,119)</f>
        <v>0.66</v>
      </c>
      <c r="Q87" s="75">
        <f>VLOOKUP($A87,'Data Vlaue (Cr)'!$C:$FB,122)*100</f>
        <v>-8.33</v>
      </c>
      <c r="R87" s="75">
        <f>VLOOKUP($A87,'Data Vlaue (Cr)'!$C:$FB,125)</f>
        <v>0.65</v>
      </c>
      <c r="S87" s="75">
        <f>VLOOKUP($A87,'Data Vlaue (Cr)'!$C:$FB,128)*100</f>
        <v>14.04</v>
      </c>
    </row>
    <row r="88" spans="1:19" x14ac:dyDescent="0.25">
      <c r="A88" s="96" t="str">
        <f>'Data Vlaue (Cr)'!C79</f>
        <v>HINDALCO</v>
      </c>
      <c r="B88" s="75">
        <f>VLOOKUP($A88,'Data Vlaue (Cr)'!$C:$FB,2)</f>
        <v>700</v>
      </c>
      <c r="C88" s="75">
        <f>VLOOKUP($A88,'Data Vlaue (Cr)'!$C:$FB,8)</f>
        <v>969.75</v>
      </c>
      <c r="D88" s="75">
        <f>VLOOKUP($A88,'Data Vlaue (Cr)'!$C:$FB,4)</f>
        <v>970.9</v>
      </c>
      <c r="E88" s="75">
        <f>VLOOKUP($A88,'Data Vlaue (Cr)'!$C:$FB,5)</f>
        <v>960.1</v>
      </c>
      <c r="F88" s="75">
        <f t="shared" si="6"/>
        <v>1.1499999999999773</v>
      </c>
      <c r="G88" s="75">
        <f t="shared" si="7"/>
        <v>1.1123699660109132</v>
      </c>
      <c r="H88" s="75">
        <f>VLOOKUP($A88,'Data Vlaue (Cr)'!$C:$FB,99)</f>
        <v>6327</v>
      </c>
      <c r="I88" s="75">
        <f>VLOOKUP($A88,'Data Vlaue (Cr)'!$C:$FB,100)</f>
        <v>6348</v>
      </c>
      <c r="J88" s="75">
        <f t="shared" si="8"/>
        <v>-21</v>
      </c>
      <c r="K88" s="75">
        <f t="shared" si="9"/>
        <v>-0.33191085822664773</v>
      </c>
      <c r="L88" s="75">
        <f>VLOOKUP($A88,'Data Vlaue (Cr)'!$C:$FB,67)</f>
        <v>4004</v>
      </c>
      <c r="M88" s="75">
        <f>VLOOKUP($A88,'Data Vlaue (Cr)'!$C:$FB,68)</f>
        <v>4368</v>
      </c>
      <c r="N88" s="75">
        <f t="shared" si="10"/>
        <v>-364</v>
      </c>
      <c r="O88" s="75">
        <f t="shared" si="11"/>
        <v>-9.0909090909090917</v>
      </c>
      <c r="P88" s="75">
        <f>VLOOKUP($A88,'Data Vlaue (Cr)'!$C:$FB,119)</f>
        <v>0.9</v>
      </c>
      <c r="Q88" s="75">
        <f>VLOOKUP($A88,'Data Vlaue (Cr)'!$C:$FB,122)*100</f>
        <v>3.45</v>
      </c>
      <c r="R88" s="75">
        <f>VLOOKUP($A88,'Data Vlaue (Cr)'!$C:$FB,125)</f>
        <v>0.64</v>
      </c>
      <c r="S88" s="75">
        <f>VLOOKUP($A88,'Data Vlaue (Cr)'!$C:$FB,128)*100</f>
        <v>-4.4799999999999995</v>
      </c>
    </row>
    <row r="89" spans="1:19" x14ac:dyDescent="0.25">
      <c r="A89" s="96" t="str">
        <f>'Data Vlaue (Cr)'!C80</f>
        <v>HINDPETRO</v>
      </c>
      <c r="B89" s="75">
        <f>VLOOKUP($A89,'Data Vlaue (Cr)'!$C:$FB,2)</f>
        <v>2025</v>
      </c>
      <c r="C89" s="75">
        <f>VLOOKUP($A89,'Data Vlaue (Cr)'!$C:$FB,8)</f>
        <v>384.35</v>
      </c>
      <c r="D89" s="75">
        <f>VLOOKUP($A89,'Data Vlaue (Cr)'!$C:$FB,4)</f>
        <v>382.95</v>
      </c>
      <c r="E89" s="75">
        <f>VLOOKUP($A89,'Data Vlaue (Cr)'!$C:$FB,5)</f>
        <v>383.4</v>
      </c>
      <c r="F89" s="75">
        <f t="shared" si="6"/>
        <v>-1.4000000000000341</v>
      </c>
      <c r="G89" s="75">
        <f t="shared" si="7"/>
        <v>-0.1175088131609841</v>
      </c>
      <c r="H89" s="75">
        <f>VLOOKUP($A89,'Data Vlaue (Cr)'!$C:$FB,99)</f>
        <v>3476</v>
      </c>
      <c r="I89" s="75">
        <f>VLOOKUP($A89,'Data Vlaue (Cr)'!$C:$FB,100)</f>
        <v>3314</v>
      </c>
      <c r="J89" s="75">
        <f t="shared" si="8"/>
        <v>162</v>
      </c>
      <c r="K89" s="75">
        <f t="shared" si="9"/>
        <v>4.6605293440736482</v>
      </c>
      <c r="L89" s="75">
        <f>VLOOKUP($A89,'Data Vlaue (Cr)'!$C:$FB,67)</f>
        <v>2767</v>
      </c>
      <c r="M89" s="75">
        <f>VLOOKUP($A89,'Data Vlaue (Cr)'!$C:$FB,68)</f>
        <v>2062</v>
      </c>
      <c r="N89" s="75">
        <f t="shared" si="10"/>
        <v>705</v>
      </c>
      <c r="O89" s="75">
        <f t="shared" si="11"/>
        <v>25.478857968919407</v>
      </c>
      <c r="P89" s="75">
        <f>VLOOKUP($A89,'Data Vlaue (Cr)'!$C:$FB,119)</f>
        <v>0.93</v>
      </c>
      <c r="Q89" s="75">
        <f>VLOOKUP($A89,'Data Vlaue (Cr)'!$C:$FB,122)*100</f>
        <v>-2.11</v>
      </c>
      <c r="R89" s="75">
        <f>VLOOKUP($A89,'Data Vlaue (Cr)'!$C:$FB,125)</f>
        <v>0.88</v>
      </c>
      <c r="S89" s="75">
        <f>VLOOKUP($A89,'Data Vlaue (Cr)'!$C:$FB,128)*100</f>
        <v>-7.37</v>
      </c>
    </row>
    <row r="90" spans="1:19" x14ac:dyDescent="0.25">
      <c r="A90" s="96" t="str">
        <f>'Data Vlaue (Cr)'!C81</f>
        <v>HINDUNILVR</v>
      </c>
      <c r="B90" s="75">
        <f>VLOOKUP($A90,'Data Vlaue (Cr)'!$C:$FB,2)</f>
        <v>300</v>
      </c>
      <c r="C90" s="75">
        <f>VLOOKUP($A90,'Data Vlaue (Cr)'!$C:$FB,8)</f>
        <v>2136.9</v>
      </c>
      <c r="D90" s="75">
        <f>VLOOKUP($A90,'Data Vlaue (Cr)'!$C:$FB,4)</f>
        <v>2139</v>
      </c>
      <c r="E90" s="75">
        <f>VLOOKUP($A90,'Data Vlaue (Cr)'!$C:$FB,5)</f>
        <v>2168.8000000000002</v>
      </c>
      <c r="F90" s="75">
        <f t="shared" si="6"/>
        <v>2.0999999999999091</v>
      </c>
      <c r="G90" s="75">
        <f t="shared" si="7"/>
        <v>-1.3931743805516681</v>
      </c>
      <c r="H90" s="75">
        <f>VLOOKUP($A90,'Data Vlaue (Cr)'!$C:$FB,99)</f>
        <v>5668</v>
      </c>
      <c r="I90" s="75">
        <f>VLOOKUP($A90,'Data Vlaue (Cr)'!$C:$FB,100)</f>
        <v>5420</v>
      </c>
      <c r="J90" s="75">
        <f t="shared" si="8"/>
        <v>248</v>
      </c>
      <c r="K90" s="75">
        <f t="shared" si="9"/>
        <v>4.3754410726887798</v>
      </c>
      <c r="L90" s="75">
        <f>VLOOKUP($A90,'Data Vlaue (Cr)'!$C:$FB,67)</f>
        <v>3641</v>
      </c>
      <c r="M90" s="75">
        <f>VLOOKUP($A90,'Data Vlaue (Cr)'!$C:$FB,68)</f>
        <v>2285</v>
      </c>
      <c r="N90" s="75">
        <f t="shared" si="10"/>
        <v>1356</v>
      </c>
      <c r="O90" s="75">
        <f t="shared" si="11"/>
        <v>37.242515792364735</v>
      </c>
      <c r="P90" s="75">
        <f>VLOOKUP($A90,'Data Vlaue (Cr)'!$C:$FB,119)</f>
        <v>0.47</v>
      </c>
      <c r="Q90" s="75">
        <f>VLOOKUP($A90,'Data Vlaue (Cr)'!$C:$FB,122)*100</f>
        <v>-9.6199999999999992</v>
      </c>
      <c r="R90" s="75">
        <f>VLOOKUP($A90,'Data Vlaue (Cr)'!$C:$FB,125)</f>
        <v>0.45</v>
      </c>
      <c r="S90" s="75">
        <f>VLOOKUP($A90,'Data Vlaue (Cr)'!$C:$FB,128)*100</f>
        <v>-16.669999999999998</v>
      </c>
    </row>
    <row r="91" spans="1:19" x14ac:dyDescent="0.25">
      <c r="A91" s="96" t="str">
        <f>'Data Vlaue (Cr)'!C82</f>
        <v>HINDZINC</v>
      </c>
      <c r="B91" s="75">
        <f>VLOOKUP($A91,'Data Vlaue (Cr)'!$C:$FB,2)</f>
        <v>1225</v>
      </c>
      <c r="C91" s="75">
        <f>VLOOKUP($A91,'Data Vlaue (Cr)'!$C:$FB,8)</f>
        <v>583</v>
      </c>
      <c r="D91" s="75">
        <f>VLOOKUP($A91,'Data Vlaue (Cr)'!$C:$FB,4)</f>
        <v>583.70000000000005</v>
      </c>
      <c r="E91" s="75">
        <f>VLOOKUP($A91,'Data Vlaue (Cr)'!$C:$FB,5)</f>
        <v>588.54999999999995</v>
      </c>
      <c r="F91" s="75">
        <f t="shared" si="6"/>
        <v>0.70000000000004547</v>
      </c>
      <c r="G91" s="75">
        <f t="shared" si="7"/>
        <v>-0.8309062874764277</v>
      </c>
      <c r="H91" s="75">
        <f>VLOOKUP($A91,'Data Vlaue (Cr)'!$C:$FB,99)</f>
        <v>4672</v>
      </c>
      <c r="I91" s="75">
        <f>VLOOKUP($A91,'Data Vlaue (Cr)'!$C:$FB,100)</f>
        <v>4674</v>
      </c>
      <c r="J91" s="75">
        <f t="shared" si="8"/>
        <v>-2</v>
      </c>
      <c r="K91" s="75">
        <f t="shared" si="9"/>
        <v>-4.2808219178082189E-2</v>
      </c>
      <c r="L91" s="75">
        <f>VLOOKUP($A91,'Data Vlaue (Cr)'!$C:$FB,67)</f>
        <v>2092</v>
      </c>
      <c r="M91" s="75">
        <f>VLOOKUP($A91,'Data Vlaue (Cr)'!$C:$FB,68)</f>
        <v>3324</v>
      </c>
      <c r="N91" s="75">
        <f t="shared" si="10"/>
        <v>-1232</v>
      </c>
      <c r="O91" s="75">
        <f t="shared" si="11"/>
        <v>-58.891013384321219</v>
      </c>
      <c r="P91" s="75">
        <f>VLOOKUP($A91,'Data Vlaue (Cr)'!$C:$FB,119)</f>
        <v>0.56999999999999995</v>
      </c>
      <c r="Q91" s="75">
        <f>VLOOKUP($A91,'Data Vlaue (Cr)'!$C:$FB,122)*100</f>
        <v>-1.72</v>
      </c>
      <c r="R91" s="75">
        <f>VLOOKUP($A91,'Data Vlaue (Cr)'!$C:$FB,125)</f>
        <v>0.56999999999999995</v>
      </c>
      <c r="S91" s="75">
        <f>VLOOKUP($A91,'Data Vlaue (Cr)'!$C:$FB,128)*100</f>
        <v>-16.18</v>
      </c>
    </row>
    <row r="92" spans="1:19" x14ac:dyDescent="0.25">
      <c r="A92" s="96" t="str">
        <f>'Data Vlaue (Cr)'!C83</f>
        <v>HUDCO</v>
      </c>
      <c r="B92" s="75">
        <f>VLOOKUP($A92,'Data Vlaue (Cr)'!$C:$FB,2)</f>
        <v>2775</v>
      </c>
      <c r="C92" s="75">
        <f>VLOOKUP($A92,'Data Vlaue (Cr)'!$C:$FB,8)</f>
        <v>176.66</v>
      </c>
      <c r="D92" s="75">
        <f>VLOOKUP($A92,'Data Vlaue (Cr)'!$C:$FB,4)</f>
        <v>177.05</v>
      </c>
      <c r="E92" s="75">
        <f>VLOOKUP($A92,'Data Vlaue (Cr)'!$C:$FB,5)</f>
        <v>178.01</v>
      </c>
      <c r="F92" s="75">
        <f t="shared" si="6"/>
        <v>0.39000000000001478</v>
      </c>
      <c r="G92" s="75">
        <f t="shared" si="7"/>
        <v>-0.54221971194576646</v>
      </c>
      <c r="H92" s="75">
        <f>VLOOKUP($A92,'Data Vlaue (Cr)'!$C:$FB,99)</f>
        <v>1304</v>
      </c>
      <c r="I92" s="75">
        <f>VLOOKUP($A92,'Data Vlaue (Cr)'!$C:$FB,100)</f>
        <v>1290</v>
      </c>
      <c r="J92" s="75">
        <f t="shared" si="8"/>
        <v>14</v>
      </c>
      <c r="K92" s="75">
        <f t="shared" si="9"/>
        <v>1.0736196319018405</v>
      </c>
      <c r="L92" s="75">
        <f>VLOOKUP($A92,'Data Vlaue (Cr)'!$C:$FB,67)</f>
        <v>261</v>
      </c>
      <c r="M92" s="75">
        <f>VLOOKUP($A92,'Data Vlaue (Cr)'!$C:$FB,68)</f>
        <v>385</v>
      </c>
      <c r="N92" s="75">
        <f t="shared" si="10"/>
        <v>-124</v>
      </c>
      <c r="O92" s="75">
        <f t="shared" si="11"/>
        <v>-47.509578544061306</v>
      </c>
      <c r="P92" s="75">
        <f>VLOOKUP($A92,'Data Vlaue (Cr)'!$C:$FB,119)</f>
        <v>0.63</v>
      </c>
      <c r="Q92" s="75">
        <f>VLOOKUP($A92,'Data Vlaue (Cr)'!$C:$FB,122)*100</f>
        <v>-5.9700000000000006</v>
      </c>
      <c r="R92" s="75">
        <f>VLOOKUP($A92,'Data Vlaue (Cr)'!$C:$FB,125)</f>
        <v>0.28000000000000003</v>
      </c>
      <c r="S92" s="75">
        <f>VLOOKUP($A92,'Data Vlaue (Cr)'!$C:$FB,128)*100</f>
        <v>-48.15</v>
      </c>
    </row>
    <row r="93" spans="1:19" x14ac:dyDescent="0.25">
      <c r="A93" s="96" t="str">
        <f>'Data Vlaue (Cr)'!C84</f>
        <v>ICICIBANK</v>
      </c>
      <c r="B93" s="75">
        <f>VLOOKUP($A93,'Data Vlaue (Cr)'!$C:$FB,2)</f>
        <v>700</v>
      </c>
      <c r="C93" s="75">
        <f>VLOOKUP($A93,'Data Vlaue (Cr)'!$C:$FB,8)</f>
        <v>1266.5</v>
      </c>
      <c r="D93" s="75">
        <f>VLOOKUP($A93,'Data Vlaue (Cr)'!$C:$FB,4)</f>
        <v>1271.5999999999999</v>
      </c>
      <c r="E93" s="75">
        <f>VLOOKUP($A93,'Data Vlaue (Cr)'!$C:$FB,5)</f>
        <v>1296.2</v>
      </c>
      <c r="F93" s="75">
        <f t="shared" si="6"/>
        <v>5.0999999999999091</v>
      </c>
      <c r="G93" s="75">
        <f t="shared" si="7"/>
        <v>-1.9345706196917378</v>
      </c>
      <c r="H93" s="75">
        <f>VLOOKUP($A93,'Data Vlaue (Cr)'!$C:$FB,99)</f>
        <v>23670</v>
      </c>
      <c r="I93" s="75">
        <f>VLOOKUP($A93,'Data Vlaue (Cr)'!$C:$FB,100)</f>
        <v>23107</v>
      </c>
      <c r="J93" s="75">
        <f t="shared" si="8"/>
        <v>563</v>
      </c>
      <c r="K93" s="75">
        <f t="shared" si="9"/>
        <v>2.378538234051542</v>
      </c>
      <c r="L93" s="75">
        <f>VLOOKUP($A93,'Data Vlaue (Cr)'!$C:$FB,67)</f>
        <v>11712</v>
      </c>
      <c r="M93" s="75">
        <f>VLOOKUP($A93,'Data Vlaue (Cr)'!$C:$FB,68)</f>
        <v>9508</v>
      </c>
      <c r="N93" s="75">
        <f t="shared" si="10"/>
        <v>2204</v>
      </c>
      <c r="O93" s="75">
        <f t="shared" si="11"/>
        <v>18.818306010928961</v>
      </c>
      <c r="P93" s="75">
        <f>VLOOKUP($A93,'Data Vlaue (Cr)'!$C:$FB,119)</f>
        <v>0.59</v>
      </c>
      <c r="Q93" s="75">
        <f>VLOOKUP($A93,'Data Vlaue (Cr)'!$C:$FB,122)*100</f>
        <v>-3.2800000000000002</v>
      </c>
      <c r="R93" s="75">
        <f>VLOOKUP($A93,'Data Vlaue (Cr)'!$C:$FB,125)</f>
        <v>0.54</v>
      </c>
      <c r="S93" s="75">
        <f>VLOOKUP($A93,'Data Vlaue (Cr)'!$C:$FB,128)*100</f>
        <v>-20.59</v>
      </c>
    </row>
    <row r="94" spans="1:19" x14ac:dyDescent="0.25">
      <c r="A94" s="96" t="str">
        <f>'Data Vlaue (Cr)'!C85</f>
        <v>ICICIGI</v>
      </c>
      <c r="B94" s="75">
        <f>VLOOKUP($A94,'Data Vlaue (Cr)'!$C:$FB,2)</f>
        <v>325</v>
      </c>
      <c r="C94" s="75">
        <f>VLOOKUP($A94,'Data Vlaue (Cr)'!$C:$FB,8)</f>
        <v>1855.3</v>
      </c>
      <c r="D94" s="75">
        <f>VLOOKUP($A94,'Data Vlaue (Cr)'!$C:$FB,4)</f>
        <v>1856.2</v>
      </c>
      <c r="E94" s="75">
        <f>VLOOKUP($A94,'Data Vlaue (Cr)'!$C:$FB,5)</f>
        <v>1882.7</v>
      </c>
      <c r="F94" s="75">
        <f t="shared" si="6"/>
        <v>0.90000000000009095</v>
      </c>
      <c r="G94" s="75">
        <f t="shared" si="7"/>
        <v>-1.4276478827712531</v>
      </c>
      <c r="H94" s="75">
        <f>VLOOKUP($A94,'Data Vlaue (Cr)'!$C:$FB,99)</f>
        <v>1255</v>
      </c>
      <c r="I94" s="75">
        <f>VLOOKUP($A94,'Data Vlaue (Cr)'!$C:$FB,100)</f>
        <v>1214</v>
      </c>
      <c r="J94" s="75">
        <f t="shared" si="8"/>
        <v>41</v>
      </c>
      <c r="K94" s="75">
        <f t="shared" si="9"/>
        <v>3.2669322709163349</v>
      </c>
      <c r="L94" s="75">
        <f>VLOOKUP($A94,'Data Vlaue (Cr)'!$C:$FB,67)</f>
        <v>419</v>
      </c>
      <c r="M94" s="75">
        <f>VLOOKUP($A94,'Data Vlaue (Cr)'!$C:$FB,68)</f>
        <v>577</v>
      </c>
      <c r="N94" s="75">
        <f t="shared" si="10"/>
        <v>-158</v>
      </c>
      <c r="O94" s="75">
        <f t="shared" si="11"/>
        <v>-37.708830548926016</v>
      </c>
      <c r="P94" s="75">
        <f>VLOOKUP($A94,'Data Vlaue (Cr)'!$C:$FB,119)</f>
        <v>0.53</v>
      </c>
      <c r="Q94" s="75">
        <f>VLOOKUP($A94,'Data Vlaue (Cr)'!$C:$FB,122)*100</f>
        <v>-15.870000000000001</v>
      </c>
      <c r="R94" s="75">
        <f>VLOOKUP($A94,'Data Vlaue (Cr)'!$C:$FB,125)</f>
        <v>0.36</v>
      </c>
      <c r="S94" s="75">
        <f>VLOOKUP($A94,'Data Vlaue (Cr)'!$C:$FB,128)*100</f>
        <v>-44.62</v>
      </c>
    </row>
    <row r="95" spans="1:19" x14ac:dyDescent="0.25">
      <c r="A95" s="96" t="str">
        <f>'Data Vlaue (Cr)'!C86</f>
        <v>ICICIPRULI</v>
      </c>
      <c r="B95" s="75">
        <f>VLOOKUP($A95,'Data Vlaue (Cr)'!$C:$FB,2)</f>
        <v>925</v>
      </c>
      <c r="C95" s="75">
        <f>VLOOKUP($A95,'Data Vlaue (Cr)'!$C:$FB,8)</f>
        <v>592.95000000000005</v>
      </c>
      <c r="D95" s="75">
        <f>VLOOKUP($A95,'Data Vlaue (Cr)'!$C:$FB,4)</f>
        <v>594.20000000000005</v>
      </c>
      <c r="E95" s="75">
        <f>VLOOKUP($A95,'Data Vlaue (Cr)'!$C:$FB,5)</f>
        <v>598.04999999999995</v>
      </c>
      <c r="F95" s="75">
        <f t="shared" si="6"/>
        <v>1.25</v>
      </c>
      <c r="G95" s="75">
        <f t="shared" si="7"/>
        <v>-0.64792998990237438</v>
      </c>
      <c r="H95" s="75">
        <f>VLOOKUP($A95,'Data Vlaue (Cr)'!$C:$FB,99)</f>
        <v>1352</v>
      </c>
      <c r="I95" s="75">
        <f>VLOOKUP($A95,'Data Vlaue (Cr)'!$C:$FB,100)</f>
        <v>1342</v>
      </c>
      <c r="J95" s="75">
        <f t="shared" si="8"/>
        <v>10</v>
      </c>
      <c r="K95" s="75">
        <f t="shared" si="9"/>
        <v>0.73964497041420119</v>
      </c>
      <c r="L95" s="75">
        <f>VLOOKUP($A95,'Data Vlaue (Cr)'!$C:$FB,67)</f>
        <v>242</v>
      </c>
      <c r="M95" s="75">
        <f>VLOOKUP($A95,'Data Vlaue (Cr)'!$C:$FB,68)</f>
        <v>220</v>
      </c>
      <c r="N95" s="75">
        <f t="shared" si="10"/>
        <v>22</v>
      </c>
      <c r="O95" s="75">
        <f t="shared" si="11"/>
        <v>9.0909090909090917</v>
      </c>
      <c r="P95" s="75">
        <f>VLOOKUP($A95,'Data Vlaue (Cr)'!$C:$FB,119)</f>
        <v>0.69</v>
      </c>
      <c r="Q95" s="75">
        <f>VLOOKUP($A95,'Data Vlaue (Cr)'!$C:$FB,122)*100</f>
        <v>-5.48</v>
      </c>
      <c r="R95" s="75">
        <f>VLOOKUP($A95,'Data Vlaue (Cr)'!$C:$FB,125)</f>
        <v>0.86</v>
      </c>
      <c r="S95" s="75">
        <f>VLOOKUP($A95,'Data Vlaue (Cr)'!$C:$FB,128)*100</f>
        <v>30.3</v>
      </c>
    </row>
    <row r="96" spans="1:19" x14ac:dyDescent="0.25">
      <c r="A96" s="96" t="str">
        <f>'Data Vlaue (Cr)'!C87</f>
        <v>IDEA</v>
      </c>
      <c r="B96" s="75">
        <f>VLOOKUP($A96,'Data Vlaue (Cr)'!$C:$FB,2)</f>
        <v>71475</v>
      </c>
      <c r="C96" s="75">
        <f>VLOOKUP($A96,'Data Vlaue (Cr)'!$C:$FB,8)</f>
        <v>9.56</v>
      </c>
      <c r="D96" s="75">
        <f>VLOOKUP($A96,'Data Vlaue (Cr)'!$C:$FB,4)</f>
        <v>9.6</v>
      </c>
      <c r="E96" s="75">
        <f>VLOOKUP($A96,'Data Vlaue (Cr)'!$C:$FB,5)</f>
        <v>9.7200000000000006</v>
      </c>
      <c r="F96" s="75">
        <f t="shared" si="6"/>
        <v>3.9999999999999147E-2</v>
      </c>
      <c r="G96" s="75">
        <f t="shared" si="7"/>
        <v>-1.2500000000000104</v>
      </c>
      <c r="H96" s="75">
        <f>VLOOKUP($A96,'Data Vlaue (Cr)'!$C:$FB,99)</f>
        <v>9719</v>
      </c>
      <c r="I96" s="75">
        <f>VLOOKUP($A96,'Data Vlaue (Cr)'!$C:$FB,100)</f>
        <v>9671</v>
      </c>
      <c r="J96" s="75">
        <f t="shared" si="8"/>
        <v>48</v>
      </c>
      <c r="K96" s="75">
        <f t="shared" si="9"/>
        <v>0.49387797098466918</v>
      </c>
      <c r="L96" s="75">
        <f>VLOOKUP($A96,'Data Vlaue (Cr)'!$C:$FB,67)</f>
        <v>2264</v>
      </c>
      <c r="M96" s="75">
        <f>VLOOKUP($A96,'Data Vlaue (Cr)'!$C:$FB,68)</f>
        <v>1473</v>
      </c>
      <c r="N96" s="75">
        <f t="shared" si="10"/>
        <v>791</v>
      </c>
      <c r="O96" s="75">
        <f t="shared" si="11"/>
        <v>34.938162544169607</v>
      </c>
      <c r="P96" s="75">
        <f>VLOOKUP($A96,'Data Vlaue (Cr)'!$C:$FB,119)</f>
        <v>0.49</v>
      </c>
      <c r="Q96" s="75">
        <f>VLOOKUP($A96,'Data Vlaue (Cr)'!$C:$FB,122)*100</f>
        <v>-2</v>
      </c>
      <c r="R96" s="75">
        <f>VLOOKUP($A96,'Data Vlaue (Cr)'!$C:$FB,125)</f>
        <v>0.4</v>
      </c>
      <c r="S96" s="75">
        <f>VLOOKUP($A96,'Data Vlaue (Cr)'!$C:$FB,128)*100</f>
        <v>-4.7600000000000007</v>
      </c>
    </row>
    <row r="97" spans="1:19" x14ac:dyDescent="0.25">
      <c r="A97" s="96" t="str">
        <f>'Data Vlaue (Cr)'!C88</f>
        <v>IDFCFIRSTB</v>
      </c>
      <c r="B97" s="75">
        <f>VLOOKUP($A97,'Data Vlaue (Cr)'!$C:$FB,2)</f>
        <v>9275</v>
      </c>
      <c r="C97" s="75">
        <f>VLOOKUP($A97,'Data Vlaue (Cr)'!$C:$FB,8)</f>
        <v>64.78</v>
      </c>
      <c r="D97" s="75">
        <f>VLOOKUP($A97,'Data Vlaue (Cr)'!$C:$FB,4)</f>
        <v>64.98</v>
      </c>
      <c r="E97" s="75">
        <f>VLOOKUP($A97,'Data Vlaue (Cr)'!$C:$FB,5)</f>
        <v>66.260000000000005</v>
      </c>
      <c r="F97" s="75">
        <f t="shared" si="6"/>
        <v>0.20000000000000284</v>
      </c>
      <c r="G97" s="75">
        <f t="shared" si="7"/>
        <v>-1.9698368728839659</v>
      </c>
      <c r="H97" s="75">
        <f>VLOOKUP($A97,'Data Vlaue (Cr)'!$C:$FB,99)</f>
        <v>6768</v>
      </c>
      <c r="I97" s="75">
        <f>VLOOKUP($A97,'Data Vlaue (Cr)'!$C:$FB,100)</f>
        <v>6726</v>
      </c>
      <c r="J97" s="75">
        <f t="shared" si="8"/>
        <v>42</v>
      </c>
      <c r="K97" s="75">
        <f t="shared" si="9"/>
        <v>0.62056737588652489</v>
      </c>
      <c r="L97" s="75">
        <f>VLOOKUP($A97,'Data Vlaue (Cr)'!$C:$FB,67)</f>
        <v>2205</v>
      </c>
      <c r="M97" s="75">
        <f>VLOOKUP($A97,'Data Vlaue (Cr)'!$C:$FB,68)</f>
        <v>1696</v>
      </c>
      <c r="N97" s="75">
        <f t="shared" si="10"/>
        <v>509</v>
      </c>
      <c r="O97" s="75">
        <f t="shared" si="11"/>
        <v>23.083900226757372</v>
      </c>
      <c r="P97" s="75">
        <f>VLOOKUP($A97,'Data Vlaue (Cr)'!$C:$FB,119)</f>
        <v>0.56999999999999995</v>
      </c>
      <c r="Q97" s="75">
        <f>VLOOKUP($A97,'Data Vlaue (Cr)'!$C:$FB,122)*100</f>
        <v>-1.72</v>
      </c>
      <c r="R97" s="75">
        <f>VLOOKUP($A97,'Data Vlaue (Cr)'!$C:$FB,125)</f>
        <v>0.71</v>
      </c>
      <c r="S97" s="75">
        <f>VLOOKUP($A97,'Data Vlaue (Cr)'!$C:$FB,128)*100</f>
        <v>29.09</v>
      </c>
    </row>
    <row r="98" spans="1:19" x14ac:dyDescent="0.25">
      <c r="A98" s="96" t="str">
        <f>'Data Vlaue (Cr)'!C89</f>
        <v>IEX</v>
      </c>
      <c r="B98" s="75">
        <f>VLOOKUP($A98,'Data Vlaue (Cr)'!$C:$FB,2)</f>
        <v>3750</v>
      </c>
      <c r="C98" s="75">
        <f>VLOOKUP($A98,'Data Vlaue (Cr)'!$C:$FB,8)</f>
        <v>122.76</v>
      </c>
      <c r="D98" s="75">
        <f>VLOOKUP($A98,'Data Vlaue (Cr)'!$C:$FB,4)</f>
        <v>122.95</v>
      </c>
      <c r="E98" s="75">
        <f>VLOOKUP($A98,'Data Vlaue (Cr)'!$C:$FB,5)</f>
        <v>122.95</v>
      </c>
      <c r="F98" s="75">
        <f t="shared" si="6"/>
        <v>0.18999999999999773</v>
      </c>
      <c r="G98" s="75">
        <f t="shared" si="7"/>
        <v>0</v>
      </c>
      <c r="H98" s="75">
        <f>VLOOKUP($A98,'Data Vlaue (Cr)'!$C:$FB,99)</f>
        <v>1821</v>
      </c>
      <c r="I98" s="75">
        <f>VLOOKUP($A98,'Data Vlaue (Cr)'!$C:$FB,100)</f>
        <v>1805</v>
      </c>
      <c r="J98" s="75">
        <f t="shared" si="8"/>
        <v>16</v>
      </c>
      <c r="K98" s="75">
        <f t="shared" si="9"/>
        <v>0.87863811092806154</v>
      </c>
      <c r="L98" s="75">
        <f>VLOOKUP($A98,'Data Vlaue (Cr)'!$C:$FB,67)</f>
        <v>628</v>
      </c>
      <c r="M98" s="75">
        <f>VLOOKUP($A98,'Data Vlaue (Cr)'!$C:$FB,68)</f>
        <v>1285</v>
      </c>
      <c r="N98" s="75">
        <f t="shared" si="10"/>
        <v>-657</v>
      </c>
      <c r="O98" s="75">
        <f t="shared" si="11"/>
        <v>-104.61783439490446</v>
      </c>
      <c r="P98" s="75">
        <f>VLOOKUP($A98,'Data Vlaue (Cr)'!$C:$FB,119)</f>
        <v>0.68</v>
      </c>
      <c r="Q98" s="75">
        <f>VLOOKUP($A98,'Data Vlaue (Cr)'!$C:$FB,122)*100</f>
        <v>1.49</v>
      </c>
      <c r="R98" s="75">
        <f>VLOOKUP($A98,'Data Vlaue (Cr)'!$C:$FB,125)</f>
        <v>0.27</v>
      </c>
      <c r="S98" s="75">
        <f>VLOOKUP($A98,'Data Vlaue (Cr)'!$C:$FB,128)*100</f>
        <v>8</v>
      </c>
    </row>
    <row r="99" spans="1:19" x14ac:dyDescent="0.25">
      <c r="A99" s="96" t="str">
        <f>'Data Vlaue (Cr)'!C90</f>
        <v>INDHOTEL</v>
      </c>
      <c r="B99" s="75">
        <f>VLOOKUP($A99,'Data Vlaue (Cr)'!$C:$FB,2)</f>
        <v>1000</v>
      </c>
      <c r="C99" s="75">
        <f>VLOOKUP($A99,'Data Vlaue (Cr)'!$C:$FB,8)</f>
        <v>624.95000000000005</v>
      </c>
      <c r="D99" s="75">
        <f>VLOOKUP($A99,'Data Vlaue (Cr)'!$C:$FB,4)</f>
        <v>625.65</v>
      </c>
      <c r="E99" s="75">
        <f>VLOOKUP($A99,'Data Vlaue (Cr)'!$C:$FB,5)</f>
        <v>624.45000000000005</v>
      </c>
      <c r="F99" s="75">
        <f t="shared" si="6"/>
        <v>0.69999999999993179</v>
      </c>
      <c r="G99" s="75">
        <f t="shared" si="7"/>
        <v>0.19180052745143961</v>
      </c>
      <c r="H99" s="75">
        <f>VLOOKUP($A99,'Data Vlaue (Cr)'!$C:$FB,99)</f>
        <v>2266</v>
      </c>
      <c r="I99" s="75">
        <f>VLOOKUP($A99,'Data Vlaue (Cr)'!$C:$FB,100)</f>
        <v>2270</v>
      </c>
      <c r="J99" s="75">
        <f t="shared" si="8"/>
        <v>-4</v>
      </c>
      <c r="K99" s="75">
        <f t="shared" si="9"/>
        <v>-0.17652250661959401</v>
      </c>
      <c r="L99" s="75">
        <f>VLOOKUP($A99,'Data Vlaue (Cr)'!$C:$FB,67)</f>
        <v>1221</v>
      </c>
      <c r="M99" s="75">
        <f>VLOOKUP($A99,'Data Vlaue (Cr)'!$C:$FB,68)</f>
        <v>647</v>
      </c>
      <c r="N99" s="75">
        <f t="shared" si="10"/>
        <v>574</v>
      </c>
      <c r="O99" s="75">
        <f t="shared" si="11"/>
        <v>47.010647010647013</v>
      </c>
      <c r="P99" s="75">
        <f>VLOOKUP($A99,'Data Vlaue (Cr)'!$C:$FB,119)</f>
        <v>0.86</v>
      </c>
      <c r="Q99" s="75">
        <f>VLOOKUP($A99,'Data Vlaue (Cr)'!$C:$FB,122)*100</f>
        <v>3.61</v>
      </c>
      <c r="R99" s="75">
        <f>VLOOKUP($A99,'Data Vlaue (Cr)'!$C:$FB,125)</f>
        <v>1.1599999999999999</v>
      </c>
      <c r="S99" s="75">
        <f>VLOOKUP($A99,'Data Vlaue (Cr)'!$C:$FB,128)*100</f>
        <v>-16.55</v>
      </c>
    </row>
    <row r="100" spans="1:19" x14ac:dyDescent="0.25">
      <c r="A100" s="96" t="str">
        <f>'Data Vlaue (Cr)'!C91</f>
        <v>INDIANB</v>
      </c>
      <c r="B100" s="75">
        <f>VLOOKUP($A100,'Data Vlaue (Cr)'!$C:$FB,2)</f>
        <v>1000</v>
      </c>
      <c r="C100" s="75">
        <f>VLOOKUP($A100,'Data Vlaue (Cr)'!$C:$FB,8)</f>
        <v>909.6</v>
      </c>
      <c r="D100" s="75">
        <f>VLOOKUP($A100,'Data Vlaue (Cr)'!$C:$FB,4)</f>
        <v>912.9</v>
      </c>
      <c r="E100" s="75">
        <f>VLOOKUP($A100,'Data Vlaue (Cr)'!$C:$FB,5)</f>
        <v>915.35</v>
      </c>
      <c r="F100" s="75">
        <f t="shared" si="6"/>
        <v>3.2999999999999545</v>
      </c>
      <c r="G100" s="75">
        <f t="shared" si="7"/>
        <v>-0.26837550662723691</v>
      </c>
      <c r="H100" s="75">
        <f>VLOOKUP($A100,'Data Vlaue (Cr)'!$C:$FB,99)</f>
        <v>1609</v>
      </c>
      <c r="I100" s="75">
        <f>VLOOKUP($A100,'Data Vlaue (Cr)'!$C:$FB,100)</f>
        <v>1530</v>
      </c>
      <c r="J100" s="75">
        <f t="shared" si="8"/>
        <v>79</v>
      </c>
      <c r="K100" s="75">
        <f t="shared" si="9"/>
        <v>4.9098819142324421</v>
      </c>
      <c r="L100" s="75">
        <f>VLOOKUP($A100,'Data Vlaue (Cr)'!$C:$FB,67)</f>
        <v>855</v>
      </c>
      <c r="M100" s="75">
        <f>VLOOKUP($A100,'Data Vlaue (Cr)'!$C:$FB,68)</f>
        <v>724</v>
      </c>
      <c r="N100" s="75">
        <f t="shared" si="10"/>
        <v>131</v>
      </c>
      <c r="O100" s="75">
        <f t="shared" si="11"/>
        <v>15.321637426900587</v>
      </c>
      <c r="P100" s="75">
        <f>VLOOKUP($A100,'Data Vlaue (Cr)'!$C:$FB,119)</f>
        <v>0.67</v>
      </c>
      <c r="Q100" s="75">
        <f>VLOOKUP($A100,'Data Vlaue (Cr)'!$C:$FB,122)*100</f>
        <v>-8.2199999999999989</v>
      </c>
      <c r="R100" s="75">
        <f>VLOOKUP($A100,'Data Vlaue (Cr)'!$C:$FB,125)</f>
        <v>0.59</v>
      </c>
      <c r="S100" s="75">
        <f>VLOOKUP($A100,'Data Vlaue (Cr)'!$C:$FB,128)*100</f>
        <v>-6.35</v>
      </c>
    </row>
    <row r="101" spans="1:19" x14ac:dyDescent="0.25">
      <c r="A101" s="96" t="str">
        <f>'Data Vlaue (Cr)'!C92</f>
        <v>INDIAVIX</v>
      </c>
      <c r="B101" s="75">
        <f>VLOOKUP($A101,'Data Vlaue (Cr)'!$C:$FB,2)</f>
        <v>1</v>
      </c>
      <c r="C101" s="75">
        <f>VLOOKUP($A101,'Data Vlaue (Cr)'!$C:$FB,8)</f>
        <v>21.52</v>
      </c>
      <c r="D101" s="75">
        <f>VLOOKUP($A101,'Data Vlaue (Cr)'!$C:$FB,4)</f>
        <v>21.52</v>
      </c>
      <c r="E101" s="75">
        <f>VLOOKUP($A101,'Data Vlaue (Cr)'!$C:$FB,5)</f>
        <v>21.06</v>
      </c>
      <c r="F101" s="75">
        <f t="shared" si="6"/>
        <v>0</v>
      </c>
      <c r="G101" s="75">
        <f t="shared" si="7"/>
        <v>2.1375464684014913</v>
      </c>
      <c r="H101" s="75">
        <f>VLOOKUP($A101,'Data Vlaue (Cr)'!$C:$FB,99)</f>
        <v>0</v>
      </c>
      <c r="I101" s="75">
        <f>VLOOKUP($A101,'Data Vlaue (Cr)'!$C:$FB,100)</f>
        <v>0</v>
      </c>
      <c r="J101" s="75">
        <f t="shared" si="8"/>
        <v>0</v>
      </c>
      <c r="K101" s="75" t="e">
        <f t="shared" si="9"/>
        <v>#DIV/0!</v>
      </c>
      <c r="L101" s="75">
        <f>VLOOKUP($A101,'Data Vlaue (Cr)'!$C:$FB,67)</f>
        <v>0</v>
      </c>
      <c r="M101" s="75">
        <f>VLOOKUP($A101,'Data Vlaue (Cr)'!$C:$FB,68)</f>
        <v>0</v>
      </c>
      <c r="N101" s="75">
        <f t="shared" si="10"/>
        <v>0</v>
      </c>
      <c r="O101" s="75" t="e">
        <f t="shared" si="11"/>
        <v>#DIV/0!</v>
      </c>
      <c r="P101" s="75">
        <f>VLOOKUP($A101,'Data Vlaue (Cr)'!$C:$FB,119)</f>
        <v>0</v>
      </c>
      <c r="Q101" s="75">
        <f>VLOOKUP($A101,'Data Vlaue (Cr)'!$C:$FB,122)*100</f>
        <v>0</v>
      </c>
      <c r="R101" s="75">
        <f>VLOOKUP($A101,'Data Vlaue (Cr)'!$C:$FB,125)</f>
        <v>0</v>
      </c>
      <c r="S101" s="75">
        <f>VLOOKUP($A101,'Data Vlaue (Cr)'!$C:$FB,128)*100</f>
        <v>0</v>
      </c>
    </row>
    <row r="102" spans="1:19" x14ac:dyDescent="0.25">
      <c r="A102" s="96" t="str">
        <f>'Data Vlaue (Cr)'!C93</f>
        <v>INDIGO</v>
      </c>
      <c r="B102" s="75">
        <f>VLOOKUP($A102,'Data Vlaue (Cr)'!$C:$FB,2)</f>
        <v>150</v>
      </c>
      <c r="C102" s="75">
        <f>VLOOKUP($A102,'Data Vlaue (Cr)'!$C:$FB,8)</f>
        <v>4251.7</v>
      </c>
      <c r="D102" s="75">
        <f>VLOOKUP($A102,'Data Vlaue (Cr)'!$C:$FB,4)</f>
        <v>4258.1000000000004</v>
      </c>
      <c r="E102" s="75">
        <f>VLOOKUP($A102,'Data Vlaue (Cr)'!$C:$FB,5)</f>
        <v>4355.5</v>
      </c>
      <c r="F102" s="75">
        <f t="shared" si="6"/>
        <v>6.4000000000005457</v>
      </c>
      <c r="G102" s="75">
        <f t="shared" si="7"/>
        <v>-2.2874051807143947</v>
      </c>
      <c r="H102" s="75">
        <f>VLOOKUP($A102,'Data Vlaue (Cr)'!$C:$FB,99)</f>
        <v>9331</v>
      </c>
      <c r="I102" s="75">
        <f>VLOOKUP($A102,'Data Vlaue (Cr)'!$C:$FB,100)</f>
        <v>9341</v>
      </c>
      <c r="J102" s="75">
        <f t="shared" si="8"/>
        <v>-10</v>
      </c>
      <c r="K102" s="75">
        <f t="shared" si="9"/>
        <v>-0.10716964955524595</v>
      </c>
      <c r="L102" s="75">
        <f>VLOOKUP($A102,'Data Vlaue (Cr)'!$C:$FB,67)</f>
        <v>7045</v>
      </c>
      <c r="M102" s="75">
        <f>VLOOKUP($A102,'Data Vlaue (Cr)'!$C:$FB,68)</f>
        <v>12976</v>
      </c>
      <c r="N102" s="75">
        <f t="shared" si="10"/>
        <v>-5931</v>
      </c>
      <c r="O102" s="75">
        <f t="shared" si="11"/>
        <v>-84.187366926898505</v>
      </c>
      <c r="P102" s="75">
        <f>VLOOKUP($A102,'Data Vlaue (Cr)'!$C:$FB,119)</f>
        <v>0.55000000000000004</v>
      </c>
      <c r="Q102" s="75">
        <f>VLOOKUP($A102,'Data Vlaue (Cr)'!$C:$FB,122)*100</f>
        <v>-8.33</v>
      </c>
      <c r="R102" s="75">
        <f>VLOOKUP($A102,'Data Vlaue (Cr)'!$C:$FB,125)</f>
        <v>1.1599999999999999</v>
      </c>
      <c r="S102" s="75">
        <f>VLOOKUP($A102,'Data Vlaue (Cr)'!$C:$FB,128)*100</f>
        <v>36.47</v>
      </c>
    </row>
    <row r="103" spans="1:19" x14ac:dyDescent="0.25">
      <c r="A103" s="96" t="str">
        <f>'Data Vlaue (Cr)'!C94</f>
        <v>INDUSINDBK</v>
      </c>
      <c r="B103" s="75">
        <f>VLOOKUP($A103,'Data Vlaue (Cr)'!$C:$FB,2)</f>
        <v>700</v>
      </c>
      <c r="C103" s="75">
        <f>VLOOKUP($A103,'Data Vlaue (Cr)'!$C:$FB,8)</f>
        <v>831.35</v>
      </c>
      <c r="D103" s="75">
        <f>VLOOKUP($A103,'Data Vlaue (Cr)'!$C:$FB,4)</f>
        <v>830.95</v>
      </c>
      <c r="E103" s="75">
        <f>VLOOKUP($A103,'Data Vlaue (Cr)'!$C:$FB,5)</f>
        <v>876.4</v>
      </c>
      <c r="F103" s="75">
        <f t="shared" si="6"/>
        <v>-0.39999999999997726</v>
      </c>
      <c r="G103" s="75">
        <f t="shared" si="7"/>
        <v>-5.4696431794933424</v>
      </c>
      <c r="H103" s="75">
        <f>VLOOKUP($A103,'Data Vlaue (Cr)'!$C:$FB,99)</f>
        <v>4792</v>
      </c>
      <c r="I103" s="75">
        <f>VLOOKUP($A103,'Data Vlaue (Cr)'!$C:$FB,100)</f>
        <v>4387</v>
      </c>
      <c r="J103" s="75">
        <f t="shared" si="8"/>
        <v>405</v>
      </c>
      <c r="K103" s="75">
        <f t="shared" si="9"/>
        <v>8.4515859766277117</v>
      </c>
      <c r="L103" s="75">
        <f>VLOOKUP($A103,'Data Vlaue (Cr)'!$C:$FB,67)</f>
        <v>4966</v>
      </c>
      <c r="M103" s="75">
        <f>VLOOKUP($A103,'Data Vlaue (Cr)'!$C:$FB,68)</f>
        <v>1710</v>
      </c>
      <c r="N103" s="75">
        <f t="shared" si="10"/>
        <v>3256</v>
      </c>
      <c r="O103" s="75">
        <f t="shared" si="11"/>
        <v>65.565847764800651</v>
      </c>
      <c r="P103" s="75">
        <f>VLOOKUP($A103,'Data Vlaue (Cr)'!$C:$FB,119)</f>
        <v>0.79</v>
      </c>
      <c r="Q103" s="75">
        <f>VLOOKUP($A103,'Data Vlaue (Cr)'!$C:$FB,122)*100</f>
        <v>-7.06</v>
      </c>
      <c r="R103" s="75">
        <f>VLOOKUP($A103,'Data Vlaue (Cr)'!$C:$FB,125)</f>
        <v>0.95</v>
      </c>
      <c r="S103" s="75">
        <f>VLOOKUP($A103,'Data Vlaue (Cr)'!$C:$FB,128)*100</f>
        <v>43.94</v>
      </c>
    </row>
    <row r="104" spans="1:19" x14ac:dyDescent="0.25">
      <c r="A104" s="96" t="str">
        <f>'Data Vlaue (Cr)'!C95</f>
        <v>INDUSTOWER</v>
      </c>
      <c r="B104" s="75">
        <f>VLOOKUP($A104,'Data Vlaue (Cr)'!$C:$FB,2)</f>
        <v>1700</v>
      </c>
      <c r="C104" s="75">
        <f>VLOOKUP($A104,'Data Vlaue (Cr)'!$C:$FB,8)</f>
        <v>442.05</v>
      </c>
      <c r="D104" s="75">
        <f>VLOOKUP($A104,'Data Vlaue (Cr)'!$C:$FB,4)</f>
        <v>442.45</v>
      </c>
      <c r="E104" s="75">
        <f>VLOOKUP($A104,'Data Vlaue (Cr)'!$C:$FB,5)</f>
        <v>439.3</v>
      </c>
      <c r="F104" s="75">
        <f t="shared" si="6"/>
        <v>0.39999999999997726</v>
      </c>
      <c r="G104" s="75">
        <f t="shared" si="7"/>
        <v>0.71194485252570394</v>
      </c>
      <c r="H104" s="75">
        <f>VLOOKUP($A104,'Data Vlaue (Cr)'!$C:$FB,99)</f>
        <v>4115</v>
      </c>
      <c r="I104" s="75">
        <f>VLOOKUP($A104,'Data Vlaue (Cr)'!$C:$FB,100)</f>
        <v>4086</v>
      </c>
      <c r="J104" s="75">
        <f t="shared" si="8"/>
        <v>29</v>
      </c>
      <c r="K104" s="75">
        <f t="shared" si="9"/>
        <v>0.70473876063183472</v>
      </c>
      <c r="L104" s="75">
        <f>VLOOKUP($A104,'Data Vlaue (Cr)'!$C:$FB,67)</f>
        <v>1902</v>
      </c>
      <c r="M104" s="75">
        <f>VLOOKUP($A104,'Data Vlaue (Cr)'!$C:$FB,68)</f>
        <v>808</v>
      </c>
      <c r="N104" s="75">
        <f t="shared" si="10"/>
        <v>1094</v>
      </c>
      <c r="O104" s="75">
        <f t="shared" si="11"/>
        <v>57.518401682439531</v>
      </c>
      <c r="P104" s="75">
        <f>VLOOKUP($A104,'Data Vlaue (Cr)'!$C:$FB,119)</f>
        <v>0.53</v>
      </c>
      <c r="Q104" s="75">
        <f>VLOOKUP($A104,'Data Vlaue (Cr)'!$C:$FB,122)*100</f>
        <v>3.92</v>
      </c>
      <c r="R104" s="75">
        <f>VLOOKUP($A104,'Data Vlaue (Cr)'!$C:$FB,125)</f>
        <v>0.6</v>
      </c>
      <c r="S104" s="75">
        <f>VLOOKUP($A104,'Data Vlaue (Cr)'!$C:$FB,128)*100</f>
        <v>39.53</v>
      </c>
    </row>
    <row r="105" spans="1:19" x14ac:dyDescent="0.25">
      <c r="A105" s="96" t="str">
        <f>'Data Vlaue (Cr)'!C96</f>
        <v>INFY</v>
      </c>
      <c r="B105" s="75">
        <f>VLOOKUP($A105,'Data Vlaue (Cr)'!$C:$FB,2)</f>
        <v>400</v>
      </c>
      <c r="C105" s="75">
        <f>VLOOKUP($A105,'Data Vlaue (Cr)'!$C:$FB,8)</f>
        <v>1265.8</v>
      </c>
      <c r="D105" s="75">
        <f>VLOOKUP($A105,'Data Vlaue (Cr)'!$C:$FB,4)</f>
        <v>1270.2</v>
      </c>
      <c r="E105" s="75">
        <f>VLOOKUP($A105,'Data Vlaue (Cr)'!$C:$FB,5)</f>
        <v>1278.3</v>
      </c>
      <c r="F105" s="75">
        <f t="shared" si="6"/>
        <v>4.4000000000000909</v>
      </c>
      <c r="G105" s="75">
        <f t="shared" si="7"/>
        <v>-0.63769485120452751</v>
      </c>
      <c r="H105" s="75">
        <f>VLOOKUP($A105,'Data Vlaue (Cr)'!$C:$FB,99)</f>
        <v>17688</v>
      </c>
      <c r="I105" s="75">
        <f>VLOOKUP($A105,'Data Vlaue (Cr)'!$C:$FB,100)</f>
        <v>17786</v>
      </c>
      <c r="J105" s="75">
        <f t="shared" si="8"/>
        <v>-98</v>
      </c>
      <c r="K105" s="75">
        <f t="shared" si="9"/>
        <v>-0.55404794210764363</v>
      </c>
      <c r="L105" s="75">
        <f>VLOOKUP($A105,'Data Vlaue (Cr)'!$C:$FB,67)</f>
        <v>6811</v>
      </c>
      <c r="M105" s="75">
        <f>VLOOKUP($A105,'Data Vlaue (Cr)'!$C:$FB,68)</f>
        <v>5894</v>
      </c>
      <c r="N105" s="75">
        <f t="shared" si="10"/>
        <v>917</v>
      </c>
      <c r="O105" s="75">
        <f t="shared" si="11"/>
        <v>13.463514902363825</v>
      </c>
      <c r="P105" s="75">
        <f>VLOOKUP($A105,'Data Vlaue (Cr)'!$C:$FB,119)</f>
        <v>0.47</v>
      </c>
      <c r="Q105" s="75">
        <f>VLOOKUP($A105,'Data Vlaue (Cr)'!$C:$FB,122)*100</f>
        <v>0</v>
      </c>
      <c r="R105" s="75">
        <f>VLOOKUP($A105,'Data Vlaue (Cr)'!$C:$FB,125)</f>
        <v>0.52</v>
      </c>
      <c r="S105" s="75">
        <f>VLOOKUP($A105,'Data Vlaue (Cr)'!$C:$FB,128)*100</f>
        <v>-11.86</v>
      </c>
    </row>
    <row r="106" spans="1:19" x14ac:dyDescent="0.25">
      <c r="A106" s="96" t="str">
        <f>'Data Vlaue (Cr)'!C97</f>
        <v>INOXWIND</v>
      </c>
      <c r="B106" s="75">
        <f>VLOOKUP($A106,'Data Vlaue (Cr)'!$C:$FB,2)</f>
        <v>3575</v>
      </c>
      <c r="C106" s="75">
        <f>VLOOKUP($A106,'Data Vlaue (Cr)'!$C:$FB,8)</f>
        <v>83.68</v>
      </c>
      <c r="D106" s="75">
        <f>VLOOKUP($A106,'Data Vlaue (Cr)'!$C:$FB,4)</f>
        <v>83.99</v>
      </c>
      <c r="E106" s="75">
        <f>VLOOKUP($A106,'Data Vlaue (Cr)'!$C:$FB,5)</f>
        <v>82.38</v>
      </c>
      <c r="F106" s="75">
        <f t="shared" si="6"/>
        <v>0.30999999999998806</v>
      </c>
      <c r="G106" s="75">
        <f t="shared" si="7"/>
        <v>1.9168948684367182</v>
      </c>
      <c r="H106" s="75">
        <f>VLOOKUP($A106,'Data Vlaue (Cr)'!$C:$FB,99)</f>
        <v>1386</v>
      </c>
      <c r="I106" s="75">
        <f>VLOOKUP($A106,'Data Vlaue (Cr)'!$C:$FB,100)</f>
        <v>1395</v>
      </c>
      <c r="J106" s="75">
        <f t="shared" si="8"/>
        <v>-9</v>
      </c>
      <c r="K106" s="75">
        <f t="shared" si="9"/>
        <v>-0.64935064935064934</v>
      </c>
      <c r="L106" s="75">
        <f>VLOOKUP($A106,'Data Vlaue (Cr)'!$C:$FB,67)</f>
        <v>723</v>
      </c>
      <c r="M106" s="75">
        <f>VLOOKUP($A106,'Data Vlaue (Cr)'!$C:$FB,68)</f>
        <v>350</v>
      </c>
      <c r="N106" s="75">
        <f t="shared" si="10"/>
        <v>373</v>
      </c>
      <c r="O106" s="75">
        <f t="shared" si="11"/>
        <v>51.590594744121724</v>
      </c>
      <c r="P106" s="75">
        <f>VLOOKUP($A106,'Data Vlaue (Cr)'!$C:$FB,119)</f>
        <v>0.68</v>
      </c>
      <c r="Q106" s="75">
        <f>VLOOKUP($A106,'Data Vlaue (Cr)'!$C:$FB,122)*100</f>
        <v>4.62</v>
      </c>
      <c r="R106" s="75">
        <f>VLOOKUP($A106,'Data Vlaue (Cr)'!$C:$FB,125)</f>
        <v>0.22</v>
      </c>
      <c r="S106" s="75">
        <f>VLOOKUP($A106,'Data Vlaue (Cr)'!$C:$FB,128)*100</f>
        <v>-31.25</v>
      </c>
    </row>
    <row r="107" spans="1:19" x14ac:dyDescent="0.25">
      <c r="A107" s="96" t="str">
        <f>'Data Vlaue (Cr)'!C98</f>
        <v>IOC</v>
      </c>
      <c r="B107" s="75">
        <f>VLOOKUP($A107,'Data Vlaue (Cr)'!$C:$FB,2)</f>
        <v>4875</v>
      </c>
      <c r="C107" s="75">
        <f>VLOOKUP($A107,'Data Vlaue (Cr)'!$C:$FB,8)</f>
        <v>160.16</v>
      </c>
      <c r="D107" s="75">
        <f>VLOOKUP($A107,'Data Vlaue (Cr)'!$C:$FB,4)</f>
        <v>160.74</v>
      </c>
      <c r="E107" s="75">
        <f>VLOOKUP($A107,'Data Vlaue (Cr)'!$C:$FB,5)</f>
        <v>159.04</v>
      </c>
      <c r="F107" s="75">
        <f t="shared" si="6"/>
        <v>0.58000000000001251</v>
      </c>
      <c r="G107" s="75">
        <f t="shared" si="7"/>
        <v>1.0576085604081231</v>
      </c>
      <c r="H107" s="75">
        <f>VLOOKUP($A107,'Data Vlaue (Cr)'!$C:$FB,99)</f>
        <v>3735</v>
      </c>
      <c r="I107" s="75">
        <f>VLOOKUP($A107,'Data Vlaue (Cr)'!$C:$FB,100)</f>
        <v>3653</v>
      </c>
      <c r="J107" s="75">
        <f t="shared" si="8"/>
        <v>82</v>
      </c>
      <c r="K107" s="75">
        <f t="shared" si="9"/>
        <v>2.1954484605087017</v>
      </c>
      <c r="L107" s="75">
        <f>VLOOKUP($A107,'Data Vlaue (Cr)'!$C:$FB,67)</f>
        <v>2246</v>
      </c>
      <c r="M107" s="75">
        <f>VLOOKUP($A107,'Data Vlaue (Cr)'!$C:$FB,68)</f>
        <v>1917</v>
      </c>
      <c r="N107" s="75">
        <f t="shared" si="10"/>
        <v>329</v>
      </c>
      <c r="O107" s="75">
        <f t="shared" si="11"/>
        <v>14.64826357969724</v>
      </c>
      <c r="P107" s="75">
        <f>VLOOKUP($A107,'Data Vlaue (Cr)'!$C:$FB,119)</f>
        <v>0.89</v>
      </c>
      <c r="Q107" s="75">
        <f>VLOOKUP($A107,'Data Vlaue (Cr)'!$C:$FB,122)*100</f>
        <v>-4.3</v>
      </c>
      <c r="R107" s="75">
        <f>VLOOKUP($A107,'Data Vlaue (Cr)'!$C:$FB,125)</f>
        <v>1.01</v>
      </c>
      <c r="S107" s="75">
        <f>VLOOKUP($A107,'Data Vlaue (Cr)'!$C:$FB,128)*100</f>
        <v>7.4499999999999993</v>
      </c>
    </row>
    <row r="108" spans="1:19" x14ac:dyDescent="0.25">
      <c r="A108" s="96" t="str">
        <f>'Data Vlaue (Cr)'!C99</f>
        <v>IREDA</v>
      </c>
      <c r="B108" s="75">
        <f>VLOOKUP($A108,'Data Vlaue (Cr)'!$C:$FB,2)</f>
        <v>3450</v>
      </c>
      <c r="C108" s="75">
        <f>VLOOKUP($A108,'Data Vlaue (Cr)'!$C:$FB,8)</f>
        <v>117.03</v>
      </c>
      <c r="D108" s="75">
        <f>VLOOKUP($A108,'Data Vlaue (Cr)'!$C:$FB,4)</f>
        <v>116.78</v>
      </c>
      <c r="E108" s="75">
        <f>VLOOKUP($A108,'Data Vlaue (Cr)'!$C:$FB,5)</f>
        <v>114.76</v>
      </c>
      <c r="F108" s="75">
        <f t="shared" si="6"/>
        <v>-0.25</v>
      </c>
      <c r="G108" s="75">
        <f t="shared" si="7"/>
        <v>1.7297482445624217</v>
      </c>
      <c r="H108" s="75">
        <f>VLOOKUP($A108,'Data Vlaue (Cr)'!$C:$FB,99)</f>
        <v>1330</v>
      </c>
      <c r="I108" s="75">
        <f>VLOOKUP($A108,'Data Vlaue (Cr)'!$C:$FB,100)</f>
        <v>1335</v>
      </c>
      <c r="J108" s="75">
        <f t="shared" si="8"/>
        <v>-5</v>
      </c>
      <c r="K108" s="75">
        <f t="shared" si="9"/>
        <v>-0.37593984962406013</v>
      </c>
      <c r="L108" s="75">
        <f>VLOOKUP($A108,'Data Vlaue (Cr)'!$C:$FB,67)</f>
        <v>355</v>
      </c>
      <c r="M108" s="75">
        <f>VLOOKUP($A108,'Data Vlaue (Cr)'!$C:$FB,68)</f>
        <v>217</v>
      </c>
      <c r="N108" s="75">
        <f t="shared" si="10"/>
        <v>138</v>
      </c>
      <c r="O108" s="75">
        <f t="shared" si="11"/>
        <v>38.87323943661972</v>
      </c>
      <c r="P108" s="75">
        <f>VLOOKUP($A108,'Data Vlaue (Cr)'!$C:$FB,119)</f>
        <v>0.66</v>
      </c>
      <c r="Q108" s="75">
        <f>VLOOKUP($A108,'Data Vlaue (Cr)'!$C:$FB,122)*100</f>
        <v>-1.49</v>
      </c>
      <c r="R108" s="75">
        <f>VLOOKUP($A108,'Data Vlaue (Cr)'!$C:$FB,125)</f>
        <v>0.22</v>
      </c>
      <c r="S108" s="75">
        <f>VLOOKUP($A108,'Data Vlaue (Cr)'!$C:$FB,128)*100</f>
        <v>-18.52</v>
      </c>
    </row>
    <row r="109" spans="1:19" x14ac:dyDescent="0.25">
      <c r="A109" s="96" t="str">
        <f>'Data Vlaue (Cr)'!C100</f>
        <v>IRFC</v>
      </c>
      <c r="B109" s="75">
        <f>VLOOKUP($A109,'Data Vlaue (Cr)'!$C:$FB,2)</f>
        <v>4250</v>
      </c>
      <c r="C109" s="75">
        <f>VLOOKUP($A109,'Data Vlaue (Cr)'!$C:$FB,8)</f>
        <v>99.92</v>
      </c>
      <c r="D109" s="75">
        <f>VLOOKUP($A109,'Data Vlaue (Cr)'!$C:$FB,4)</f>
        <v>98.87</v>
      </c>
      <c r="E109" s="75">
        <f>VLOOKUP($A109,'Data Vlaue (Cr)'!$C:$FB,5)</f>
        <v>97.72</v>
      </c>
      <c r="F109" s="75">
        <f t="shared" si="6"/>
        <v>-1.0499999999999972</v>
      </c>
      <c r="G109" s="75">
        <f t="shared" si="7"/>
        <v>1.163143521796304</v>
      </c>
      <c r="H109" s="75">
        <f>VLOOKUP($A109,'Data Vlaue (Cr)'!$C:$FB,99)</f>
        <v>2015</v>
      </c>
      <c r="I109" s="75">
        <f>VLOOKUP($A109,'Data Vlaue (Cr)'!$C:$FB,100)</f>
        <v>2021</v>
      </c>
      <c r="J109" s="75">
        <f t="shared" si="8"/>
        <v>-6</v>
      </c>
      <c r="K109" s="75">
        <f t="shared" si="9"/>
        <v>-0.29776674937965258</v>
      </c>
      <c r="L109" s="75">
        <f>VLOOKUP($A109,'Data Vlaue (Cr)'!$C:$FB,67)</f>
        <v>721</v>
      </c>
      <c r="M109" s="75">
        <f>VLOOKUP($A109,'Data Vlaue (Cr)'!$C:$FB,68)</f>
        <v>594</v>
      </c>
      <c r="N109" s="75">
        <f t="shared" si="10"/>
        <v>127</v>
      </c>
      <c r="O109" s="75">
        <f t="shared" si="11"/>
        <v>17.614424410540916</v>
      </c>
      <c r="P109" s="75">
        <f>VLOOKUP($A109,'Data Vlaue (Cr)'!$C:$FB,119)</f>
        <v>0.57999999999999996</v>
      </c>
      <c r="Q109" s="75">
        <f>VLOOKUP($A109,'Data Vlaue (Cr)'!$C:$FB,122)*100</f>
        <v>1.7500000000000002</v>
      </c>
      <c r="R109" s="75">
        <f>VLOOKUP($A109,'Data Vlaue (Cr)'!$C:$FB,125)</f>
        <v>0.34</v>
      </c>
      <c r="S109" s="75">
        <f>VLOOKUP($A109,'Data Vlaue (Cr)'!$C:$FB,128)*100</f>
        <v>-2.86</v>
      </c>
    </row>
    <row r="110" spans="1:19" x14ac:dyDescent="0.25">
      <c r="A110" s="96" t="str">
        <f>'Data Vlaue (Cr)'!C101</f>
        <v>ITC</v>
      </c>
      <c r="B110" s="75">
        <f>VLOOKUP($A110,'Data Vlaue (Cr)'!$C:$FB,2)</f>
        <v>1600</v>
      </c>
      <c r="C110" s="75">
        <f>VLOOKUP($A110,'Data Vlaue (Cr)'!$C:$FB,8)</f>
        <v>304.10000000000002</v>
      </c>
      <c r="D110" s="75">
        <f>VLOOKUP($A110,'Data Vlaue (Cr)'!$C:$FB,4)</f>
        <v>304.95</v>
      </c>
      <c r="E110" s="75">
        <f>VLOOKUP($A110,'Data Vlaue (Cr)'!$C:$FB,5)</f>
        <v>309.35000000000002</v>
      </c>
      <c r="F110" s="75">
        <f t="shared" si="6"/>
        <v>0.84999999999996589</v>
      </c>
      <c r="G110" s="75">
        <f t="shared" si="7"/>
        <v>-1.4428594851615133</v>
      </c>
      <c r="H110" s="75">
        <f>VLOOKUP($A110,'Data Vlaue (Cr)'!$C:$FB,99)</f>
        <v>10529</v>
      </c>
      <c r="I110" s="75">
        <f>VLOOKUP($A110,'Data Vlaue (Cr)'!$C:$FB,100)</f>
        <v>10437</v>
      </c>
      <c r="J110" s="75">
        <f t="shared" si="8"/>
        <v>92</v>
      </c>
      <c r="K110" s="75">
        <f t="shared" si="9"/>
        <v>0.87377718681736161</v>
      </c>
      <c r="L110" s="75">
        <f>VLOOKUP($A110,'Data Vlaue (Cr)'!$C:$FB,67)</f>
        <v>3356</v>
      </c>
      <c r="M110" s="75">
        <f>VLOOKUP($A110,'Data Vlaue (Cr)'!$C:$FB,68)</f>
        <v>2220</v>
      </c>
      <c r="N110" s="75">
        <f t="shared" si="10"/>
        <v>1136</v>
      </c>
      <c r="O110" s="75">
        <f t="shared" si="11"/>
        <v>33.849821215733016</v>
      </c>
      <c r="P110" s="75">
        <f>VLOOKUP($A110,'Data Vlaue (Cr)'!$C:$FB,119)</f>
        <v>0.45</v>
      </c>
      <c r="Q110" s="75">
        <f>VLOOKUP($A110,'Data Vlaue (Cr)'!$C:$FB,122)*100</f>
        <v>2.27</v>
      </c>
      <c r="R110" s="75">
        <f>VLOOKUP($A110,'Data Vlaue (Cr)'!$C:$FB,125)</f>
        <v>0.35</v>
      </c>
      <c r="S110" s="75">
        <f>VLOOKUP($A110,'Data Vlaue (Cr)'!$C:$FB,128)*100</f>
        <v>-16.669999999999998</v>
      </c>
    </row>
    <row r="111" spans="1:19" x14ac:dyDescent="0.25">
      <c r="A111" s="96" t="str">
        <f>'Data Vlaue (Cr)'!C102</f>
        <v>JINDALSTEL</v>
      </c>
      <c r="B111" s="75">
        <f>VLOOKUP($A111,'Data Vlaue (Cr)'!$C:$FB,2)</f>
        <v>625</v>
      </c>
      <c r="C111" s="75">
        <f>VLOOKUP($A111,'Data Vlaue (Cr)'!$C:$FB,8)</f>
        <v>1225</v>
      </c>
      <c r="D111" s="75">
        <f>VLOOKUP($A111,'Data Vlaue (Cr)'!$C:$FB,4)</f>
        <v>1227.9000000000001</v>
      </c>
      <c r="E111" s="75">
        <f>VLOOKUP($A111,'Data Vlaue (Cr)'!$C:$FB,5)</f>
        <v>1187.9000000000001</v>
      </c>
      <c r="F111" s="75">
        <f t="shared" si="6"/>
        <v>2.9000000000000909</v>
      </c>
      <c r="G111" s="75">
        <f t="shared" si="7"/>
        <v>3.2575942666340905</v>
      </c>
      <c r="H111" s="75">
        <f>VLOOKUP($A111,'Data Vlaue (Cr)'!$C:$FB,99)</f>
        <v>2106</v>
      </c>
      <c r="I111" s="75">
        <f>VLOOKUP($A111,'Data Vlaue (Cr)'!$C:$FB,100)</f>
        <v>2122</v>
      </c>
      <c r="J111" s="75">
        <f t="shared" si="8"/>
        <v>-16</v>
      </c>
      <c r="K111" s="75">
        <f t="shared" si="9"/>
        <v>-0.75973409306742645</v>
      </c>
      <c r="L111" s="75">
        <f>VLOOKUP($A111,'Data Vlaue (Cr)'!$C:$FB,67)</f>
        <v>1785</v>
      </c>
      <c r="M111" s="75">
        <f>VLOOKUP($A111,'Data Vlaue (Cr)'!$C:$FB,68)</f>
        <v>1113</v>
      </c>
      <c r="N111" s="75">
        <f t="shared" si="10"/>
        <v>672</v>
      </c>
      <c r="O111" s="75">
        <f t="shared" si="11"/>
        <v>37.647058823529413</v>
      </c>
      <c r="P111" s="75">
        <f>VLOOKUP($A111,'Data Vlaue (Cr)'!$C:$FB,119)</f>
        <v>1.1299999999999999</v>
      </c>
      <c r="Q111" s="75">
        <f>VLOOKUP($A111,'Data Vlaue (Cr)'!$C:$FB,122)*100</f>
        <v>9.7100000000000009</v>
      </c>
      <c r="R111" s="75">
        <f>VLOOKUP($A111,'Data Vlaue (Cr)'!$C:$FB,125)</f>
        <v>0.61</v>
      </c>
      <c r="S111" s="75">
        <f>VLOOKUP($A111,'Data Vlaue (Cr)'!$C:$FB,128)*100</f>
        <v>-4.6899999999999995</v>
      </c>
    </row>
    <row r="112" spans="1:19" x14ac:dyDescent="0.25">
      <c r="A112" s="96" t="str">
        <f>'Data Vlaue (Cr)'!C103</f>
        <v>JIOFIN</v>
      </c>
      <c r="B112" s="75">
        <f>VLOOKUP($A112,'Data Vlaue (Cr)'!$C:$FB,2)</f>
        <v>2350</v>
      </c>
      <c r="C112" s="75">
        <f>VLOOKUP($A112,'Data Vlaue (Cr)'!$C:$FB,8)</f>
        <v>242.2</v>
      </c>
      <c r="D112" s="75">
        <f>VLOOKUP($A112,'Data Vlaue (Cr)'!$C:$FB,4)</f>
        <v>242.65</v>
      </c>
      <c r="E112" s="75">
        <f>VLOOKUP($A112,'Data Vlaue (Cr)'!$C:$FB,5)</f>
        <v>238.9</v>
      </c>
      <c r="F112" s="75">
        <f t="shared" si="6"/>
        <v>0.45000000000001705</v>
      </c>
      <c r="G112" s="75">
        <f t="shared" si="7"/>
        <v>1.5454358128992376</v>
      </c>
      <c r="H112" s="75">
        <f>VLOOKUP($A112,'Data Vlaue (Cr)'!$C:$FB,99)</f>
        <v>6537</v>
      </c>
      <c r="I112" s="75">
        <f>VLOOKUP($A112,'Data Vlaue (Cr)'!$C:$FB,100)</f>
        <v>6546</v>
      </c>
      <c r="J112" s="75">
        <f t="shared" si="8"/>
        <v>-9</v>
      </c>
      <c r="K112" s="75">
        <f t="shared" si="9"/>
        <v>-0.13767783386874713</v>
      </c>
      <c r="L112" s="75">
        <f>VLOOKUP($A112,'Data Vlaue (Cr)'!$C:$FB,67)</f>
        <v>2452</v>
      </c>
      <c r="M112" s="75">
        <f>VLOOKUP($A112,'Data Vlaue (Cr)'!$C:$FB,68)</f>
        <v>2862</v>
      </c>
      <c r="N112" s="75">
        <f t="shared" si="10"/>
        <v>-410</v>
      </c>
      <c r="O112" s="75">
        <f t="shared" si="11"/>
        <v>-16.721044045676997</v>
      </c>
      <c r="P112" s="75">
        <f>VLOOKUP($A112,'Data Vlaue (Cr)'!$C:$FB,119)</f>
        <v>0.81</v>
      </c>
      <c r="Q112" s="75">
        <f>VLOOKUP($A112,'Data Vlaue (Cr)'!$C:$FB,122)*100</f>
        <v>1.25</v>
      </c>
      <c r="R112" s="75">
        <f>VLOOKUP($A112,'Data Vlaue (Cr)'!$C:$FB,125)</f>
        <v>0.33</v>
      </c>
      <c r="S112" s="75">
        <f>VLOOKUP($A112,'Data Vlaue (Cr)'!$C:$FB,128)*100</f>
        <v>-5.71</v>
      </c>
    </row>
    <row r="113" spans="1:19" x14ac:dyDescent="0.25">
      <c r="A113" s="96" t="str">
        <f>'Data Vlaue (Cr)'!C104</f>
        <v>JSWENERGY</v>
      </c>
      <c r="B113" s="75">
        <f>VLOOKUP($A113,'Data Vlaue (Cr)'!$C:$FB,2)</f>
        <v>1000</v>
      </c>
      <c r="C113" s="75">
        <f>VLOOKUP($A113,'Data Vlaue (Cr)'!$C:$FB,8)</f>
        <v>518.29999999999995</v>
      </c>
      <c r="D113" s="75">
        <f>VLOOKUP($A113,'Data Vlaue (Cr)'!$C:$FB,4)</f>
        <v>520</v>
      </c>
      <c r="E113" s="75">
        <f>VLOOKUP($A113,'Data Vlaue (Cr)'!$C:$FB,5)</f>
        <v>488.45</v>
      </c>
      <c r="F113" s="75">
        <f t="shared" si="6"/>
        <v>1.7000000000000455</v>
      </c>
      <c r="G113" s="75">
        <f t="shared" si="7"/>
        <v>6.0673076923076952</v>
      </c>
      <c r="H113" s="75">
        <f>VLOOKUP($A113,'Data Vlaue (Cr)'!$C:$FB,99)</f>
        <v>2087</v>
      </c>
      <c r="I113" s="75">
        <f>VLOOKUP($A113,'Data Vlaue (Cr)'!$C:$FB,100)</f>
        <v>2037</v>
      </c>
      <c r="J113" s="75">
        <f t="shared" si="8"/>
        <v>50</v>
      </c>
      <c r="K113" s="75">
        <f t="shared" si="9"/>
        <v>2.3957834211787254</v>
      </c>
      <c r="L113" s="75">
        <f>VLOOKUP($A113,'Data Vlaue (Cr)'!$C:$FB,67)</f>
        <v>5788</v>
      </c>
      <c r="M113" s="75">
        <f>VLOOKUP($A113,'Data Vlaue (Cr)'!$C:$FB,68)</f>
        <v>438</v>
      </c>
      <c r="N113" s="75">
        <f t="shared" si="10"/>
        <v>5350</v>
      </c>
      <c r="O113" s="75">
        <f t="shared" si="11"/>
        <v>92.43261921216309</v>
      </c>
      <c r="P113" s="75">
        <f>VLOOKUP($A113,'Data Vlaue (Cr)'!$C:$FB,119)</f>
        <v>0.81</v>
      </c>
      <c r="Q113" s="75">
        <f>VLOOKUP($A113,'Data Vlaue (Cr)'!$C:$FB,122)*100</f>
        <v>8</v>
      </c>
      <c r="R113" s="75">
        <f>VLOOKUP($A113,'Data Vlaue (Cr)'!$C:$FB,125)</f>
        <v>0.27</v>
      </c>
      <c r="S113" s="75">
        <f>VLOOKUP($A113,'Data Vlaue (Cr)'!$C:$FB,128)*100</f>
        <v>-28.95</v>
      </c>
    </row>
    <row r="114" spans="1:19" x14ac:dyDescent="0.25">
      <c r="A114" s="96" t="str">
        <f>'Data Vlaue (Cr)'!C105</f>
        <v>JSWSTEEL</v>
      </c>
      <c r="B114" s="75">
        <f>VLOOKUP($A114,'Data Vlaue (Cr)'!$C:$FB,2)</f>
        <v>675</v>
      </c>
      <c r="C114" s="75">
        <f>VLOOKUP($A114,'Data Vlaue (Cr)'!$C:$FB,8)</f>
        <v>1172.5999999999999</v>
      </c>
      <c r="D114" s="75">
        <f>VLOOKUP($A114,'Data Vlaue (Cr)'!$C:$FB,4)</f>
        <v>1174.4000000000001</v>
      </c>
      <c r="E114" s="75">
        <f>VLOOKUP($A114,'Data Vlaue (Cr)'!$C:$FB,5)</f>
        <v>1179.2</v>
      </c>
      <c r="F114" s="75">
        <f t="shared" si="6"/>
        <v>1.8000000000001819</v>
      </c>
      <c r="G114" s="75">
        <f t="shared" si="7"/>
        <v>-0.40871934604904236</v>
      </c>
      <c r="H114" s="75">
        <f>VLOOKUP($A114,'Data Vlaue (Cr)'!$C:$FB,99)</f>
        <v>7425</v>
      </c>
      <c r="I114" s="75">
        <f>VLOOKUP($A114,'Data Vlaue (Cr)'!$C:$FB,100)</f>
        <v>7376</v>
      </c>
      <c r="J114" s="75">
        <f t="shared" si="8"/>
        <v>49</v>
      </c>
      <c r="K114" s="75">
        <f t="shared" si="9"/>
        <v>0.65993265993265993</v>
      </c>
      <c r="L114" s="75">
        <f>VLOOKUP($A114,'Data Vlaue (Cr)'!$C:$FB,67)</f>
        <v>1534</v>
      </c>
      <c r="M114" s="75">
        <f>VLOOKUP($A114,'Data Vlaue (Cr)'!$C:$FB,68)</f>
        <v>1839</v>
      </c>
      <c r="N114" s="75">
        <f t="shared" si="10"/>
        <v>-305</v>
      </c>
      <c r="O114" s="75">
        <f t="shared" si="11"/>
        <v>-19.882659713168188</v>
      </c>
      <c r="P114" s="75">
        <f>VLOOKUP($A114,'Data Vlaue (Cr)'!$C:$FB,119)</f>
        <v>0.52</v>
      </c>
      <c r="Q114" s="75">
        <f>VLOOKUP($A114,'Data Vlaue (Cr)'!$C:$FB,122)*100</f>
        <v>0</v>
      </c>
      <c r="R114" s="75">
        <f>VLOOKUP($A114,'Data Vlaue (Cr)'!$C:$FB,125)</f>
        <v>0.56000000000000005</v>
      </c>
      <c r="S114" s="75">
        <f>VLOOKUP($A114,'Data Vlaue (Cr)'!$C:$FB,128)*100</f>
        <v>-28.21</v>
      </c>
    </row>
    <row r="115" spans="1:19" x14ac:dyDescent="0.25">
      <c r="A115" s="96" t="str">
        <f>'Data Vlaue (Cr)'!C106</f>
        <v>JUBLFOOD</v>
      </c>
      <c r="B115" s="75">
        <f>VLOOKUP($A115,'Data Vlaue (Cr)'!$C:$FB,2)</f>
        <v>1250</v>
      </c>
      <c r="C115" s="75">
        <f>VLOOKUP($A115,'Data Vlaue (Cr)'!$C:$FB,8)</f>
        <v>461.75</v>
      </c>
      <c r="D115" s="75">
        <f>VLOOKUP($A115,'Data Vlaue (Cr)'!$C:$FB,4)</f>
        <v>462.05</v>
      </c>
      <c r="E115" s="75">
        <f>VLOOKUP($A115,'Data Vlaue (Cr)'!$C:$FB,5)</f>
        <v>473.65</v>
      </c>
      <c r="F115" s="75">
        <f t="shared" si="6"/>
        <v>0.30000000000001137</v>
      </c>
      <c r="G115" s="75">
        <f t="shared" si="7"/>
        <v>-2.5105508061897988</v>
      </c>
      <c r="H115" s="75">
        <f>VLOOKUP($A115,'Data Vlaue (Cr)'!$C:$FB,99)</f>
        <v>2082</v>
      </c>
      <c r="I115" s="75">
        <f>VLOOKUP($A115,'Data Vlaue (Cr)'!$C:$FB,100)</f>
        <v>1959</v>
      </c>
      <c r="J115" s="75">
        <f t="shared" si="8"/>
        <v>123</v>
      </c>
      <c r="K115" s="75">
        <f t="shared" si="9"/>
        <v>5.9077809798270895</v>
      </c>
      <c r="L115" s="75">
        <f>VLOOKUP($A115,'Data Vlaue (Cr)'!$C:$FB,67)</f>
        <v>1769</v>
      </c>
      <c r="M115" s="75">
        <f>VLOOKUP($A115,'Data Vlaue (Cr)'!$C:$FB,68)</f>
        <v>1011</v>
      </c>
      <c r="N115" s="75">
        <f t="shared" si="10"/>
        <v>758</v>
      </c>
      <c r="O115" s="75">
        <f t="shared" si="11"/>
        <v>42.849067269643868</v>
      </c>
      <c r="P115" s="75">
        <f>VLOOKUP($A115,'Data Vlaue (Cr)'!$C:$FB,119)</f>
        <v>0.73</v>
      </c>
      <c r="Q115" s="75">
        <f>VLOOKUP($A115,'Data Vlaue (Cr)'!$C:$FB,122)*100</f>
        <v>1.39</v>
      </c>
      <c r="R115" s="75">
        <f>VLOOKUP($A115,'Data Vlaue (Cr)'!$C:$FB,125)</f>
        <v>1.29</v>
      </c>
      <c r="S115" s="75">
        <f>VLOOKUP($A115,'Data Vlaue (Cr)'!$C:$FB,128)*100</f>
        <v>11.21</v>
      </c>
    </row>
    <row r="116" spans="1:19" x14ac:dyDescent="0.25">
      <c r="A116" s="96" t="str">
        <f>'Data Vlaue (Cr)'!C107</f>
        <v>KALYANKJIL</v>
      </c>
      <c r="B116" s="75">
        <f>VLOOKUP($A116,'Data Vlaue (Cr)'!$C:$FB,2)</f>
        <v>1175</v>
      </c>
      <c r="C116" s="75">
        <f>VLOOKUP($A116,'Data Vlaue (Cr)'!$C:$FB,8)</f>
        <v>389.95</v>
      </c>
      <c r="D116" s="75">
        <f>VLOOKUP($A116,'Data Vlaue (Cr)'!$C:$FB,4)</f>
        <v>390.4</v>
      </c>
      <c r="E116" s="75">
        <f>VLOOKUP($A116,'Data Vlaue (Cr)'!$C:$FB,5)</f>
        <v>391.1</v>
      </c>
      <c r="F116" s="75">
        <f t="shared" si="6"/>
        <v>0.44999999999998863</v>
      </c>
      <c r="G116" s="75">
        <f t="shared" si="7"/>
        <v>-0.17930327868853624</v>
      </c>
      <c r="H116" s="75">
        <f>VLOOKUP($A116,'Data Vlaue (Cr)'!$C:$FB,99)</f>
        <v>1521</v>
      </c>
      <c r="I116" s="75">
        <f>VLOOKUP($A116,'Data Vlaue (Cr)'!$C:$FB,100)</f>
        <v>1531</v>
      </c>
      <c r="J116" s="75">
        <f t="shared" si="8"/>
        <v>-10</v>
      </c>
      <c r="K116" s="75">
        <f t="shared" si="9"/>
        <v>-0.65746219592373445</v>
      </c>
      <c r="L116" s="75">
        <f>VLOOKUP($A116,'Data Vlaue (Cr)'!$C:$FB,67)</f>
        <v>591</v>
      </c>
      <c r="M116" s="75">
        <f>VLOOKUP($A116,'Data Vlaue (Cr)'!$C:$FB,68)</f>
        <v>649</v>
      </c>
      <c r="N116" s="75">
        <f t="shared" si="10"/>
        <v>-58</v>
      </c>
      <c r="O116" s="75">
        <f t="shared" si="11"/>
        <v>-9.8138747884940774</v>
      </c>
      <c r="P116" s="75">
        <f>VLOOKUP($A116,'Data Vlaue (Cr)'!$C:$FB,119)</f>
        <v>0.59</v>
      </c>
      <c r="Q116" s="75">
        <f>VLOOKUP($A116,'Data Vlaue (Cr)'!$C:$FB,122)*100</f>
        <v>1.72</v>
      </c>
      <c r="R116" s="75">
        <f>VLOOKUP($A116,'Data Vlaue (Cr)'!$C:$FB,125)</f>
        <v>0.56000000000000005</v>
      </c>
      <c r="S116" s="75">
        <f>VLOOKUP($A116,'Data Vlaue (Cr)'!$C:$FB,128)*100</f>
        <v>43.59</v>
      </c>
    </row>
    <row r="117" spans="1:19" x14ac:dyDescent="0.25">
      <c r="A117" s="96" t="str">
        <f>'Data Vlaue (Cr)'!C108</f>
        <v>KAYNES</v>
      </c>
      <c r="B117" s="75">
        <f>VLOOKUP($A117,'Data Vlaue (Cr)'!$C:$FB,2)</f>
        <v>100</v>
      </c>
      <c r="C117" s="75">
        <f>VLOOKUP($A117,'Data Vlaue (Cr)'!$C:$FB,8)</f>
        <v>3700.3</v>
      </c>
      <c r="D117" s="75">
        <f>VLOOKUP($A117,'Data Vlaue (Cr)'!$C:$FB,4)</f>
        <v>3711.1</v>
      </c>
      <c r="E117" s="75">
        <f>VLOOKUP($A117,'Data Vlaue (Cr)'!$C:$FB,5)</f>
        <v>3731.4</v>
      </c>
      <c r="F117" s="75">
        <f t="shared" si="6"/>
        <v>10.799999999999727</v>
      </c>
      <c r="G117" s="75">
        <f t="shared" si="7"/>
        <v>-0.54700762577133955</v>
      </c>
      <c r="H117" s="75">
        <f>VLOOKUP($A117,'Data Vlaue (Cr)'!$C:$FB,99)</f>
        <v>2611</v>
      </c>
      <c r="I117" s="75">
        <f>VLOOKUP($A117,'Data Vlaue (Cr)'!$C:$FB,100)</f>
        <v>2525</v>
      </c>
      <c r="J117" s="75">
        <f t="shared" si="8"/>
        <v>86</v>
      </c>
      <c r="K117" s="75">
        <f t="shared" si="9"/>
        <v>3.2937571811566451</v>
      </c>
      <c r="L117" s="75">
        <f>VLOOKUP($A117,'Data Vlaue (Cr)'!$C:$FB,67)</f>
        <v>1946</v>
      </c>
      <c r="M117" s="75">
        <f>VLOOKUP($A117,'Data Vlaue (Cr)'!$C:$FB,68)</f>
        <v>2357</v>
      </c>
      <c r="N117" s="75">
        <f t="shared" si="10"/>
        <v>-411</v>
      </c>
      <c r="O117" s="75">
        <f t="shared" si="11"/>
        <v>-21.120246659815006</v>
      </c>
      <c r="P117" s="75">
        <f>VLOOKUP($A117,'Data Vlaue (Cr)'!$C:$FB,119)</f>
        <v>0.77</v>
      </c>
      <c r="Q117" s="75">
        <f>VLOOKUP($A117,'Data Vlaue (Cr)'!$C:$FB,122)*100</f>
        <v>-6.1</v>
      </c>
      <c r="R117" s="75">
        <f>VLOOKUP($A117,'Data Vlaue (Cr)'!$C:$FB,125)</f>
        <v>0.34</v>
      </c>
      <c r="S117" s="75">
        <f>VLOOKUP($A117,'Data Vlaue (Cr)'!$C:$FB,128)*100</f>
        <v>36</v>
      </c>
    </row>
    <row r="118" spans="1:19" x14ac:dyDescent="0.25">
      <c r="A118" s="96" t="str">
        <f>'Data Vlaue (Cr)'!C109</f>
        <v>KEI</v>
      </c>
      <c r="B118" s="75">
        <f>VLOOKUP($A118,'Data Vlaue (Cr)'!$C:$FB,2)</f>
        <v>175</v>
      </c>
      <c r="C118" s="75">
        <f>VLOOKUP($A118,'Data Vlaue (Cr)'!$C:$FB,8)</f>
        <v>4330</v>
      </c>
      <c r="D118" s="75">
        <f>VLOOKUP($A118,'Data Vlaue (Cr)'!$C:$FB,4)</f>
        <v>4335.5</v>
      </c>
      <c r="E118" s="75">
        <f>VLOOKUP($A118,'Data Vlaue (Cr)'!$C:$FB,5)</f>
        <v>4336.5</v>
      </c>
      <c r="F118" s="75">
        <f t="shared" si="6"/>
        <v>5.5</v>
      </c>
      <c r="G118" s="75">
        <f t="shared" si="7"/>
        <v>-2.306539038173221E-2</v>
      </c>
      <c r="H118" s="75">
        <f>VLOOKUP($A118,'Data Vlaue (Cr)'!$C:$FB,99)</f>
        <v>1611</v>
      </c>
      <c r="I118" s="75">
        <f>VLOOKUP($A118,'Data Vlaue (Cr)'!$C:$FB,100)</f>
        <v>1596</v>
      </c>
      <c r="J118" s="75">
        <f t="shared" si="8"/>
        <v>15</v>
      </c>
      <c r="K118" s="75">
        <f t="shared" si="9"/>
        <v>0.93109869646182497</v>
      </c>
      <c r="L118" s="75">
        <f>VLOOKUP($A118,'Data Vlaue (Cr)'!$C:$FB,67)</f>
        <v>1606</v>
      </c>
      <c r="M118" s="75">
        <f>VLOOKUP($A118,'Data Vlaue (Cr)'!$C:$FB,68)</f>
        <v>2506</v>
      </c>
      <c r="N118" s="75">
        <f t="shared" si="10"/>
        <v>-900</v>
      </c>
      <c r="O118" s="75">
        <f t="shared" si="11"/>
        <v>-56.039850560398506</v>
      </c>
      <c r="P118" s="75">
        <f>VLOOKUP($A118,'Data Vlaue (Cr)'!$C:$FB,119)</f>
        <v>0.79</v>
      </c>
      <c r="Q118" s="75">
        <f>VLOOKUP($A118,'Data Vlaue (Cr)'!$C:$FB,122)*100</f>
        <v>-4.82</v>
      </c>
      <c r="R118" s="75">
        <f>VLOOKUP($A118,'Data Vlaue (Cr)'!$C:$FB,125)</f>
        <v>0.48</v>
      </c>
      <c r="S118" s="75">
        <f>VLOOKUP($A118,'Data Vlaue (Cr)'!$C:$FB,128)*100</f>
        <v>-71.430000000000007</v>
      </c>
    </row>
    <row r="119" spans="1:19" x14ac:dyDescent="0.25">
      <c r="A119" s="96" t="str">
        <f>'Data Vlaue (Cr)'!C110</f>
        <v>KFINTECH</v>
      </c>
      <c r="B119" s="75">
        <f>VLOOKUP($A119,'Data Vlaue (Cr)'!$C:$FB,2)</f>
        <v>500</v>
      </c>
      <c r="C119" s="75">
        <f>VLOOKUP($A119,'Data Vlaue (Cr)'!$C:$FB,8)</f>
        <v>907.6</v>
      </c>
      <c r="D119" s="75">
        <f>VLOOKUP($A119,'Data Vlaue (Cr)'!$C:$FB,4)</f>
        <v>910.6</v>
      </c>
      <c r="E119" s="75">
        <f>VLOOKUP($A119,'Data Vlaue (Cr)'!$C:$FB,5)</f>
        <v>928.7</v>
      </c>
      <c r="F119" s="75">
        <f t="shared" si="6"/>
        <v>3</v>
      </c>
      <c r="G119" s="75">
        <f t="shared" si="7"/>
        <v>-1.9877004173072723</v>
      </c>
      <c r="H119" s="75">
        <f>VLOOKUP($A119,'Data Vlaue (Cr)'!$C:$FB,99)</f>
        <v>495</v>
      </c>
      <c r="I119" s="75">
        <f>VLOOKUP($A119,'Data Vlaue (Cr)'!$C:$FB,100)</f>
        <v>501</v>
      </c>
      <c r="J119" s="75">
        <f t="shared" si="8"/>
        <v>-6</v>
      </c>
      <c r="K119" s="75">
        <f t="shared" si="9"/>
        <v>-1.2121212121212122</v>
      </c>
      <c r="L119" s="75">
        <f>VLOOKUP($A119,'Data Vlaue (Cr)'!$C:$FB,67)</f>
        <v>232</v>
      </c>
      <c r="M119" s="75">
        <f>VLOOKUP($A119,'Data Vlaue (Cr)'!$C:$FB,68)</f>
        <v>132</v>
      </c>
      <c r="N119" s="75">
        <f t="shared" si="10"/>
        <v>100</v>
      </c>
      <c r="O119" s="75">
        <f t="shared" si="11"/>
        <v>43.103448275862064</v>
      </c>
      <c r="P119" s="75">
        <f>VLOOKUP($A119,'Data Vlaue (Cr)'!$C:$FB,119)</f>
        <v>0.6</v>
      </c>
      <c r="Q119" s="75">
        <f>VLOOKUP($A119,'Data Vlaue (Cr)'!$C:$FB,122)*100</f>
        <v>3.45</v>
      </c>
      <c r="R119" s="75">
        <f>VLOOKUP($A119,'Data Vlaue (Cr)'!$C:$FB,125)</f>
        <v>0.64</v>
      </c>
      <c r="S119" s="75">
        <f>VLOOKUP($A119,'Data Vlaue (Cr)'!$C:$FB,128)*100</f>
        <v>33.33</v>
      </c>
    </row>
    <row r="120" spans="1:19" x14ac:dyDescent="0.25">
      <c r="A120" s="96" t="str">
        <f>'Data Vlaue (Cr)'!C111</f>
        <v>KOTAKBANK</v>
      </c>
      <c r="B120" s="75">
        <f>VLOOKUP($A120,'Data Vlaue (Cr)'!$C:$FB,2)</f>
        <v>2000</v>
      </c>
      <c r="C120" s="75">
        <f>VLOOKUP($A120,'Data Vlaue (Cr)'!$C:$FB,8)</f>
        <v>375.3</v>
      </c>
      <c r="D120" s="75">
        <f>VLOOKUP($A120,'Data Vlaue (Cr)'!$C:$FB,4)</f>
        <v>376.75</v>
      </c>
      <c r="E120" s="75">
        <f>VLOOKUP($A120,'Data Vlaue (Cr)'!$C:$FB,5)</f>
        <v>384.2</v>
      </c>
      <c r="F120" s="75">
        <f t="shared" si="6"/>
        <v>1.4499999999999886</v>
      </c>
      <c r="G120" s="75">
        <f t="shared" si="7"/>
        <v>-1.9774386197743834</v>
      </c>
      <c r="H120" s="75">
        <f>VLOOKUP($A120,'Data Vlaue (Cr)'!$C:$FB,99)</f>
        <v>10923</v>
      </c>
      <c r="I120" s="75">
        <f>VLOOKUP($A120,'Data Vlaue (Cr)'!$C:$FB,100)</f>
        <v>10590</v>
      </c>
      <c r="J120" s="75">
        <f t="shared" si="8"/>
        <v>333</v>
      </c>
      <c r="K120" s="75">
        <f t="shared" si="9"/>
        <v>3.0486130184015381</v>
      </c>
      <c r="L120" s="75">
        <f>VLOOKUP($A120,'Data Vlaue (Cr)'!$C:$FB,67)</f>
        <v>2859</v>
      </c>
      <c r="M120" s="75">
        <f>VLOOKUP($A120,'Data Vlaue (Cr)'!$C:$FB,68)</f>
        <v>2913</v>
      </c>
      <c r="N120" s="75">
        <f t="shared" si="10"/>
        <v>-54</v>
      </c>
      <c r="O120" s="75">
        <f t="shared" si="11"/>
        <v>-1.888772298006296</v>
      </c>
      <c r="P120" s="75">
        <f>VLOOKUP($A120,'Data Vlaue (Cr)'!$C:$FB,119)</f>
        <v>0.64</v>
      </c>
      <c r="Q120" s="75">
        <f>VLOOKUP($A120,'Data Vlaue (Cr)'!$C:$FB,122)*100</f>
        <v>-4.4799999999999995</v>
      </c>
      <c r="R120" s="75">
        <f>VLOOKUP($A120,'Data Vlaue (Cr)'!$C:$FB,125)</f>
        <v>0.62</v>
      </c>
      <c r="S120" s="75">
        <f>VLOOKUP($A120,'Data Vlaue (Cr)'!$C:$FB,128)*100</f>
        <v>-26.19</v>
      </c>
    </row>
    <row r="121" spans="1:19" x14ac:dyDescent="0.25">
      <c r="A121" s="96" t="str">
        <f>'Data Vlaue (Cr)'!C112</f>
        <v>KPITTECH</v>
      </c>
      <c r="B121" s="75">
        <f>VLOOKUP($A121,'Data Vlaue (Cr)'!$C:$FB,2)</f>
        <v>425</v>
      </c>
      <c r="C121" s="75">
        <f>VLOOKUP($A121,'Data Vlaue (Cr)'!$C:$FB,8)</f>
        <v>671.25</v>
      </c>
      <c r="D121" s="75">
        <f>VLOOKUP($A121,'Data Vlaue (Cr)'!$C:$FB,4)</f>
        <v>671.85</v>
      </c>
      <c r="E121" s="75">
        <f>VLOOKUP($A121,'Data Vlaue (Cr)'!$C:$FB,5)</f>
        <v>684.35</v>
      </c>
      <c r="F121" s="75">
        <f t="shared" si="6"/>
        <v>0.60000000000002274</v>
      </c>
      <c r="G121" s="75">
        <f t="shared" si="7"/>
        <v>-1.8605343454640173</v>
      </c>
      <c r="H121" s="75">
        <f>VLOOKUP($A121,'Data Vlaue (Cr)'!$C:$FB,99)</f>
        <v>1138</v>
      </c>
      <c r="I121" s="75">
        <f>VLOOKUP($A121,'Data Vlaue (Cr)'!$C:$FB,100)</f>
        <v>1087</v>
      </c>
      <c r="J121" s="75">
        <f t="shared" si="8"/>
        <v>51</v>
      </c>
      <c r="K121" s="75">
        <f t="shared" si="9"/>
        <v>4.4815465729349739</v>
      </c>
      <c r="L121" s="75">
        <f>VLOOKUP($A121,'Data Vlaue (Cr)'!$C:$FB,67)</f>
        <v>473</v>
      </c>
      <c r="M121" s="75">
        <f>VLOOKUP($A121,'Data Vlaue (Cr)'!$C:$FB,68)</f>
        <v>670</v>
      </c>
      <c r="N121" s="75">
        <f t="shared" si="10"/>
        <v>-197</v>
      </c>
      <c r="O121" s="75">
        <f t="shared" si="11"/>
        <v>-41.649048625792808</v>
      </c>
      <c r="P121" s="75">
        <f>VLOOKUP($A121,'Data Vlaue (Cr)'!$C:$FB,119)</f>
        <v>0.5</v>
      </c>
      <c r="Q121" s="75">
        <f>VLOOKUP($A121,'Data Vlaue (Cr)'!$C:$FB,122)*100</f>
        <v>-9.09</v>
      </c>
      <c r="R121" s="75">
        <f>VLOOKUP($A121,'Data Vlaue (Cr)'!$C:$FB,125)</f>
        <v>0.24</v>
      </c>
      <c r="S121" s="75">
        <f>VLOOKUP($A121,'Data Vlaue (Cr)'!$C:$FB,128)*100</f>
        <v>-22.58</v>
      </c>
    </row>
    <row r="122" spans="1:19" x14ac:dyDescent="0.25">
      <c r="A122" s="96" t="str">
        <f>'Data Vlaue (Cr)'!C113</f>
        <v>LAURUSLABS</v>
      </c>
      <c r="B122" s="75">
        <f>VLOOKUP($A122,'Data Vlaue (Cr)'!$C:$FB,2)</f>
        <v>850</v>
      </c>
      <c r="C122" s="75">
        <f>VLOOKUP($A122,'Data Vlaue (Cr)'!$C:$FB,8)</f>
        <v>1046.8</v>
      </c>
      <c r="D122" s="75">
        <f>VLOOKUP($A122,'Data Vlaue (Cr)'!$C:$FB,4)</f>
        <v>1048.5</v>
      </c>
      <c r="E122" s="75">
        <f>VLOOKUP($A122,'Data Vlaue (Cr)'!$C:$FB,5)</f>
        <v>1041.3</v>
      </c>
      <c r="F122" s="75">
        <f t="shared" si="6"/>
        <v>1.7000000000000455</v>
      </c>
      <c r="G122" s="75">
        <f t="shared" si="7"/>
        <v>0.68669527896996141</v>
      </c>
      <c r="H122" s="75">
        <f>VLOOKUP($A122,'Data Vlaue (Cr)'!$C:$FB,99)</f>
        <v>3578</v>
      </c>
      <c r="I122" s="75">
        <f>VLOOKUP($A122,'Data Vlaue (Cr)'!$C:$FB,100)</f>
        <v>3530</v>
      </c>
      <c r="J122" s="75">
        <f t="shared" si="8"/>
        <v>48</v>
      </c>
      <c r="K122" s="75">
        <f t="shared" si="9"/>
        <v>1.3415315818893236</v>
      </c>
      <c r="L122" s="75">
        <f>VLOOKUP($A122,'Data Vlaue (Cr)'!$C:$FB,67)</f>
        <v>1574</v>
      </c>
      <c r="M122" s="75">
        <f>VLOOKUP($A122,'Data Vlaue (Cr)'!$C:$FB,68)</f>
        <v>3233</v>
      </c>
      <c r="N122" s="75">
        <f t="shared" si="10"/>
        <v>-1659</v>
      </c>
      <c r="O122" s="75">
        <f t="shared" si="11"/>
        <v>-105.4002541296061</v>
      </c>
      <c r="P122" s="75">
        <f>VLOOKUP($A122,'Data Vlaue (Cr)'!$C:$FB,119)</f>
        <v>0.53</v>
      </c>
      <c r="Q122" s="75">
        <f>VLOOKUP($A122,'Data Vlaue (Cr)'!$C:$FB,122)*100</f>
        <v>3.92</v>
      </c>
      <c r="R122" s="75">
        <f>VLOOKUP($A122,'Data Vlaue (Cr)'!$C:$FB,125)</f>
        <v>0.36</v>
      </c>
      <c r="S122" s="75">
        <f>VLOOKUP($A122,'Data Vlaue (Cr)'!$C:$FB,128)*100</f>
        <v>2.86</v>
      </c>
    </row>
    <row r="123" spans="1:19" x14ac:dyDescent="0.25">
      <c r="A123" s="96" t="str">
        <f>'Data Vlaue (Cr)'!C114</f>
        <v>LICHSGFIN</v>
      </c>
      <c r="B123" s="75">
        <f>VLOOKUP($A123,'Data Vlaue (Cr)'!$C:$FB,2)</f>
        <v>1000</v>
      </c>
      <c r="C123" s="75">
        <f>VLOOKUP($A123,'Data Vlaue (Cr)'!$C:$FB,8)</f>
        <v>498.5</v>
      </c>
      <c r="D123" s="75">
        <f>VLOOKUP($A123,'Data Vlaue (Cr)'!$C:$FB,4)</f>
        <v>500.65</v>
      </c>
      <c r="E123" s="75">
        <f>VLOOKUP($A123,'Data Vlaue (Cr)'!$C:$FB,5)</f>
        <v>506.25</v>
      </c>
      <c r="F123" s="75">
        <f t="shared" si="6"/>
        <v>2.1499999999999773</v>
      </c>
      <c r="G123" s="75">
        <f t="shared" si="7"/>
        <v>-1.1185458903425594</v>
      </c>
      <c r="H123" s="75">
        <f>VLOOKUP($A123,'Data Vlaue (Cr)'!$C:$FB,99)</f>
        <v>2344</v>
      </c>
      <c r="I123" s="75">
        <f>VLOOKUP($A123,'Data Vlaue (Cr)'!$C:$FB,100)</f>
        <v>2272</v>
      </c>
      <c r="J123" s="75">
        <f t="shared" si="8"/>
        <v>72</v>
      </c>
      <c r="K123" s="75">
        <f t="shared" si="9"/>
        <v>3.0716723549488054</v>
      </c>
      <c r="L123" s="75">
        <f>VLOOKUP($A123,'Data Vlaue (Cr)'!$C:$FB,67)</f>
        <v>525</v>
      </c>
      <c r="M123" s="75">
        <f>VLOOKUP($A123,'Data Vlaue (Cr)'!$C:$FB,68)</f>
        <v>509</v>
      </c>
      <c r="N123" s="75">
        <f t="shared" si="10"/>
        <v>16</v>
      </c>
      <c r="O123" s="75">
        <f t="shared" si="11"/>
        <v>3.0476190476190474</v>
      </c>
      <c r="P123" s="75">
        <f>VLOOKUP($A123,'Data Vlaue (Cr)'!$C:$FB,119)</f>
        <v>0.97</v>
      </c>
      <c r="Q123" s="75">
        <f>VLOOKUP($A123,'Data Vlaue (Cr)'!$C:$FB,122)*100</f>
        <v>6.59</v>
      </c>
      <c r="R123" s="75">
        <f>VLOOKUP($A123,'Data Vlaue (Cr)'!$C:$FB,125)</f>
        <v>0.81</v>
      </c>
      <c r="S123" s="75">
        <f>VLOOKUP($A123,'Data Vlaue (Cr)'!$C:$FB,128)*100</f>
        <v>-14.74</v>
      </c>
    </row>
    <row r="124" spans="1:19" x14ac:dyDescent="0.25">
      <c r="A124" s="96" t="str">
        <f>'Data Vlaue (Cr)'!C115</f>
        <v>LICI</v>
      </c>
      <c r="B124" s="75">
        <f>VLOOKUP($A124,'Data Vlaue (Cr)'!$C:$FB,2)</f>
        <v>700</v>
      </c>
      <c r="C124" s="75">
        <f>VLOOKUP($A124,'Data Vlaue (Cr)'!$C:$FB,8)</f>
        <v>796.65</v>
      </c>
      <c r="D124" s="75">
        <f>VLOOKUP($A124,'Data Vlaue (Cr)'!$C:$FB,4)</f>
        <v>798.2</v>
      </c>
      <c r="E124" s="75">
        <f>VLOOKUP($A124,'Data Vlaue (Cr)'!$C:$FB,5)</f>
        <v>801.5</v>
      </c>
      <c r="F124" s="75">
        <f t="shared" si="6"/>
        <v>1.5500000000000682</v>
      </c>
      <c r="G124" s="75">
        <f t="shared" si="7"/>
        <v>-0.41343021799047286</v>
      </c>
      <c r="H124" s="75">
        <f>VLOOKUP($A124,'Data Vlaue (Cr)'!$C:$FB,99)</f>
        <v>1528</v>
      </c>
      <c r="I124" s="75">
        <f>VLOOKUP($A124,'Data Vlaue (Cr)'!$C:$FB,100)</f>
        <v>1484</v>
      </c>
      <c r="J124" s="75">
        <f t="shared" si="8"/>
        <v>44</v>
      </c>
      <c r="K124" s="75">
        <f t="shared" si="9"/>
        <v>2.8795811518324608</v>
      </c>
      <c r="L124" s="75">
        <f>VLOOKUP($A124,'Data Vlaue (Cr)'!$C:$FB,67)</f>
        <v>365</v>
      </c>
      <c r="M124" s="75">
        <f>VLOOKUP($A124,'Data Vlaue (Cr)'!$C:$FB,68)</f>
        <v>341</v>
      </c>
      <c r="N124" s="75">
        <f t="shared" si="10"/>
        <v>24</v>
      </c>
      <c r="O124" s="75">
        <f t="shared" si="11"/>
        <v>6.5753424657534243</v>
      </c>
      <c r="P124" s="75">
        <f>VLOOKUP($A124,'Data Vlaue (Cr)'!$C:$FB,119)</f>
        <v>0.49</v>
      </c>
      <c r="Q124" s="75">
        <f>VLOOKUP($A124,'Data Vlaue (Cr)'!$C:$FB,122)*100</f>
        <v>2.08</v>
      </c>
      <c r="R124" s="75">
        <f>VLOOKUP($A124,'Data Vlaue (Cr)'!$C:$FB,125)</f>
        <v>0.51</v>
      </c>
      <c r="S124" s="75">
        <f>VLOOKUP($A124,'Data Vlaue (Cr)'!$C:$FB,128)*100</f>
        <v>-10.530000000000001</v>
      </c>
    </row>
    <row r="125" spans="1:19" x14ac:dyDescent="0.25">
      <c r="A125" s="96" t="str">
        <f>'Data Vlaue (Cr)'!C116</f>
        <v>LODHA</v>
      </c>
      <c r="B125" s="75">
        <f>VLOOKUP($A125,'Data Vlaue (Cr)'!$C:$FB,2)</f>
        <v>450</v>
      </c>
      <c r="C125" s="75">
        <f>VLOOKUP($A125,'Data Vlaue (Cr)'!$C:$FB,8)</f>
        <v>869.05</v>
      </c>
      <c r="D125" s="75">
        <f>VLOOKUP($A125,'Data Vlaue (Cr)'!$C:$FB,4)</f>
        <v>871.3</v>
      </c>
      <c r="E125" s="75">
        <f>VLOOKUP($A125,'Data Vlaue (Cr)'!$C:$FB,5)</f>
        <v>881.35</v>
      </c>
      <c r="F125" s="75">
        <f t="shared" si="6"/>
        <v>2.25</v>
      </c>
      <c r="G125" s="75">
        <f t="shared" si="7"/>
        <v>-1.1534488695053449</v>
      </c>
      <c r="H125" s="75">
        <f>VLOOKUP($A125,'Data Vlaue (Cr)'!$C:$FB,99)</f>
        <v>1323</v>
      </c>
      <c r="I125" s="75">
        <f>VLOOKUP($A125,'Data Vlaue (Cr)'!$C:$FB,100)</f>
        <v>1273</v>
      </c>
      <c r="J125" s="75">
        <f t="shared" si="8"/>
        <v>50</v>
      </c>
      <c r="K125" s="75">
        <f t="shared" si="9"/>
        <v>3.7792894935752082</v>
      </c>
      <c r="L125" s="75">
        <f>VLOOKUP($A125,'Data Vlaue (Cr)'!$C:$FB,67)</f>
        <v>300</v>
      </c>
      <c r="M125" s="75">
        <f>VLOOKUP($A125,'Data Vlaue (Cr)'!$C:$FB,68)</f>
        <v>325</v>
      </c>
      <c r="N125" s="75">
        <f t="shared" si="10"/>
        <v>-25</v>
      </c>
      <c r="O125" s="75">
        <f t="shared" si="11"/>
        <v>-8.3333333333333321</v>
      </c>
      <c r="P125" s="75">
        <f>VLOOKUP($A125,'Data Vlaue (Cr)'!$C:$FB,119)</f>
        <v>0.89</v>
      </c>
      <c r="Q125" s="75">
        <f>VLOOKUP($A125,'Data Vlaue (Cr)'!$C:$FB,122)*100</f>
        <v>-6.32</v>
      </c>
      <c r="R125" s="75">
        <f>VLOOKUP($A125,'Data Vlaue (Cr)'!$C:$FB,125)</f>
        <v>0.55000000000000004</v>
      </c>
      <c r="S125" s="75">
        <f>VLOOKUP($A125,'Data Vlaue (Cr)'!$C:$FB,128)*100</f>
        <v>19.57</v>
      </c>
    </row>
    <row r="126" spans="1:19" x14ac:dyDescent="0.25">
      <c r="A126" s="96" t="str">
        <f>'Data Vlaue (Cr)'!C117</f>
        <v>LT</v>
      </c>
      <c r="B126" s="75">
        <f>VLOOKUP($A126,'Data Vlaue (Cr)'!$C:$FB,2)</f>
        <v>175</v>
      </c>
      <c r="C126" s="75">
        <f>VLOOKUP($A126,'Data Vlaue (Cr)'!$C:$FB,8)</f>
        <v>3719.5</v>
      </c>
      <c r="D126" s="75">
        <f>VLOOKUP($A126,'Data Vlaue (Cr)'!$C:$FB,4)</f>
        <v>3730.9</v>
      </c>
      <c r="E126" s="75">
        <f>VLOOKUP($A126,'Data Vlaue (Cr)'!$C:$FB,5)</f>
        <v>3843.2</v>
      </c>
      <c r="F126" s="75">
        <f t="shared" si="6"/>
        <v>11.400000000000091</v>
      </c>
      <c r="G126" s="75">
        <f t="shared" si="7"/>
        <v>-3.0099975877134129</v>
      </c>
      <c r="H126" s="75">
        <f>VLOOKUP($A126,'Data Vlaue (Cr)'!$C:$FB,99)</f>
        <v>12494</v>
      </c>
      <c r="I126" s="75">
        <f>VLOOKUP($A126,'Data Vlaue (Cr)'!$C:$FB,100)</f>
        <v>11695</v>
      </c>
      <c r="J126" s="75">
        <f t="shared" si="8"/>
        <v>799</v>
      </c>
      <c r="K126" s="75">
        <f t="shared" si="9"/>
        <v>6.3950696334240442</v>
      </c>
      <c r="L126" s="75">
        <f>VLOOKUP($A126,'Data Vlaue (Cr)'!$C:$FB,67)</f>
        <v>8195</v>
      </c>
      <c r="M126" s="75">
        <f>VLOOKUP($A126,'Data Vlaue (Cr)'!$C:$FB,68)</f>
        <v>4425</v>
      </c>
      <c r="N126" s="75">
        <f t="shared" si="10"/>
        <v>3770</v>
      </c>
      <c r="O126" s="75">
        <f t="shared" si="11"/>
        <v>46.003660768761442</v>
      </c>
      <c r="P126" s="75">
        <f>VLOOKUP($A126,'Data Vlaue (Cr)'!$C:$FB,119)</f>
        <v>0.52</v>
      </c>
      <c r="Q126" s="75">
        <f>VLOOKUP($A126,'Data Vlaue (Cr)'!$C:$FB,122)*100</f>
        <v>0</v>
      </c>
      <c r="R126" s="75">
        <f>VLOOKUP($A126,'Data Vlaue (Cr)'!$C:$FB,125)</f>
        <v>0.61</v>
      </c>
      <c r="S126" s="75">
        <f>VLOOKUP($A126,'Data Vlaue (Cr)'!$C:$FB,128)*100</f>
        <v>-4.6899999999999995</v>
      </c>
    </row>
    <row r="127" spans="1:19" x14ac:dyDescent="0.25">
      <c r="A127" s="96" t="str">
        <f>'Data Vlaue (Cr)'!C118</f>
        <v>LTF</v>
      </c>
      <c r="B127" s="75">
        <f>VLOOKUP($A127,'Data Vlaue (Cr)'!$C:$FB,2)</f>
        <v>2250</v>
      </c>
      <c r="C127" s="75">
        <f>VLOOKUP($A127,'Data Vlaue (Cr)'!$C:$FB,8)</f>
        <v>265.5</v>
      </c>
      <c r="D127" s="75">
        <f>VLOOKUP($A127,'Data Vlaue (Cr)'!$C:$FB,4)</f>
        <v>265.45</v>
      </c>
      <c r="E127" s="75">
        <f>VLOOKUP($A127,'Data Vlaue (Cr)'!$C:$FB,5)</f>
        <v>265.55</v>
      </c>
      <c r="F127" s="75">
        <f t="shared" si="6"/>
        <v>-5.0000000000011369E-2</v>
      </c>
      <c r="G127" s="75">
        <f t="shared" si="7"/>
        <v>-3.767187794312403E-2</v>
      </c>
      <c r="H127" s="75">
        <f>VLOOKUP($A127,'Data Vlaue (Cr)'!$C:$FB,99)</f>
        <v>3199</v>
      </c>
      <c r="I127" s="75">
        <f>VLOOKUP($A127,'Data Vlaue (Cr)'!$C:$FB,100)</f>
        <v>3232</v>
      </c>
      <c r="J127" s="75">
        <f t="shared" si="8"/>
        <v>-33</v>
      </c>
      <c r="K127" s="75">
        <f t="shared" si="9"/>
        <v>-1.0315723663644889</v>
      </c>
      <c r="L127" s="75">
        <f>VLOOKUP($A127,'Data Vlaue (Cr)'!$C:$FB,67)</f>
        <v>1133</v>
      </c>
      <c r="M127" s="75">
        <f>VLOOKUP($A127,'Data Vlaue (Cr)'!$C:$FB,68)</f>
        <v>1018</v>
      </c>
      <c r="N127" s="75">
        <f t="shared" si="10"/>
        <v>115</v>
      </c>
      <c r="O127" s="75">
        <f t="shared" si="11"/>
        <v>10.150044130626656</v>
      </c>
      <c r="P127" s="75">
        <f>VLOOKUP($A127,'Data Vlaue (Cr)'!$C:$FB,119)</f>
        <v>0.51</v>
      </c>
      <c r="Q127" s="75">
        <f>VLOOKUP($A127,'Data Vlaue (Cr)'!$C:$FB,122)*100</f>
        <v>2</v>
      </c>
      <c r="R127" s="75">
        <f>VLOOKUP($A127,'Data Vlaue (Cr)'!$C:$FB,125)</f>
        <v>0.35</v>
      </c>
      <c r="S127" s="75">
        <f>VLOOKUP($A127,'Data Vlaue (Cr)'!$C:$FB,128)*100</f>
        <v>12.9</v>
      </c>
    </row>
    <row r="128" spans="1:19" x14ac:dyDescent="0.25">
      <c r="A128" s="96" t="str">
        <f>'Data Vlaue (Cr)'!C119</f>
        <v>LTM</v>
      </c>
      <c r="B128" s="75">
        <f>VLOOKUP($A128,'Data Vlaue (Cr)'!$C:$FB,2)</f>
        <v>150</v>
      </c>
      <c r="C128" s="75">
        <f>VLOOKUP($A128,'Data Vlaue (Cr)'!$C:$FB,8)</f>
        <v>4323.6000000000004</v>
      </c>
      <c r="D128" s="75">
        <f>VLOOKUP($A128,'Data Vlaue (Cr)'!$C:$FB,4)</f>
        <v>4287.6000000000004</v>
      </c>
      <c r="E128" s="75">
        <f>VLOOKUP($A128,'Data Vlaue (Cr)'!$C:$FB,5)</f>
        <v>4239</v>
      </c>
      <c r="F128" s="75">
        <f t="shared" si="6"/>
        <v>-36</v>
      </c>
      <c r="G128" s="75">
        <f t="shared" si="7"/>
        <v>1.1335012594458522</v>
      </c>
      <c r="H128" s="75">
        <f>VLOOKUP($A128,'Data Vlaue (Cr)'!$C:$FB,99)</f>
        <v>2483</v>
      </c>
      <c r="I128" s="75">
        <f>VLOOKUP($A128,'Data Vlaue (Cr)'!$C:$FB,100)</f>
        <v>2439</v>
      </c>
      <c r="J128" s="75">
        <f t="shared" si="8"/>
        <v>44</v>
      </c>
      <c r="K128" s="75">
        <f t="shared" si="9"/>
        <v>1.7720499395892066</v>
      </c>
      <c r="L128" s="75">
        <f>VLOOKUP($A128,'Data Vlaue (Cr)'!$C:$FB,67)</f>
        <v>837</v>
      </c>
      <c r="M128" s="75">
        <f>VLOOKUP($A128,'Data Vlaue (Cr)'!$C:$FB,68)</f>
        <v>699</v>
      </c>
      <c r="N128" s="75">
        <f t="shared" si="10"/>
        <v>138</v>
      </c>
      <c r="O128" s="75">
        <f t="shared" si="11"/>
        <v>16.487455197132618</v>
      </c>
      <c r="P128" s="75">
        <f>VLOOKUP($A128,'Data Vlaue (Cr)'!$C:$FB,119)</f>
        <v>0.66</v>
      </c>
      <c r="Q128" s="75">
        <f>VLOOKUP($A128,'Data Vlaue (Cr)'!$C:$FB,122)*100</f>
        <v>6.45</v>
      </c>
      <c r="R128" s="75">
        <f>VLOOKUP($A128,'Data Vlaue (Cr)'!$C:$FB,125)</f>
        <v>0.41</v>
      </c>
      <c r="S128" s="75">
        <f>VLOOKUP($A128,'Data Vlaue (Cr)'!$C:$FB,128)*100</f>
        <v>0</v>
      </c>
    </row>
    <row r="129" spans="1:19" x14ac:dyDescent="0.25">
      <c r="A129" s="96" t="str">
        <f>'Data Vlaue (Cr)'!C120</f>
        <v>LUPIN</v>
      </c>
      <c r="B129" s="75">
        <f>VLOOKUP($A129,'Data Vlaue (Cr)'!$C:$FB,2)</f>
        <v>425</v>
      </c>
      <c r="C129" s="75">
        <f>VLOOKUP($A129,'Data Vlaue (Cr)'!$C:$FB,8)</f>
        <v>2357.3000000000002</v>
      </c>
      <c r="D129" s="75">
        <f>VLOOKUP($A129,'Data Vlaue (Cr)'!$C:$FB,4)</f>
        <v>2359</v>
      </c>
      <c r="E129" s="75">
        <f>VLOOKUP($A129,'Data Vlaue (Cr)'!$C:$FB,5)</f>
        <v>2348.8000000000002</v>
      </c>
      <c r="F129" s="75">
        <f t="shared" si="6"/>
        <v>1.6999999999998181</v>
      </c>
      <c r="G129" s="75">
        <f t="shared" si="7"/>
        <v>0.4323866044934217</v>
      </c>
      <c r="H129" s="75">
        <f>VLOOKUP($A129,'Data Vlaue (Cr)'!$C:$FB,99)</f>
        <v>3122</v>
      </c>
      <c r="I129" s="75">
        <f>VLOOKUP($A129,'Data Vlaue (Cr)'!$C:$FB,100)</f>
        <v>3043</v>
      </c>
      <c r="J129" s="75">
        <f t="shared" si="8"/>
        <v>79</v>
      </c>
      <c r="K129" s="75">
        <f t="shared" si="9"/>
        <v>2.5304292120435621</v>
      </c>
      <c r="L129" s="75">
        <f>VLOOKUP($A129,'Data Vlaue (Cr)'!$C:$FB,67)</f>
        <v>1885</v>
      </c>
      <c r="M129" s="75">
        <f>VLOOKUP($A129,'Data Vlaue (Cr)'!$C:$FB,68)</f>
        <v>3204</v>
      </c>
      <c r="N129" s="75">
        <f t="shared" si="10"/>
        <v>-1319</v>
      </c>
      <c r="O129" s="75">
        <f t="shared" si="11"/>
        <v>-69.973474801061002</v>
      </c>
      <c r="P129" s="75">
        <f>VLOOKUP($A129,'Data Vlaue (Cr)'!$C:$FB,119)</f>
        <v>0.6</v>
      </c>
      <c r="Q129" s="75">
        <f>VLOOKUP($A129,'Data Vlaue (Cr)'!$C:$FB,122)*100</f>
        <v>5.26</v>
      </c>
      <c r="R129" s="75">
        <f>VLOOKUP($A129,'Data Vlaue (Cr)'!$C:$FB,125)</f>
        <v>0.53</v>
      </c>
      <c r="S129" s="75">
        <f>VLOOKUP($A129,'Data Vlaue (Cr)'!$C:$FB,128)*100</f>
        <v>70.97</v>
      </c>
    </row>
    <row r="130" spans="1:19" x14ac:dyDescent="0.25">
      <c r="A130" s="96" t="str">
        <f>'Data Vlaue (Cr)'!C121</f>
        <v>M&amp;M</v>
      </c>
      <c r="B130" s="75">
        <f>VLOOKUP($A130,'Data Vlaue (Cr)'!$C:$FB,2)</f>
        <v>200</v>
      </c>
      <c r="C130" s="75">
        <f>VLOOKUP($A130,'Data Vlaue (Cr)'!$C:$FB,8)</f>
        <v>3031.2</v>
      </c>
      <c r="D130" s="75">
        <f>VLOOKUP($A130,'Data Vlaue (Cr)'!$C:$FB,4)</f>
        <v>3043.3</v>
      </c>
      <c r="E130" s="75">
        <f>VLOOKUP($A130,'Data Vlaue (Cr)'!$C:$FB,5)</f>
        <v>3174.6</v>
      </c>
      <c r="F130" s="75">
        <f t="shared" si="6"/>
        <v>12.100000000000364</v>
      </c>
      <c r="G130" s="75">
        <f t="shared" si="7"/>
        <v>-4.3143955574540707</v>
      </c>
      <c r="H130" s="75">
        <f>VLOOKUP($A130,'Data Vlaue (Cr)'!$C:$FB,99)</f>
        <v>8806</v>
      </c>
      <c r="I130" s="75">
        <f>VLOOKUP($A130,'Data Vlaue (Cr)'!$C:$FB,100)</f>
        <v>8192</v>
      </c>
      <c r="J130" s="75">
        <f t="shared" si="8"/>
        <v>614</v>
      </c>
      <c r="K130" s="75">
        <f t="shared" si="9"/>
        <v>6.97251873722462</v>
      </c>
      <c r="L130" s="75">
        <f>VLOOKUP($A130,'Data Vlaue (Cr)'!$C:$FB,67)</f>
        <v>7087</v>
      </c>
      <c r="M130" s="75">
        <f>VLOOKUP($A130,'Data Vlaue (Cr)'!$C:$FB,68)</f>
        <v>4404</v>
      </c>
      <c r="N130" s="75">
        <f t="shared" si="10"/>
        <v>2683</v>
      </c>
      <c r="O130" s="75">
        <f t="shared" si="11"/>
        <v>37.858049950613797</v>
      </c>
      <c r="P130" s="75">
        <f>VLOOKUP($A130,'Data Vlaue (Cr)'!$C:$FB,119)</f>
        <v>0.56999999999999995</v>
      </c>
      <c r="Q130" s="75">
        <f>VLOOKUP($A130,'Data Vlaue (Cr)'!$C:$FB,122)*100</f>
        <v>-9.5200000000000014</v>
      </c>
      <c r="R130" s="75">
        <f>VLOOKUP($A130,'Data Vlaue (Cr)'!$C:$FB,125)</f>
        <v>0.82</v>
      </c>
      <c r="S130" s="75">
        <f>VLOOKUP($A130,'Data Vlaue (Cr)'!$C:$FB,128)*100</f>
        <v>-1.2</v>
      </c>
    </row>
    <row r="131" spans="1:19" x14ac:dyDescent="0.25">
      <c r="A131" s="96" t="str">
        <f>'Data Vlaue (Cr)'!C122</f>
        <v>MANAPPURAM</v>
      </c>
      <c r="B131" s="75">
        <f>VLOOKUP($A131,'Data Vlaue (Cr)'!$C:$FB,2)</f>
        <v>3000</v>
      </c>
      <c r="C131" s="75">
        <f>VLOOKUP($A131,'Data Vlaue (Cr)'!$C:$FB,8)</f>
        <v>255.55</v>
      </c>
      <c r="D131" s="75">
        <f>VLOOKUP($A131,'Data Vlaue (Cr)'!$C:$FB,4)</f>
        <v>256.39999999999998</v>
      </c>
      <c r="E131" s="75">
        <f>VLOOKUP($A131,'Data Vlaue (Cr)'!$C:$FB,5)</f>
        <v>258.2</v>
      </c>
      <c r="F131" s="75">
        <f t="shared" si="6"/>
        <v>0.84999999999996589</v>
      </c>
      <c r="G131" s="75">
        <f t="shared" si="7"/>
        <v>-0.70202808112324944</v>
      </c>
      <c r="H131" s="75">
        <f>VLOOKUP($A131,'Data Vlaue (Cr)'!$C:$FB,99)</f>
        <v>2621</v>
      </c>
      <c r="I131" s="75">
        <f>VLOOKUP($A131,'Data Vlaue (Cr)'!$C:$FB,100)</f>
        <v>2539</v>
      </c>
      <c r="J131" s="75">
        <f t="shared" si="8"/>
        <v>82</v>
      </c>
      <c r="K131" s="75">
        <f t="shared" si="9"/>
        <v>3.1285768790537958</v>
      </c>
      <c r="L131" s="75">
        <f>VLOOKUP($A131,'Data Vlaue (Cr)'!$C:$FB,67)</f>
        <v>500</v>
      </c>
      <c r="M131" s="75">
        <f>VLOOKUP($A131,'Data Vlaue (Cr)'!$C:$FB,68)</f>
        <v>707</v>
      </c>
      <c r="N131" s="75">
        <f t="shared" si="10"/>
        <v>-207</v>
      </c>
      <c r="O131" s="75">
        <f t="shared" si="11"/>
        <v>-41.4</v>
      </c>
      <c r="P131" s="75">
        <f>VLOOKUP($A131,'Data Vlaue (Cr)'!$C:$FB,119)</f>
        <v>0.87</v>
      </c>
      <c r="Q131" s="75">
        <f>VLOOKUP($A131,'Data Vlaue (Cr)'!$C:$FB,122)*100</f>
        <v>-2.25</v>
      </c>
      <c r="R131" s="75">
        <f>VLOOKUP($A131,'Data Vlaue (Cr)'!$C:$FB,125)</f>
        <v>0.47</v>
      </c>
      <c r="S131" s="75">
        <f>VLOOKUP($A131,'Data Vlaue (Cr)'!$C:$FB,128)*100</f>
        <v>-20.34</v>
      </c>
    </row>
    <row r="132" spans="1:19" x14ac:dyDescent="0.25">
      <c r="A132" s="96" t="str">
        <f>'Data Vlaue (Cr)'!C123</f>
        <v>MANKIND</v>
      </c>
      <c r="B132" s="75">
        <f>VLOOKUP($A132,'Data Vlaue (Cr)'!$C:$FB,2)</f>
        <v>225</v>
      </c>
      <c r="C132" s="75">
        <f>VLOOKUP($A132,'Data Vlaue (Cr)'!$C:$FB,8)</f>
        <v>2207.9</v>
      </c>
      <c r="D132" s="75">
        <f>VLOOKUP($A132,'Data Vlaue (Cr)'!$C:$FB,4)</f>
        <v>2216.9</v>
      </c>
      <c r="E132" s="75">
        <f>VLOOKUP($A132,'Data Vlaue (Cr)'!$C:$FB,5)</f>
        <v>2243.1999999999998</v>
      </c>
      <c r="F132" s="75">
        <f t="shared" si="6"/>
        <v>9</v>
      </c>
      <c r="G132" s="75">
        <f t="shared" si="7"/>
        <v>-1.1863412873832706</v>
      </c>
      <c r="H132" s="75">
        <f>VLOOKUP($A132,'Data Vlaue (Cr)'!$C:$FB,99)</f>
        <v>976</v>
      </c>
      <c r="I132" s="75">
        <f>VLOOKUP($A132,'Data Vlaue (Cr)'!$C:$FB,100)</f>
        <v>976</v>
      </c>
      <c r="J132" s="75">
        <f t="shared" si="8"/>
        <v>0</v>
      </c>
      <c r="K132" s="75">
        <f t="shared" si="9"/>
        <v>0</v>
      </c>
      <c r="L132" s="75">
        <f>VLOOKUP($A132,'Data Vlaue (Cr)'!$C:$FB,67)</f>
        <v>323</v>
      </c>
      <c r="M132" s="75">
        <f>VLOOKUP($A132,'Data Vlaue (Cr)'!$C:$FB,68)</f>
        <v>483</v>
      </c>
      <c r="N132" s="75">
        <f t="shared" si="10"/>
        <v>-160</v>
      </c>
      <c r="O132" s="75">
        <f t="shared" si="11"/>
        <v>-49.535603715170282</v>
      </c>
      <c r="P132" s="75">
        <f>VLOOKUP($A132,'Data Vlaue (Cr)'!$C:$FB,119)</f>
        <v>0.49</v>
      </c>
      <c r="Q132" s="75">
        <f>VLOOKUP($A132,'Data Vlaue (Cr)'!$C:$FB,122)*100</f>
        <v>-5.7700000000000005</v>
      </c>
      <c r="R132" s="75">
        <f>VLOOKUP($A132,'Data Vlaue (Cr)'!$C:$FB,125)</f>
        <v>0.28000000000000003</v>
      </c>
      <c r="S132" s="75">
        <f>VLOOKUP($A132,'Data Vlaue (Cr)'!$C:$FB,128)*100</f>
        <v>55.559999999999995</v>
      </c>
    </row>
    <row r="133" spans="1:19" x14ac:dyDescent="0.25">
      <c r="A133" s="96" t="str">
        <f>'Data Vlaue (Cr)'!C124</f>
        <v>MARICO</v>
      </c>
      <c r="B133" s="75">
        <f>VLOOKUP($A133,'Data Vlaue (Cr)'!$C:$FB,2)</f>
        <v>1200</v>
      </c>
      <c r="C133" s="75">
        <f>VLOOKUP($A133,'Data Vlaue (Cr)'!$C:$FB,8)</f>
        <v>757.15</v>
      </c>
      <c r="D133" s="75">
        <f>VLOOKUP($A133,'Data Vlaue (Cr)'!$C:$FB,4)</f>
        <v>756</v>
      </c>
      <c r="E133" s="75">
        <f>VLOOKUP($A133,'Data Vlaue (Cr)'!$C:$FB,5)</f>
        <v>764.1</v>
      </c>
      <c r="F133" s="75">
        <f t="shared" si="6"/>
        <v>-1.1499999999999773</v>
      </c>
      <c r="G133" s="75">
        <f t="shared" si="7"/>
        <v>-1.0714285714285743</v>
      </c>
      <c r="H133" s="75">
        <f>VLOOKUP($A133,'Data Vlaue (Cr)'!$C:$FB,99)</f>
        <v>2614</v>
      </c>
      <c r="I133" s="75">
        <f>VLOOKUP($A133,'Data Vlaue (Cr)'!$C:$FB,100)</f>
        <v>2591</v>
      </c>
      <c r="J133" s="75">
        <f t="shared" si="8"/>
        <v>23</v>
      </c>
      <c r="K133" s="75">
        <f t="shared" si="9"/>
        <v>0.87987758224942625</v>
      </c>
      <c r="L133" s="75">
        <f>VLOOKUP($A133,'Data Vlaue (Cr)'!$C:$FB,67)</f>
        <v>3379</v>
      </c>
      <c r="M133" s="75">
        <f>VLOOKUP($A133,'Data Vlaue (Cr)'!$C:$FB,68)</f>
        <v>1098</v>
      </c>
      <c r="N133" s="75">
        <f t="shared" si="10"/>
        <v>2281</v>
      </c>
      <c r="O133" s="75">
        <f t="shared" si="11"/>
        <v>67.505179047055336</v>
      </c>
      <c r="P133" s="75">
        <f>VLOOKUP($A133,'Data Vlaue (Cr)'!$C:$FB,119)</f>
        <v>0.59</v>
      </c>
      <c r="Q133" s="75">
        <f>VLOOKUP($A133,'Data Vlaue (Cr)'!$C:$FB,122)*100</f>
        <v>1.72</v>
      </c>
      <c r="R133" s="75">
        <f>VLOOKUP($A133,'Data Vlaue (Cr)'!$C:$FB,125)</f>
        <v>0.99</v>
      </c>
      <c r="S133" s="75">
        <f>VLOOKUP($A133,'Data Vlaue (Cr)'!$C:$FB,128)*100</f>
        <v>-10.81</v>
      </c>
    </row>
    <row r="134" spans="1:19" x14ac:dyDescent="0.25">
      <c r="A134" s="96" t="str">
        <f>'Data Vlaue (Cr)'!C125</f>
        <v>MARUTI</v>
      </c>
      <c r="B134" s="75">
        <f>VLOOKUP($A134,'Data Vlaue (Cr)'!$C:$FB,2)</f>
        <v>50</v>
      </c>
      <c r="C134" s="75">
        <f>VLOOKUP($A134,'Data Vlaue (Cr)'!$C:$FB,8)</f>
        <v>13011</v>
      </c>
      <c r="D134" s="75">
        <f>VLOOKUP($A134,'Data Vlaue (Cr)'!$C:$FB,4)</f>
        <v>13059</v>
      </c>
      <c r="E134" s="75">
        <f>VLOOKUP($A134,'Data Vlaue (Cr)'!$C:$FB,5)</f>
        <v>13509</v>
      </c>
      <c r="F134" s="75">
        <f t="shared" si="6"/>
        <v>48</v>
      </c>
      <c r="G134" s="75">
        <f t="shared" si="7"/>
        <v>-3.4458993797381119</v>
      </c>
      <c r="H134" s="75">
        <f>VLOOKUP($A134,'Data Vlaue (Cr)'!$C:$FB,99)</f>
        <v>8696</v>
      </c>
      <c r="I134" s="75">
        <f>VLOOKUP($A134,'Data Vlaue (Cr)'!$C:$FB,100)</f>
        <v>8044</v>
      </c>
      <c r="J134" s="75">
        <f t="shared" si="8"/>
        <v>652</v>
      </c>
      <c r="K134" s="75">
        <f t="shared" si="9"/>
        <v>7.4977000919963208</v>
      </c>
      <c r="L134" s="75">
        <f>VLOOKUP($A134,'Data Vlaue (Cr)'!$C:$FB,67)</f>
        <v>9596</v>
      </c>
      <c r="M134" s="75">
        <f>VLOOKUP($A134,'Data Vlaue (Cr)'!$C:$FB,68)</f>
        <v>7067</v>
      </c>
      <c r="N134" s="75">
        <f t="shared" si="10"/>
        <v>2529</v>
      </c>
      <c r="O134" s="75">
        <f t="shared" si="11"/>
        <v>26.354731137974159</v>
      </c>
      <c r="P134" s="75">
        <f>VLOOKUP($A134,'Data Vlaue (Cr)'!$C:$FB,119)</f>
        <v>0.39</v>
      </c>
      <c r="Q134" s="75">
        <f>VLOOKUP($A134,'Data Vlaue (Cr)'!$C:$FB,122)*100</f>
        <v>-7.1400000000000006</v>
      </c>
      <c r="R134" s="75">
        <f>VLOOKUP($A134,'Data Vlaue (Cr)'!$C:$FB,125)</f>
        <v>0.71</v>
      </c>
      <c r="S134" s="75">
        <f>VLOOKUP($A134,'Data Vlaue (Cr)'!$C:$FB,128)*100</f>
        <v>-10.130000000000001</v>
      </c>
    </row>
    <row r="135" spans="1:19" x14ac:dyDescent="0.25">
      <c r="A135" s="96" t="str">
        <f>'Data Vlaue (Cr)'!C126</f>
        <v>MAXHEALTH</v>
      </c>
      <c r="B135" s="75">
        <f>VLOOKUP($A135,'Data Vlaue (Cr)'!$C:$FB,2)</f>
        <v>525</v>
      </c>
      <c r="C135" s="75">
        <f>VLOOKUP($A135,'Data Vlaue (Cr)'!$C:$FB,8)</f>
        <v>1020.4</v>
      </c>
      <c r="D135" s="75">
        <f>VLOOKUP($A135,'Data Vlaue (Cr)'!$C:$FB,4)</f>
        <v>1022.7</v>
      </c>
      <c r="E135" s="75">
        <f>VLOOKUP($A135,'Data Vlaue (Cr)'!$C:$FB,5)</f>
        <v>1033.2</v>
      </c>
      <c r="F135" s="75">
        <f t="shared" si="6"/>
        <v>2.3000000000000682</v>
      </c>
      <c r="G135" s="75">
        <f t="shared" si="7"/>
        <v>-1.0266940451745379</v>
      </c>
      <c r="H135" s="75">
        <f>VLOOKUP($A135,'Data Vlaue (Cr)'!$C:$FB,99)</f>
        <v>1886</v>
      </c>
      <c r="I135" s="75">
        <f>VLOOKUP($A135,'Data Vlaue (Cr)'!$C:$FB,100)</f>
        <v>1881</v>
      </c>
      <c r="J135" s="75">
        <f t="shared" si="8"/>
        <v>5</v>
      </c>
      <c r="K135" s="75">
        <f t="shared" si="9"/>
        <v>0.26511134676564158</v>
      </c>
      <c r="L135" s="75">
        <f>VLOOKUP($A135,'Data Vlaue (Cr)'!$C:$FB,67)</f>
        <v>661</v>
      </c>
      <c r="M135" s="75">
        <f>VLOOKUP($A135,'Data Vlaue (Cr)'!$C:$FB,68)</f>
        <v>671</v>
      </c>
      <c r="N135" s="75">
        <f t="shared" si="10"/>
        <v>-10</v>
      </c>
      <c r="O135" s="75">
        <f t="shared" si="11"/>
        <v>-1.5128593040847202</v>
      </c>
      <c r="P135" s="75">
        <f>VLOOKUP($A135,'Data Vlaue (Cr)'!$C:$FB,119)</f>
        <v>0.86</v>
      </c>
      <c r="Q135" s="75">
        <f>VLOOKUP($A135,'Data Vlaue (Cr)'!$C:$FB,122)*100</f>
        <v>-1.1499999999999999</v>
      </c>
      <c r="R135" s="75">
        <f>VLOOKUP($A135,'Data Vlaue (Cr)'!$C:$FB,125)</f>
        <v>0.73</v>
      </c>
      <c r="S135" s="75">
        <f>VLOOKUP($A135,'Data Vlaue (Cr)'!$C:$FB,128)*100</f>
        <v>-10.979999999999999</v>
      </c>
    </row>
    <row r="136" spans="1:19" x14ac:dyDescent="0.25">
      <c r="A136" s="96" t="str">
        <f>'Data Vlaue (Cr)'!C127</f>
        <v>MAZDOCK</v>
      </c>
      <c r="B136" s="75">
        <f>VLOOKUP($A136,'Data Vlaue (Cr)'!$C:$FB,2)</f>
        <v>200</v>
      </c>
      <c r="C136" s="75">
        <f>VLOOKUP($A136,'Data Vlaue (Cr)'!$C:$FB,8)</f>
        <v>2443.3000000000002</v>
      </c>
      <c r="D136" s="75">
        <f>VLOOKUP($A136,'Data Vlaue (Cr)'!$C:$FB,4)</f>
        <v>2460.1999999999998</v>
      </c>
      <c r="E136" s="75">
        <f>VLOOKUP($A136,'Data Vlaue (Cr)'!$C:$FB,5)</f>
        <v>2437.8000000000002</v>
      </c>
      <c r="F136" s="75">
        <f t="shared" si="6"/>
        <v>16.899999999999636</v>
      </c>
      <c r="G136" s="75">
        <f t="shared" si="7"/>
        <v>0.91049508170065996</v>
      </c>
      <c r="H136" s="75">
        <f>VLOOKUP($A136,'Data Vlaue (Cr)'!$C:$FB,99)</f>
        <v>3091</v>
      </c>
      <c r="I136" s="75">
        <f>VLOOKUP($A136,'Data Vlaue (Cr)'!$C:$FB,100)</f>
        <v>3004</v>
      </c>
      <c r="J136" s="75">
        <f t="shared" si="8"/>
        <v>87</v>
      </c>
      <c r="K136" s="75">
        <f t="shared" si="9"/>
        <v>2.8146230993206083</v>
      </c>
      <c r="L136" s="75">
        <f>VLOOKUP($A136,'Data Vlaue (Cr)'!$C:$FB,67)</f>
        <v>3046</v>
      </c>
      <c r="M136" s="75">
        <f>VLOOKUP($A136,'Data Vlaue (Cr)'!$C:$FB,68)</f>
        <v>3592</v>
      </c>
      <c r="N136" s="75">
        <f t="shared" si="10"/>
        <v>-546</v>
      </c>
      <c r="O136" s="75">
        <f t="shared" si="11"/>
        <v>-17.925147734734079</v>
      </c>
      <c r="P136" s="75">
        <f>VLOOKUP($A136,'Data Vlaue (Cr)'!$C:$FB,119)</f>
        <v>0.61</v>
      </c>
      <c r="Q136" s="75">
        <f>VLOOKUP($A136,'Data Vlaue (Cr)'!$C:$FB,122)*100</f>
        <v>7.02</v>
      </c>
      <c r="R136" s="75">
        <f>VLOOKUP($A136,'Data Vlaue (Cr)'!$C:$FB,125)</f>
        <v>0.43</v>
      </c>
      <c r="S136" s="75">
        <f>VLOOKUP($A136,'Data Vlaue (Cr)'!$C:$FB,128)*100</f>
        <v>19.439999999999998</v>
      </c>
    </row>
    <row r="137" spans="1:19" x14ac:dyDescent="0.25">
      <c r="A137" s="96" t="str">
        <f>'Data Vlaue (Cr)'!C128</f>
        <v>MCX</v>
      </c>
      <c r="B137" s="75">
        <f>VLOOKUP($A137,'Data Vlaue (Cr)'!$C:$FB,2)</f>
        <v>625</v>
      </c>
      <c r="C137" s="75">
        <f>VLOOKUP($A137,'Data Vlaue (Cr)'!$C:$FB,8)</f>
        <v>2526.1</v>
      </c>
      <c r="D137" s="75">
        <f>VLOOKUP($A137,'Data Vlaue (Cr)'!$C:$FB,4)</f>
        <v>2534.6999999999998</v>
      </c>
      <c r="E137" s="75">
        <f>VLOOKUP($A137,'Data Vlaue (Cr)'!$C:$FB,5)</f>
        <v>2537.9</v>
      </c>
      <c r="F137" s="75">
        <f t="shared" si="6"/>
        <v>8.5999999999999091</v>
      </c>
      <c r="G137" s="75">
        <f t="shared" si="7"/>
        <v>-0.12624768217147092</v>
      </c>
      <c r="H137" s="75">
        <f>VLOOKUP($A137,'Data Vlaue (Cr)'!$C:$FB,99)</f>
        <v>6919</v>
      </c>
      <c r="I137" s="75">
        <f>VLOOKUP($A137,'Data Vlaue (Cr)'!$C:$FB,100)</f>
        <v>6919</v>
      </c>
      <c r="J137" s="75">
        <f t="shared" si="8"/>
        <v>0</v>
      </c>
      <c r="K137" s="75">
        <f t="shared" si="9"/>
        <v>0</v>
      </c>
      <c r="L137" s="75">
        <f>VLOOKUP($A137,'Data Vlaue (Cr)'!$C:$FB,67)</f>
        <v>4222</v>
      </c>
      <c r="M137" s="75">
        <f>VLOOKUP($A137,'Data Vlaue (Cr)'!$C:$FB,68)</f>
        <v>4314</v>
      </c>
      <c r="N137" s="75">
        <f t="shared" si="10"/>
        <v>-92</v>
      </c>
      <c r="O137" s="75">
        <f t="shared" si="11"/>
        <v>-2.179062055897679</v>
      </c>
      <c r="P137" s="75">
        <f>VLOOKUP($A137,'Data Vlaue (Cr)'!$C:$FB,119)</f>
        <v>0.73</v>
      </c>
      <c r="Q137" s="75">
        <f>VLOOKUP($A137,'Data Vlaue (Cr)'!$C:$FB,122)*100</f>
        <v>-1.35</v>
      </c>
      <c r="R137" s="75">
        <f>VLOOKUP($A137,'Data Vlaue (Cr)'!$C:$FB,125)</f>
        <v>0.64</v>
      </c>
      <c r="S137" s="75">
        <f>VLOOKUP($A137,'Data Vlaue (Cr)'!$C:$FB,128)*100</f>
        <v>-4.4799999999999995</v>
      </c>
    </row>
    <row r="138" spans="1:19" x14ac:dyDescent="0.25">
      <c r="A138" s="96" t="str">
        <f>'Data Vlaue (Cr)'!C129</f>
        <v>MFSL</v>
      </c>
      <c r="B138" s="75">
        <f>VLOOKUP($A138,'Data Vlaue (Cr)'!$C:$FB,2)</f>
        <v>400</v>
      </c>
      <c r="C138" s="75">
        <f>VLOOKUP($A138,'Data Vlaue (Cr)'!$C:$FB,8)</f>
        <v>1696.2</v>
      </c>
      <c r="D138" s="75">
        <f>VLOOKUP($A138,'Data Vlaue (Cr)'!$C:$FB,4)</f>
        <v>1699.1</v>
      </c>
      <c r="E138" s="75">
        <f>VLOOKUP($A138,'Data Vlaue (Cr)'!$C:$FB,5)</f>
        <v>1730.8</v>
      </c>
      <c r="F138" s="75">
        <f t="shared" si="6"/>
        <v>2.8999999999998636</v>
      </c>
      <c r="G138" s="75">
        <f t="shared" si="7"/>
        <v>-1.8656936024954416</v>
      </c>
      <c r="H138" s="75">
        <f>VLOOKUP($A138,'Data Vlaue (Cr)'!$C:$FB,99)</f>
        <v>1898</v>
      </c>
      <c r="I138" s="75">
        <f>VLOOKUP($A138,'Data Vlaue (Cr)'!$C:$FB,100)</f>
        <v>1875</v>
      </c>
      <c r="J138" s="75">
        <f t="shared" si="8"/>
        <v>23</v>
      </c>
      <c r="K138" s="75">
        <f t="shared" si="9"/>
        <v>1.2118018967334034</v>
      </c>
      <c r="L138" s="75">
        <f>VLOOKUP($A138,'Data Vlaue (Cr)'!$C:$FB,67)</f>
        <v>359</v>
      </c>
      <c r="M138" s="75">
        <f>VLOOKUP($A138,'Data Vlaue (Cr)'!$C:$FB,68)</f>
        <v>405</v>
      </c>
      <c r="N138" s="75">
        <f t="shared" si="10"/>
        <v>-46</v>
      </c>
      <c r="O138" s="75">
        <f t="shared" si="11"/>
        <v>-12.813370473537605</v>
      </c>
      <c r="P138" s="75">
        <f>VLOOKUP($A138,'Data Vlaue (Cr)'!$C:$FB,119)</f>
        <v>0.92</v>
      </c>
      <c r="Q138" s="75">
        <f>VLOOKUP($A138,'Data Vlaue (Cr)'!$C:$FB,122)*100</f>
        <v>8.24</v>
      </c>
      <c r="R138" s="75">
        <f>VLOOKUP($A138,'Data Vlaue (Cr)'!$C:$FB,125)</f>
        <v>0.71</v>
      </c>
      <c r="S138" s="75">
        <f>VLOOKUP($A138,'Data Vlaue (Cr)'!$C:$FB,128)*100</f>
        <v>36.54</v>
      </c>
    </row>
    <row r="139" spans="1:19" x14ac:dyDescent="0.25">
      <c r="A139" s="96" t="str">
        <f>'Data Vlaue (Cr)'!C130</f>
        <v>MIDCPNIFTY</v>
      </c>
      <c r="B139" s="75">
        <f>VLOOKUP($A139,'Data Vlaue (Cr)'!$C:$FB,2)</f>
        <v>120</v>
      </c>
      <c r="C139" s="75">
        <f>VLOOKUP($A139,'Data Vlaue (Cr)'!$C:$FB,8)</f>
        <v>12961.15</v>
      </c>
      <c r="D139" s="75">
        <f>VLOOKUP($A139,'Data Vlaue (Cr)'!$C:$FB,4)</f>
        <v>12962.8</v>
      </c>
      <c r="E139" s="75">
        <f>VLOOKUP($A139,'Data Vlaue (Cr)'!$C:$FB,5)</f>
        <v>12963.2</v>
      </c>
      <c r="F139" s="75">
        <f t="shared" si="6"/>
        <v>1.6499999999996362</v>
      </c>
      <c r="G139" s="75">
        <f t="shared" si="7"/>
        <v>-3.0857530780499217E-3</v>
      </c>
      <c r="H139" s="75">
        <f>VLOOKUP($A139,'Data Vlaue (Cr)'!$C:$FB,99)</f>
        <v>20274</v>
      </c>
      <c r="I139" s="75">
        <f>VLOOKUP($A139,'Data Vlaue (Cr)'!$C:$FB,100)</f>
        <v>19816</v>
      </c>
      <c r="J139" s="75">
        <f t="shared" si="8"/>
        <v>458</v>
      </c>
      <c r="K139" s="75">
        <f t="shared" si="9"/>
        <v>2.2590510012824305</v>
      </c>
      <c r="L139" s="75">
        <f>VLOOKUP($A139,'Data Vlaue (Cr)'!$C:$FB,67)</f>
        <v>33129</v>
      </c>
      <c r="M139" s="75">
        <f>VLOOKUP($A139,'Data Vlaue (Cr)'!$C:$FB,68)</f>
        <v>33057</v>
      </c>
      <c r="N139" s="75">
        <f t="shared" si="10"/>
        <v>72</v>
      </c>
      <c r="O139" s="75">
        <f t="shared" si="11"/>
        <v>0.21733224667209997</v>
      </c>
      <c r="P139" s="75">
        <f>VLOOKUP($A139,'Data Vlaue (Cr)'!$C:$FB,119)</f>
        <v>0.95</v>
      </c>
      <c r="Q139" s="75">
        <f>VLOOKUP($A139,'Data Vlaue (Cr)'!$C:$FB,122)*100</f>
        <v>2.15</v>
      </c>
      <c r="R139" s="75">
        <f>VLOOKUP($A139,'Data Vlaue (Cr)'!$C:$FB,125)</f>
        <v>1.05</v>
      </c>
      <c r="S139" s="75">
        <f>VLOOKUP($A139,'Data Vlaue (Cr)'!$C:$FB,128)*100</f>
        <v>0.96</v>
      </c>
    </row>
    <row r="140" spans="1:19" x14ac:dyDescent="0.25">
      <c r="A140" s="96" t="str">
        <f>'Data Vlaue (Cr)'!C131</f>
        <v>MOTHERSON</v>
      </c>
      <c r="B140" s="75">
        <f>VLOOKUP($A140,'Data Vlaue (Cr)'!$C:$FB,2)</f>
        <v>6150</v>
      </c>
      <c r="C140" s="75">
        <f>VLOOKUP($A140,'Data Vlaue (Cr)'!$C:$FB,8)</f>
        <v>120.17</v>
      </c>
      <c r="D140" s="75">
        <f>VLOOKUP($A140,'Data Vlaue (Cr)'!$C:$FB,4)</f>
        <v>119.63</v>
      </c>
      <c r="E140" s="75">
        <f>VLOOKUP($A140,'Data Vlaue (Cr)'!$C:$FB,5)</f>
        <v>121</v>
      </c>
      <c r="F140" s="75">
        <f t="shared" ref="F140:F176" si="12">D140-C140</f>
        <v>-0.54000000000000625</v>
      </c>
      <c r="G140" s="75">
        <f t="shared" ref="G140:G176" si="13">(D140-E140)/D140*100</f>
        <v>-1.1451976928864036</v>
      </c>
      <c r="H140" s="75">
        <f>VLOOKUP($A140,'Data Vlaue (Cr)'!$C:$FB,99)</f>
        <v>2511</v>
      </c>
      <c r="I140" s="75">
        <f>VLOOKUP($A140,'Data Vlaue (Cr)'!$C:$FB,100)</f>
        <v>2499</v>
      </c>
      <c r="J140" s="75">
        <f t="shared" ref="J140:J176" si="14">H140-I140</f>
        <v>12</v>
      </c>
      <c r="K140" s="75">
        <f t="shared" ref="K140:K176" si="15">J140/H140*100</f>
        <v>0.47789725209080047</v>
      </c>
      <c r="L140" s="75">
        <f>VLOOKUP($A140,'Data Vlaue (Cr)'!$C:$FB,67)</f>
        <v>1212</v>
      </c>
      <c r="M140" s="75">
        <f>VLOOKUP($A140,'Data Vlaue (Cr)'!$C:$FB,68)</f>
        <v>1014</v>
      </c>
      <c r="N140" s="75">
        <f t="shared" ref="N140:N176" si="16">L140-M140</f>
        <v>198</v>
      </c>
      <c r="O140" s="75">
        <f t="shared" ref="O140:O176" si="17">N140/L140*100</f>
        <v>16.336633663366339</v>
      </c>
      <c r="P140" s="75">
        <f>VLOOKUP($A140,'Data Vlaue (Cr)'!$C:$FB,119)</f>
        <v>0.67</v>
      </c>
      <c r="Q140" s="75">
        <f>VLOOKUP($A140,'Data Vlaue (Cr)'!$C:$FB,122)*100</f>
        <v>-6.94</v>
      </c>
      <c r="R140" s="75">
        <f>VLOOKUP($A140,'Data Vlaue (Cr)'!$C:$FB,125)</f>
        <v>0.67</v>
      </c>
      <c r="S140" s="75">
        <f>VLOOKUP($A140,'Data Vlaue (Cr)'!$C:$FB,128)*100</f>
        <v>26.419999999999998</v>
      </c>
    </row>
    <row r="141" spans="1:19" x14ac:dyDescent="0.25">
      <c r="A141" s="96" t="str">
        <f>'Data Vlaue (Cr)'!C132</f>
        <v>MPHASIS</v>
      </c>
      <c r="B141" s="75">
        <f>VLOOKUP($A141,'Data Vlaue (Cr)'!$C:$FB,2)</f>
        <v>275</v>
      </c>
      <c r="C141" s="75">
        <f>VLOOKUP($A141,'Data Vlaue (Cr)'!$C:$FB,8)</f>
        <v>2185.1999999999998</v>
      </c>
      <c r="D141" s="75">
        <f>VLOOKUP($A141,'Data Vlaue (Cr)'!$C:$FB,4)</f>
        <v>2194</v>
      </c>
      <c r="E141" s="75">
        <f>VLOOKUP($A141,'Data Vlaue (Cr)'!$C:$FB,5)</f>
        <v>2186.6999999999998</v>
      </c>
      <c r="F141" s="75">
        <f t="shared" si="12"/>
        <v>8.8000000000001819</v>
      </c>
      <c r="G141" s="75">
        <f t="shared" si="13"/>
        <v>0.3327256153145024</v>
      </c>
      <c r="H141" s="75">
        <f>VLOOKUP($A141,'Data Vlaue (Cr)'!$C:$FB,99)</f>
        <v>1698</v>
      </c>
      <c r="I141" s="75">
        <f>VLOOKUP($A141,'Data Vlaue (Cr)'!$C:$FB,100)</f>
        <v>1673</v>
      </c>
      <c r="J141" s="75">
        <f t="shared" si="14"/>
        <v>25</v>
      </c>
      <c r="K141" s="75">
        <f t="shared" si="15"/>
        <v>1.4723203769140165</v>
      </c>
      <c r="L141" s="75">
        <f>VLOOKUP($A141,'Data Vlaue (Cr)'!$C:$FB,67)</f>
        <v>545</v>
      </c>
      <c r="M141" s="75">
        <f>VLOOKUP($A141,'Data Vlaue (Cr)'!$C:$FB,68)</f>
        <v>345</v>
      </c>
      <c r="N141" s="75">
        <f t="shared" si="16"/>
        <v>200</v>
      </c>
      <c r="O141" s="75">
        <f t="shared" si="17"/>
        <v>36.697247706422019</v>
      </c>
      <c r="P141" s="75">
        <f>VLOOKUP($A141,'Data Vlaue (Cr)'!$C:$FB,119)</f>
        <v>0.55000000000000004</v>
      </c>
      <c r="Q141" s="75">
        <f>VLOOKUP($A141,'Data Vlaue (Cr)'!$C:$FB,122)*100</f>
        <v>-12.7</v>
      </c>
      <c r="R141" s="75">
        <f>VLOOKUP($A141,'Data Vlaue (Cr)'!$C:$FB,125)</f>
        <v>0.55000000000000004</v>
      </c>
      <c r="S141" s="75">
        <f>VLOOKUP($A141,'Data Vlaue (Cr)'!$C:$FB,128)*100</f>
        <v>-42.71</v>
      </c>
    </row>
    <row r="142" spans="1:19" x14ac:dyDescent="0.25">
      <c r="A142" s="96" t="str">
        <f>'Data Vlaue (Cr)'!C133</f>
        <v>MUTHOOTFIN</v>
      </c>
      <c r="B142" s="75">
        <f>VLOOKUP($A142,'Data Vlaue (Cr)'!$C:$FB,2)</f>
        <v>275</v>
      </c>
      <c r="C142" s="75">
        <f>VLOOKUP($A142,'Data Vlaue (Cr)'!$C:$FB,8)</f>
        <v>3244</v>
      </c>
      <c r="D142" s="75">
        <f>VLOOKUP($A142,'Data Vlaue (Cr)'!$C:$FB,4)</f>
        <v>3255.7</v>
      </c>
      <c r="E142" s="75">
        <f>VLOOKUP($A142,'Data Vlaue (Cr)'!$C:$FB,5)</f>
        <v>3171.1</v>
      </c>
      <c r="F142" s="75">
        <f t="shared" si="12"/>
        <v>11.699999999999818</v>
      </c>
      <c r="G142" s="75">
        <f t="shared" si="13"/>
        <v>2.598519519611755</v>
      </c>
      <c r="H142" s="75">
        <f>VLOOKUP($A142,'Data Vlaue (Cr)'!$C:$FB,99)</f>
        <v>3183</v>
      </c>
      <c r="I142" s="75">
        <f>VLOOKUP($A142,'Data Vlaue (Cr)'!$C:$FB,100)</f>
        <v>3206</v>
      </c>
      <c r="J142" s="75">
        <f t="shared" si="14"/>
        <v>-23</v>
      </c>
      <c r="K142" s="75">
        <f t="shared" si="15"/>
        <v>-0.72258875274897894</v>
      </c>
      <c r="L142" s="75">
        <f>VLOOKUP($A142,'Data Vlaue (Cr)'!$C:$FB,67)</f>
        <v>2081</v>
      </c>
      <c r="M142" s="75">
        <f>VLOOKUP($A142,'Data Vlaue (Cr)'!$C:$FB,68)</f>
        <v>2018</v>
      </c>
      <c r="N142" s="75">
        <f t="shared" si="16"/>
        <v>63</v>
      </c>
      <c r="O142" s="75">
        <f t="shared" si="17"/>
        <v>3.0273906775588659</v>
      </c>
      <c r="P142" s="75">
        <f>VLOOKUP($A142,'Data Vlaue (Cr)'!$C:$FB,119)</f>
        <v>0.43</v>
      </c>
      <c r="Q142" s="75">
        <f>VLOOKUP($A142,'Data Vlaue (Cr)'!$C:$FB,122)*100</f>
        <v>4.88</v>
      </c>
      <c r="R142" s="75">
        <f>VLOOKUP($A142,'Data Vlaue (Cr)'!$C:$FB,125)</f>
        <v>0.41</v>
      </c>
      <c r="S142" s="75">
        <f>VLOOKUP($A142,'Data Vlaue (Cr)'!$C:$FB,128)*100</f>
        <v>-26.790000000000003</v>
      </c>
    </row>
    <row r="143" spans="1:19" x14ac:dyDescent="0.25">
      <c r="A143" s="96" t="str">
        <f>'Data Vlaue (Cr)'!C134</f>
        <v>NATIONALUM</v>
      </c>
      <c r="B143" s="75">
        <f>VLOOKUP($A143,'Data Vlaue (Cr)'!$C:$FB,2)</f>
        <v>3750</v>
      </c>
      <c r="C143" s="75">
        <f>VLOOKUP($A143,'Data Vlaue (Cr)'!$C:$FB,8)</f>
        <v>409.15</v>
      </c>
      <c r="D143" s="75">
        <f>VLOOKUP($A143,'Data Vlaue (Cr)'!$C:$FB,4)</f>
        <v>409.35</v>
      </c>
      <c r="E143" s="75">
        <f>VLOOKUP($A143,'Data Vlaue (Cr)'!$C:$FB,5)</f>
        <v>398.25</v>
      </c>
      <c r="F143" s="75">
        <f t="shared" si="12"/>
        <v>0.20000000000004547</v>
      </c>
      <c r="G143" s="75">
        <f t="shared" si="13"/>
        <v>2.7116159765481913</v>
      </c>
      <c r="H143" s="75">
        <f>VLOOKUP($A143,'Data Vlaue (Cr)'!$C:$FB,99)</f>
        <v>5368</v>
      </c>
      <c r="I143" s="75">
        <f>VLOOKUP($A143,'Data Vlaue (Cr)'!$C:$FB,100)</f>
        <v>5304</v>
      </c>
      <c r="J143" s="75">
        <f t="shared" si="14"/>
        <v>64</v>
      </c>
      <c r="K143" s="75"/>
      <c r="L143" s="75">
        <f>VLOOKUP($A143,'Data Vlaue (Cr)'!$C:$FB,67)</f>
        <v>6900</v>
      </c>
      <c r="M143" s="75">
        <f>VLOOKUP($A143,'Data Vlaue (Cr)'!$C:$FB,68)</f>
        <v>6484</v>
      </c>
      <c r="N143" s="75">
        <f t="shared" si="16"/>
        <v>416</v>
      </c>
      <c r="O143" s="75">
        <f t="shared" si="17"/>
        <v>6.0289855072463769</v>
      </c>
      <c r="P143" s="75">
        <f>VLOOKUP($A143,'Data Vlaue (Cr)'!$C:$FB,119)</f>
        <v>0.88</v>
      </c>
      <c r="Q143" s="75">
        <f>VLOOKUP($A143,'Data Vlaue (Cr)'!$C:$FB,122)*100</f>
        <v>10</v>
      </c>
      <c r="R143" s="75">
        <f>VLOOKUP($A143,'Data Vlaue (Cr)'!$C:$FB,125)</f>
        <v>0.47</v>
      </c>
      <c r="S143" s="75">
        <f>VLOOKUP($A143,'Data Vlaue (Cr)'!$C:$FB,128)*100</f>
        <v>6.8199999999999994</v>
      </c>
    </row>
    <row r="144" spans="1:19" x14ac:dyDescent="0.25">
      <c r="A144" s="96" t="str">
        <f>'Data Vlaue (Cr)'!C135</f>
        <v>NAUKRI</v>
      </c>
      <c r="B144" s="75">
        <f>VLOOKUP($A144,'Data Vlaue (Cr)'!$C:$FB,2)</f>
        <v>375</v>
      </c>
      <c r="C144" s="75">
        <f>VLOOKUP($A144,'Data Vlaue (Cr)'!$C:$FB,8)</f>
        <v>955.4</v>
      </c>
      <c r="D144" s="75">
        <f>VLOOKUP($A144,'Data Vlaue (Cr)'!$C:$FB,4)</f>
        <v>956.9</v>
      </c>
      <c r="E144" s="75">
        <f>VLOOKUP($A144,'Data Vlaue (Cr)'!$C:$FB,5)</f>
        <v>958.1</v>
      </c>
      <c r="F144" s="75">
        <f t="shared" si="12"/>
        <v>1.5</v>
      </c>
      <c r="G144" s="75">
        <f t="shared" si="13"/>
        <v>-0.12540495349566783</v>
      </c>
      <c r="H144" s="75">
        <f>VLOOKUP($A144,'Data Vlaue (Cr)'!$C:$FB,99)</f>
        <v>1617</v>
      </c>
      <c r="I144" s="75">
        <f>VLOOKUP($A144,'Data Vlaue (Cr)'!$C:$FB,100)</f>
        <v>1594</v>
      </c>
      <c r="J144" s="75">
        <f t="shared" si="14"/>
        <v>23</v>
      </c>
      <c r="K144" s="75">
        <f t="shared" si="15"/>
        <v>1.4223871366728509</v>
      </c>
      <c r="L144" s="75">
        <f>VLOOKUP($A144,'Data Vlaue (Cr)'!$C:$FB,67)</f>
        <v>486</v>
      </c>
      <c r="M144" s="75">
        <f>VLOOKUP($A144,'Data Vlaue (Cr)'!$C:$FB,68)</f>
        <v>467</v>
      </c>
      <c r="N144" s="75">
        <f t="shared" si="16"/>
        <v>19</v>
      </c>
      <c r="O144" s="75">
        <f t="shared" si="17"/>
        <v>3.9094650205761319</v>
      </c>
      <c r="P144" s="75">
        <f>VLOOKUP($A144,'Data Vlaue (Cr)'!$C:$FB,119)</f>
        <v>0.48</v>
      </c>
      <c r="Q144" s="75">
        <f>VLOOKUP($A144,'Data Vlaue (Cr)'!$C:$FB,122)*100</f>
        <v>-4</v>
      </c>
      <c r="R144" s="75">
        <f>VLOOKUP($A144,'Data Vlaue (Cr)'!$C:$FB,125)</f>
        <v>0.37</v>
      </c>
      <c r="S144" s="75">
        <f>VLOOKUP($A144,'Data Vlaue (Cr)'!$C:$FB,128)*100</f>
        <v>-35.089999999999996</v>
      </c>
    </row>
    <row r="145" spans="1:19" x14ac:dyDescent="0.25">
      <c r="A145" s="96" t="str">
        <f>'Data Vlaue (Cr)'!C136</f>
        <v>NBCC</v>
      </c>
      <c r="B145" s="75">
        <f>VLOOKUP($A145,'Data Vlaue (Cr)'!$C:$FB,2)</f>
        <v>6500</v>
      </c>
      <c r="C145" s="75">
        <f>VLOOKUP($A145,'Data Vlaue (Cr)'!$C:$FB,8)</f>
        <v>86.58</v>
      </c>
      <c r="D145" s="75">
        <f>VLOOKUP($A145,'Data Vlaue (Cr)'!$C:$FB,4)</f>
        <v>86.79</v>
      </c>
      <c r="E145" s="75">
        <f>VLOOKUP($A145,'Data Vlaue (Cr)'!$C:$FB,5)</f>
        <v>86.44</v>
      </c>
      <c r="F145" s="75">
        <f t="shared" si="12"/>
        <v>0.21000000000000796</v>
      </c>
      <c r="G145" s="75">
        <f t="shared" si="13"/>
        <v>0.40327226639014691</v>
      </c>
      <c r="H145" s="75">
        <f>VLOOKUP($A145,'Data Vlaue (Cr)'!$C:$FB,99)</f>
        <v>1229</v>
      </c>
      <c r="I145" s="75">
        <f>VLOOKUP($A145,'Data Vlaue (Cr)'!$C:$FB,100)</f>
        <v>1215</v>
      </c>
      <c r="J145" s="75">
        <f t="shared" si="14"/>
        <v>14</v>
      </c>
      <c r="K145" s="75">
        <f t="shared" si="15"/>
        <v>1.1391375101708707</v>
      </c>
      <c r="L145" s="75">
        <f>VLOOKUP($A145,'Data Vlaue (Cr)'!$C:$FB,67)</f>
        <v>264</v>
      </c>
      <c r="M145" s="75">
        <f>VLOOKUP($A145,'Data Vlaue (Cr)'!$C:$FB,68)</f>
        <v>218</v>
      </c>
      <c r="N145" s="75">
        <f t="shared" si="16"/>
        <v>46</v>
      </c>
      <c r="O145" s="75">
        <f t="shared" si="17"/>
        <v>17.424242424242426</v>
      </c>
      <c r="P145" s="75">
        <f>VLOOKUP($A145,'Data Vlaue (Cr)'!$C:$FB,119)</f>
        <v>0.65</v>
      </c>
      <c r="Q145" s="75">
        <f>VLOOKUP($A145,'Data Vlaue (Cr)'!$C:$FB,122)*100</f>
        <v>0</v>
      </c>
      <c r="R145" s="75">
        <f>VLOOKUP($A145,'Data Vlaue (Cr)'!$C:$FB,125)</f>
        <v>0.52</v>
      </c>
      <c r="S145" s="75">
        <f>VLOOKUP($A145,'Data Vlaue (Cr)'!$C:$FB,128)*100</f>
        <v>-11.86</v>
      </c>
    </row>
    <row r="146" spans="1:19" x14ac:dyDescent="0.25">
      <c r="A146" s="96" t="str">
        <f>'Data Vlaue (Cr)'!C137</f>
        <v>NESTLEIND</v>
      </c>
      <c r="B146" s="75">
        <f>VLOOKUP($A146,'Data Vlaue (Cr)'!$C:$FB,2)</f>
        <v>500</v>
      </c>
      <c r="C146" s="75">
        <f>VLOOKUP($A146,'Data Vlaue (Cr)'!$C:$FB,8)</f>
        <v>1220.8</v>
      </c>
      <c r="D146" s="75">
        <f>VLOOKUP($A146,'Data Vlaue (Cr)'!$C:$FB,4)</f>
        <v>1223.0999999999999</v>
      </c>
      <c r="E146" s="75">
        <f>VLOOKUP($A146,'Data Vlaue (Cr)'!$C:$FB,5)</f>
        <v>1234</v>
      </c>
      <c r="F146" s="75">
        <f t="shared" si="12"/>
        <v>2.2999999999999545</v>
      </c>
      <c r="G146" s="75">
        <f t="shared" si="13"/>
        <v>-0.89117815387131805</v>
      </c>
      <c r="H146" s="75">
        <f>VLOOKUP($A146,'Data Vlaue (Cr)'!$C:$FB,99)</f>
        <v>2675</v>
      </c>
      <c r="I146" s="75">
        <f>VLOOKUP($A146,'Data Vlaue (Cr)'!$C:$FB,100)</f>
        <v>2669</v>
      </c>
      <c r="J146" s="75">
        <f t="shared" si="14"/>
        <v>6</v>
      </c>
      <c r="K146" s="75">
        <f t="shared" si="15"/>
        <v>0.22429906542056074</v>
      </c>
      <c r="L146" s="75">
        <f>VLOOKUP($A146,'Data Vlaue (Cr)'!$C:$FB,67)</f>
        <v>551</v>
      </c>
      <c r="M146" s="75">
        <f>VLOOKUP($A146,'Data Vlaue (Cr)'!$C:$FB,68)</f>
        <v>501</v>
      </c>
      <c r="N146" s="75">
        <f t="shared" si="16"/>
        <v>50</v>
      </c>
      <c r="O146" s="75">
        <f t="shared" si="17"/>
        <v>9.0744101633393832</v>
      </c>
      <c r="P146" s="75">
        <f>VLOOKUP($A146,'Data Vlaue (Cr)'!$C:$FB,119)</f>
        <v>0.47</v>
      </c>
      <c r="Q146" s="75">
        <f>VLOOKUP($A146,'Data Vlaue (Cr)'!$C:$FB,122)*100</f>
        <v>9.3000000000000007</v>
      </c>
      <c r="R146" s="75">
        <f>VLOOKUP($A146,'Data Vlaue (Cr)'!$C:$FB,125)</f>
        <v>0.79</v>
      </c>
      <c r="S146" s="75">
        <f>VLOOKUP($A146,'Data Vlaue (Cr)'!$C:$FB,128)*100</f>
        <v>17.91</v>
      </c>
    </row>
    <row r="147" spans="1:19" x14ac:dyDescent="0.25">
      <c r="A147" s="96" t="str">
        <f>'Data Vlaue (Cr)'!C138</f>
        <v>NHPC</v>
      </c>
      <c r="B147" s="75">
        <f>VLOOKUP($A147,'Data Vlaue (Cr)'!$C:$FB,2)</f>
        <v>6400</v>
      </c>
      <c r="C147" s="75">
        <f>VLOOKUP($A147,'Data Vlaue (Cr)'!$C:$FB,8)</f>
        <v>74.78</v>
      </c>
      <c r="D147" s="75">
        <f>VLOOKUP($A147,'Data Vlaue (Cr)'!$C:$FB,4)</f>
        <v>75.010000000000005</v>
      </c>
      <c r="E147" s="75">
        <f>VLOOKUP($A147,'Data Vlaue (Cr)'!$C:$FB,5)</f>
        <v>73.680000000000007</v>
      </c>
      <c r="F147" s="75">
        <f t="shared" si="12"/>
        <v>0.23000000000000398</v>
      </c>
      <c r="G147" s="75">
        <f t="shared" si="13"/>
        <v>1.7730969204106095</v>
      </c>
      <c r="H147" s="75">
        <f>VLOOKUP($A147,'Data Vlaue (Cr)'!$C:$FB,99)</f>
        <v>1016</v>
      </c>
      <c r="I147" s="75">
        <f>VLOOKUP($A147,'Data Vlaue (Cr)'!$C:$FB,100)</f>
        <v>1045</v>
      </c>
      <c r="J147" s="75">
        <f t="shared" si="14"/>
        <v>-29</v>
      </c>
      <c r="K147" s="75">
        <f t="shared" si="15"/>
        <v>-2.8543307086614176</v>
      </c>
      <c r="L147" s="75">
        <f>VLOOKUP($A147,'Data Vlaue (Cr)'!$C:$FB,67)</f>
        <v>840</v>
      </c>
      <c r="M147" s="75">
        <f>VLOOKUP($A147,'Data Vlaue (Cr)'!$C:$FB,68)</f>
        <v>551</v>
      </c>
      <c r="N147" s="75">
        <f t="shared" si="16"/>
        <v>289</v>
      </c>
      <c r="O147" s="75">
        <f t="shared" si="17"/>
        <v>34.404761904761905</v>
      </c>
      <c r="P147" s="75">
        <f>VLOOKUP($A147,'Data Vlaue (Cr)'!$C:$FB,119)</f>
        <v>0.54</v>
      </c>
      <c r="Q147" s="75">
        <f>VLOOKUP($A147,'Data Vlaue (Cr)'!$C:$FB,122)*100</f>
        <v>8</v>
      </c>
      <c r="R147" s="75">
        <f>VLOOKUP($A147,'Data Vlaue (Cr)'!$C:$FB,125)</f>
        <v>0.31</v>
      </c>
      <c r="S147" s="75">
        <f>VLOOKUP($A147,'Data Vlaue (Cr)'!$C:$FB,128)*100</f>
        <v>-13.889999999999999</v>
      </c>
    </row>
    <row r="148" spans="1:19" x14ac:dyDescent="0.25">
      <c r="A148" s="96" t="str">
        <f>'Data Vlaue (Cr)'!C139</f>
        <v>NIFTY</v>
      </c>
      <c r="B148" s="75">
        <f>VLOOKUP($A148,'Data Vlaue (Cr)'!$C:$FB,2)</f>
        <v>65</v>
      </c>
      <c r="C148" s="75">
        <f>VLOOKUP($A148,'Data Vlaue (Cr)'!$C:$FB,8)</f>
        <v>23639.15</v>
      </c>
      <c r="D148" s="75">
        <f>VLOOKUP($A148,'Data Vlaue (Cr)'!$C:$FB,4)</f>
        <v>23728.5</v>
      </c>
      <c r="E148" s="75">
        <f>VLOOKUP($A148,'Data Vlaue (Cr)'!$C:$FB,5)</f>
        <v>23939.1</v>
      </c>
      <c r="F148" s="75">
        <f t="shared" si="12"/>
        <v>89.349999999998545</v>
      </c>
      <c r="G148" s="75">
        <f t="shared" si="13"/>
        <v>-0.88754029963966763</v>
      </c>
      <c r="H148" s="75">
        <f>VLOOKUP($A148,'Data Vlaue (Cr)'!$C:$FB,99)</f>
        <v>1113725</v>
      </c>
      <c r="I148" s="75">
        <f>VLOOKUP($A148,'Data Vlaue (Cr)'!$C:$FB,100)</f>
        <v>1021930</v>
      </c>
      <c r="J148" s="75">
        <f t="shared" si="14"/>
        <v>91795</v>
      </c>
      <c r="K148" s="75">
        <f t="shared" si="15"/>
        <v>8.2421603178522531</v>
      </c>
      <c r="L148" s="75">
        <f>VLOOKUP($A148,'Data Vlaue (Cr)'!$C:$FB,67)</f>
        <v>7597522</v>
      </c>
      <c r="M148" s="75">
        <f>VLOOKUP($A148,'Data Vlaue (Cr)'!$C:$FB,68)</f>
        <v>7601174</v>
      </c>
      <c r="N148" s="75">
        <f t="shared" si="16"/>
        <v>-3652</v>
      </c>
      <c r="O148" s="75">
        <f t="shared" si="17"/>
        <v>-4.8068304376084732E-2</v>
      </c>
      <c r="P148" s="75">
        <f>VLOOKUP($A148,'Data Vlaue (Cr)'!$C:$FB,119)</f>
        <v>0.86</v>
      </c>
      <c r="Q148" s="75">
        <f>VLOOKUP($A148,'Data Vlaue (Cr)'!$C:$FB,122)*100</f>
        <v>3.61</v>
      </c>
      <c r="R148" s="75">
        <f>VLOOKUP($A148,'Data Vlaue (Cr)'!$C:$FB,125)</f>
        <v>0.84</v>
      </c>
      <c r="S148" s="75">
        <f>VLOOKUP($A148,'Data Vlaue (Cr)'!$C:$FB,128)*100</f>
        <v>-25.66</v>
      </c>
    </row>
    <row r="149" spans="1:19" x14ac:dyDescent="0.25">
      <c r="A149" s="96" t="str">
        <f>'Data Vlaue (Cr)'!C140</f>
        <v>NIFTYNXT50</v>
      </c>
      <c r="B149" s="75">
        <f>VLOOKUP($A149,'Data Vlaue (Cr)'!$C:$FB,2)</f>
        <v>25</v>
      </c>
      <c r="C149" s="75">
        <f>VLOOKUP($A149,'Data Vlaue (Cr)'!$C:$FB,8)</f>
        <v>66424.55</v>
      </c>
      <c r="D149" s="75">
        <f>VLOOKUP($A149,'Data Vlaue (Cr)'!$C:$FB,4)</f>
        <v>66510.2</v>
      </c>
      <c r="E149" s="75">
        <f>VLOOKUP($A149,'Data Vlaue (Cr)'!$C:$FB,5)</f>
        <v>66507.8</v>
      </c>
      <c r="F149" s="75">
        <f t="shared" si="12"/>
        <v>85.649999999994179</v>
      </c>
      <c r="G149" s="75">
        <f t="shared" si="13"/>
        <v>3.6084690769147879E-3</v>
      </c>
      <c r="H149" s="75">
        <f>VLOOKUP($A149,'Data Vlaue (Cr)'!$C:$FB,99)</f>
        <v>233</v>
      </c>
      <c r="I149" s="75">
        <f>VLOOKUP($A149,'Data Vlaue (Cr)'!$C:$FB,100)</f>
        <v>222</v>
      </c>
      <c r="J149" s="75">
        <f t="shared" si="14"/>
        <v>11</v>
      </c>
      <c r="K149" s="75">
        <f t="shared" si="15"/>
        <v>4.7210300429184553</v>
      </c>
      <c r="L149" s="75">
        <f>VLOOKUP($A149,'Data Vlaue (Cr)'!$C:$FB,67)</f>
        <v>89</v>
      </c>
      <c r="M149" s="75">
        <f>VLOOKUP($A149,'Data Vlaue (Cr)'!$C:$FB,68)</f>
        <v>164</v>
      </c>
      <c r="N149" s="75">
        <f t="shared" si="16"/>
        <v>-75</v>
      </c>
      <c r="O149" s="75">
        <f t="shared" si="17"/>
        <v>-84.269662921348313</v>
      </c>
      <c r="P149" s="75">
        <f>VLOOKUP($A149,'Data Vlaue (Cr)'!$C:$FB,119)</f>
        <v>0.42</v>
      </c>
      <c r="Q149" s="75">
        <f>VLOOKUP($A149,'Data Vlaue (Cr)'!$C:$FB,122)*100</f>
        <v>0</v>
      </c>
      <c r="R149" s="75">
        <f>VLOOKUP($A149,'Data Vlaue (Cr)'!$C:$FB,125)</f>
        <v>0.55000000000000004</v>
      </c>
      <c r="S149" s="75">
        <f>VLOOKUP($A149,'Data Vlaue (Cr)'!$C:$FB,128)*100</f>
        <v>-9.84</v>
      </c>
    </row>
    <row r="150" spans="1:19" x14ac:dyDescent="0.25">
      <c r="A150" s="96" t="str">
        <f>'Data Vlaue (Cr)'!C141</f>
        <v>NMDC</v>
      </c>
      <c r="B150" s="75">
        <f>VLOOKUP($A150,'Data Vlaue (Cr)'!$C:$FB,2)</f>
        <v>6750</v>
      </c>
      <c r="C150" s="75">
        <f>VLOOKUP($A150,'Data Vlaue (Cr)'!$C:$FB,8)</f>
        <v>80.87</v>
      </c>
      <c r="D150" s="75">
        <f>VLOOKUP($A150,'Data Vlaue (Cr)'!$C:$FB,4)</f>
        <v>81.2</v>
      </c>
      <c r="E150" s="75">
        <f>VLOOKUP($A150,'Data Vlaue (Cr)'!$C:$FB,5)</f>
        <v>79.83</v>
      </c>
      <c r="F150" s="75">
        <f t="shared" si="12"/>
        <v>0.32999999999999829</v>
      </c>
      <c r="G150" s="75">
        <f t="shared" si="13"/>
        <v>1.6871921182266065</v>
      </c>
      <c r="H150" s="75">
        <f>VLOOKUP($A150,'Data Vlaue (Cr)'!$C:$FB,99)</f>
        <v>3839</v>
      </c>
      <c r="I150" s="75">
        <f>VLOOKUP($A150,'Data Vlaue (Cr)'!$C:$FB,100)</f>
        <v>3821</v>
      </c>
      <c r="J150" s="75">
        <f t="shared" si="14"/>
        <v>18</v>
      </c>
      <c r="K150" s="75">
        <f t="shared" si="15"/>
        <v>0.46887210210992447</v>
      </c>
      <c r="L150" s="75">
        <f>VLOOKUP($A150,'Data Vlaue (Cr)'!$C:$FB,67)</f>
        <v>1020</v>
      </c>
      <c r="M150" s="75">
        <f>VLOOKUP($A150,'Data Vlaue (Cr)'!$C:$FB,68)</f>
        <v>739</v>
      </c>
      <c r="N150" s="75">
        <f t="shared" si="16"/>
        <v>281</v>
      </c>
      <c r="O150" s="75">
        <f t="shared" si="17"/>
        <v>27.549019607843139</v>
      </c>
      <c r="P150" s="75">
        <f>VLOOKUP($A150,'Data Vlaue (Cr)'!$C:$FB,119)</f>
        <v>0.56000000000000005</v>
      </c>
      <c r="Q150" s="75">
        <f>VLOOKUP($A150,'Data Vlaue (Cr)'!$C:$FB,122)*100</f>
        <v>-1.7500000000000002</v>
      </c>
      <c r="R150" s="75">
        <f>VLOOKUP($A150,'Data Vlaue (Cr)'!$C:$FB,125)</f>
        <v>0.35</v>
      </c>
      <c r="S150" s="75">
        <f>VLOOKUP($A150,'Data Vlaue (Cr)'!$C:$FB,128)*100</f>
        <v>-10.26</v>
      </c>
    </row>
    <row r="151" spans="1:19" x14ac:dyDescent="0.25">
      <c r="A151" s="96" t="str">
        <f>'Data Vlaue (Cr)'!C142</f>
        <v>NTPC</v>
      </c>
      <c r="B151" s="75">
        <f>VLOOKUP($A151,'Data Vlaue (Cr)'!$C:$FB,2)</f>
        <v>1500</v>
      </c>
      <c r="C151" s="75">
        <f>VLOOKUP($A151,'Data Vlaue (Cr)'!$C:$FB,8)</f>
        <v>390.55</v>
      </c>
      <c r="D151" s="75">
        <f>VLOOKUP($A151,'Data Vlaue (Cr)'!$C:$FB,4)</f>
        <v>390.9</v>
      </c>
      <c r="E151" s="75">
        <f>VLOOKUP($A151,'Data Vlaue (Cr)'!$C:$FB,5)</f>
        <v>380.25</v>
      </c>
      <c r="F151" s="75">
        <f t="shared" si="12"/>
        <v>0.34999999999996589</v>
      </c>
      <c r="G151" s="75">
        <f t="shared" si="13"/>
        <v>2.7244819646968477</v>
      </c>
      <c r="H151" s="75">
        <f>VLOOKUP($A151,'Data Vlaue (Cr)'!$C:$FB,99)</f>
        <v>8925</v>
      </c>
      <c r="I151" s="75">
        <f>VLOOKUP($A151,'Data Vlaue (Cr)'!$C:$FB,100)</f>
        <v>7743</v>
      </c>
      <c r="J151" s="75">
        <f t="shared" si="14"/>
        <v>1182</v>
      </c>
      <c r="K151" s="75">
        <f t="shared" si="15"/>
        <v>13.243697478991598</v>
      </c>
      <c r="L151" s="75">
        <f>VLOOKUP($A151,'Data Vlaue (Cr)'!$C:$FB,67)</f>
        <v>13468</v>
      </c>
      <c r="M151" s="75">
        <f>VLOOKUP($A151,'Data Vlaue (Cr)'!$C:$FB,68)</f>
        <v>4136</v>
      </c>
      <c r="N151" s="75">
        <f t="shared" si="16"/>
        <v>9332</v>
      </c>
      <c r="O151" s="75">
        <f t="shared" si="17"/>
        <v>69.290169290169288</v>
      </c>
      <c r="P151" s="75">
        <f>VLOOKUP($A151,'Data Vlaue (Cr)'!$C:$FB,119)</f>
        <v>0.44</v>
      </c>
      <c r="Q151" s="75">
        <f>VLOOKUP($A151,'Data Vlaue (Cr)'!$C:$FB,122)*100</f>
        <v>12.82</v>
      </c>
      <c r="R151" s="75">
        <f>VLOOKUP($A151,'Data Vlaue (Cr)'!$C:$FB,125)</f>
        <v>0.24</v>
      </c>
      <c r="S151" s="75">
        <f>VLOOKUP($A151,'Data Vlaue (Cr)'!$C:$FB,128)*100</f>
        <v>-33.33</v>
      </c>
    </row>
    <row r="152" spans="1:19" x14ac:dyDescent="0.25">
      <c r="A152" s="96" t="str">
        <f>'Data Vlaue (Cr)'!C143</f>
        <v>NUVAMA</v>
      </c>
      <c r="B152" s="75">
        <f>VLOOKUP($A152,'Data Vlaue (Cr)'!$C:$FB,2)</f>
        <v>500</v>
      </c>
      <c r="C152" s="75">
        <f>VLOOKUP($A152,'Data Vlaue (Cr)'!$C:$FB,8)</f>
        <v>1183.8</v>
      </c>
      <c r="D152" s="75">
        <f>VLOOKUP($A152,'Data Vlaue (Cr)'!$C:$FB,4)</f>
        <v>1188.4000000000001</v>
      </c>
      <c r="E152" s="75">
        <f>VLOOKUP($A152,'Data Vlaue (Cr)'!$C:$FB,5)</f>
        <v>1211.0999999999999</v>
      </c>
      <c r="F152" s="75">
        <f t="shared" si="12"/>
        <v>4.6000000000001364</v>
      </c>
      <c r="G152" s="75">
        <f t="shared" si="13"/>
        <v>-1.9101312689330037</v>
      </c>
      <c r="H152" s="75">
        <f>VLOOKUP($A152,'Data Vlaue (Cr)'!$C:$FB,99)</f>
        <v>435</v>
      </c>
      <c r="I152" s="75">
        <f>VLOOKUP($A152,'Data Vlaue (Cr)'!$C:$FB,100)</f>
        <v>433</v>
      </c>
      <c r="J152" s="75">
        <f t="shared" si="14"/>
        <v>2</v>
      </c>
      <c r="K152" s="75">
        <f t="shared" si="15"/>
        <v>0.45977011494252873</v>
      </c>
      <c r="L152" s="75">
        <f>VLOOKUP($A152,'Data Vlaue (Cr)'!$C:$FB,67)</f>
        <v>163</v>
      </c>
      <c r="M152" s="75">
        <f>VLOOKUP($A152,'Data Vlaue (Cr)'!$C:$FB,68)</f>
        <v>164</v>
      </c>
      <c r="N152" s="75">
        <f t="shared" si="16"/>
        <v>-1</v>
      </c>
      <c r="O152" s="75">
        <f t="shared" si="17"/>
        <v>-0.61349693251533743</v>
      </c>
      <c r="P152" s="75">
        <f>VLOOKUP($A152,'Data Vlaue (Cr)'!$C:$FB,119)</f>
        <v>0.66</v>
      </c>
      <c r="Q152" s="75">
        <f>VLOOKUP($A152,'Data Vlaue (Cr)'!$C:$FB,122)*100</f>
        <v>-1.49</v>
      </c>
      <c r="R152" s="75">
        <f>VLOOKUP($A152,'Data Vlaue (Cr)'!$C:$FB,125)</f>
        <v>0.28999999999999998</v>
      </c>
      <c r="S152" s="75">
        <f>VLOOKUP($A152,'Data Vlaue (Cr)'!$C:$FB,128)*100</f>
        <v>16</v>
      </c>
    </row>
    <row r="153" spans="1:19" x14ac:dyDescent="0.25">
      <c r="A153" s="96" t="str">
        <f>'Data Vlaue (Cr)'!C144</f>
        <v>NYKAA</v>
      </c>
      <c r="B153" s="75">
        <f>VLOOKUP($A153,'Data Vlaue (Cr)'!$C:$FB,2)</f>
        <v>3125</v>
      </c>
      <c r="C153" s="75">
        <f>VLOOKUP($A153,'Data Vlaue (Cr)'!$C:$FB,8)</f>
        <v>244.95</v>
      </c>
      <c r="D153" s="75">
        <f>VLOOKUP($A153,'Data Vlaue (Cr)'!$C:$FB,4)</f>
        <v>245.85</v>
      </c>
      <c r="E153" s="75">
        <f>VLOOKUP($A153,'Data Vlaue (Cr)'!$C:$FB,5)</f>
        <v>252.85</v>
      </c>
      <c r="F153" s="75">
        <f t="shared" si="12"/>
        <v>0.90000000000000568</v>
      </c>
      <c r="G153" s="75">
        <f t="shared" si="13"/>
        <v>-2.8472645922310349</v>
      </c>
      <c r="H153" s="75">
        <f>VLOOKUP($A153,'Data Vlaue (Cr)'!$C:$FB,99)</f>
        <v>1403</v>
      </c>
      <c r="I153" s="75">
        <f>VLOOKUP($A153,'Data Vlaue (Cr)'!$C:$FB,100)</f>
        <v>1396</v>
      </c>
      <c r="J153" s="75">
        <f t="shared" si="14"/>
        <v>7</v>
      </c>
      <c r="K153" s="75">
        <f t="shared" si="15"/>
        <v>0.49893086243763368</v>
      </c>
      <c r="L153" s="75">
        <f>VLOOKUP($A153,'Data Vlaue (Cr)'!$C:$FB,67)</f>
        <v>282</v>
      </c>
      <c r="M153" s="75">
        <f>VLOOKUP($A153,'Data Vlaue (Cr)'!$C:$FB,68)</f>
        <v>290</v>
      </c>
      <c r="N153" s="75">
        <f t="shared" si="16"/>
        <v>-8</v>
      </c>
      <c r="O153" s="75">
        <f t="shared" si="17"/>
        <v>-2.8368794326241136</v>
      </c>
      <c r="P153" s="75">
        <f>VLOOKUP($A153,'Data Vlaue (Cr)'!$C:$FB,119)</f>
        <v>0.52</v>
      </c>
      <c r="Q153" s="75">
        <f>VLOOKUP($A153,'Data Vlaue (Cr)'!$C:$FB,122)*100</f>
        <v>-7.1400000000000006</v>
      </c>
      <c r="R153" s="75">
        <f>VLOOKUP($A153,'Data Vlaue (Cr)'!$C:$FB,125)</f>
        <v>0.48</v>
      </c>
      <c r="S153" s="75">
        <f>VLOOKUP($A153,'Data Vlaue (Cr)'!$C:$FB,128)*100</f>
        <v>-11.110000000000001</v>
      </c>
    </row>
    <row r="154" spans="1:19" x14ac:dyDescent="0.25">
      <c r="A154" s="96" t="str">
        <f>'Data Vlaue (Cr)'!C145</f>
        <v>OBEROIRLTY</v>
      </c>
      <c r="B154" s="75">
        <f>VLOOKUP($A154,'Data Vlaue (Cr)'!$C:$FB,2)</f>
        <v>350</v>
      </c>
      <c r="C154" s="75">
        <f>VLOOKUP($A154,'Data Vlaue (Cr)'!$C:$FB,8)</f>
        <v>1470.3</v>
      </c>
      <c r="D154" s="75">
        <f>VLOOKUP($A154,'Data Vlaue (Cr)'!$C:$FB,4)</f>
        <v>1456.6</v>
      </c>
      <c r="E154" s="75">
        <f>VLOOKUP($A154,'Data Vlaue (Cr)'!$C:$FB,5)</f>
        <v>1474.3</v>
      </c>
      <c r="F154" s="75">
        <f t="shared" si="12"/>
        <v>-13.700000000000045</v>
      </c>
      <c r="G154" s="75">
        <f t="shared" si="13"/>
        <v>-1.2151585884937559</v>
      </c>
      <c r="H154" s="75">
        <f>VLOOKUP($A154,'Data Vlaue (Cr)'!$C:$FB,99)</f>
        <v>1438</v>
      </c>
      <c r="I154" s="75">
        <f>VLOOKUP($A154,'Data Vlaue (Cr)'!$C:$FB,100)</f>
        <v>1441</v>
      </c>
      <c r="J154" s="75">
        <f t="shared" si="14"/>
        <v>-3</v>
      </c>
      <c r="K154" s="75">
        <f t="shared" si="15"/>
        <v>-0.20862308762169679</v>
      </c>
      <c r="L154" s="75">
        <f>VLOOKUP($A154,'Data Vlaue (Cr)'!$C:$FB,67)</f>
        <v>334</v>
      </c>
      <c r="M154" s="75">
        <f>VLOOKUP($A154,'Data Vlaue (Cr)'!$C:$FB,68)</f>
        <v>450</v>
      </c>
      <c r="N154" s="75">
        <f t="shared" si="16"/>
        <v>-116</v>
      </c>
      <c r="O154" s="75">
        <f t="shared" si="17"/>
        <v>-34.730538922155688</v>
      </c>
      <c r="P154" s="75">
        <f>VLOOKUP($A154,'Data Vlaue (Cr)'!$C:$FB,119)</f>
        <v>0.93</v>
      </c>
      <c r="Q154" s="75">
        <f>VLOOKUP($A154,'Data Vlaue (Cr)'!$C:$FB,122)*100</f>
        <v>3.3300000000000005</v>
      </c>
      <c r="R154" s="75">
        <f>VLOOKUP($A154,'Data Vlaue (Cr)'!$C:$FB,125)</f>
        <v>0.65</v>
      </c>
      <c r="S154" s="75">
        <f>VLOOKUP($A154,'Data Vlaue (Cr)'!$C:$FB,128)*100</f>
        <v>-34.339999999999996</v>
      </c>
    </row>
    <row r="155" spans="1:19" x14ac:dyDescent="0.25">
      <c r="A155" s="96" t="str">
        <f>'Data Vlaue (Cr)'!C146</f>
        <v>OFSS</v>
      </c>
      <c r="B155" s="75">
        <f>VLOOKUP($A155,'Data Vlaue (Cr)'!$C:$FB,2)</f>
        <v>75</v>
      </c>
      <c r="C155" s="75">
        <f>VLOOKUP($A155,'Data Vlaue (Cr)'!$C:$FB,8)</f>
        <v>6694.5</v>
      </c>
      <c r="D155" s="75">
        <f>VLOOKUP($A155,'Data Vlaue (Cr)'!$C:$FB,4)</f>
        <v>6679</v>
      </c>
      <c r="E155" s="75">
        <f>VLOOKUP($A155,'Data Vlaue (Cr)'!$C:$FB,5)</f>
        <v>6769</v>
      </c>
      <c r="F155" s="75">
        <f t="shared" si="12"/>
        <v>-15.5</v>
      </c>
      <c r="G155" s="75">
        <f t="shared" si="13"/>
        <v>-1.3475071118430901</v>
      </c>
      <c r="H155" s="75">
        <f>VLOOKUP($A155,'Data Vlaue (Cr)'!$C:$FB,99)</f>
        <v>1640</v>
      </c>
      <c r="I155" s="75">
        <f>VLOOKUP($A155,'Data Vlaue (Cr)'!$C:$FB,100)</f>
        <v>1647</v>
      </c>
      <c r="J155" s="75">
        <f t="shared" si="14"/>
        <v>-7</v>
      </c>
      <c r="K155" s="75">
        <f t="shared" si="15"/>
        <v>-0.42682926829268297</v>
      </c>
      <c r="L155" s="75">
        <f>VLOOKUP($A155,'Data Vlaue (Cr)'!$C:$FB,67)</f>
        <v>898</v>
      </c>
      <c r="M155" s="75">
        <f>VLOOKUP($A155,'Data Vlaue (Cr)'!$C:$FB,68)</f>
        <v>1795</v>
      </c>
      <c r="N155" s="75">
        <f t="shared" si="16"/>
        <v>-897</v>
      </c>
      <c r="O155" s="75">
        <f t="shared" si="17"/>
        <v>-99.88864142538975</v>
      </c>
      <c r="P155" s="75">
        <f>VLOOKUP($A155,'Data Vlaue (Cr)'!$C:$FB,119)</f>
        <v>0.62</v>
      </c>
      <c r="Q155" s="75">
        <f>VLOOKUP($A155,'Data Vlaue (Cr)'!$C:$FB,122)*100</f>
        <v>12.73</v>
      </c>
      <c r="R155" s="75">
        <f>VLOOKUP($A155,'Data Vlaue (Cr)'!$C:$FB,125)</f>
        <v>1.1299999999999999</v>
      </c>
      <c r="S155" s="75">
        <f>VLOOKUP($A155,'Data Vlaue (Cr)'!$C:$FB,128)*100</f>
        <v>197.37</v>
      </c>
    </row>
    <row r="156" spans="1:19" x14ac:dyDescent="0.25">
      <c r="A156" s="96" t="str">
        <f>'Data Vlaue (Cr)'!C147</f>
        <v>OIL</v>
      </c>
      <c r="B156" s="75">
        <f>VLOOKUP($A156,'Data Vlaue (Cr)'!$C:$FB,2)</f>
        <v>1400</v>
      </c>
      <c r="C156" s="75">
        <f>VLOOKUP($A156,'Data Vlaue (Cr)'!$C:$FB,8)</f>
        <v>479.3</v>
      </c>
      <c r="D156" s="75">
        <f>VLOOKUP($A156,'Data Vlaue (Cr)'!$C:$FB,4)</f>
        <v>478.1</v>
      </c>
      <c r="E156" s="75">
        <f>VLOOKUP($A156,'Data Vlaue (Cr)'!$C:$FB,5)</f>
        <v>481.1</v>
      </c>
      <c r="F156" s="75">
        <f t="shared" si="12"/>
        <v>-1.1999999999999886</v>
      </c>
      <c r="G156" s="75">
        <f t="shared" si="13"/>
        <v>-0.62748379000209153</v>
      </c>
      <c r="H156" s="75">
        <f>VLOOKUP($A156,'Data Vlaue (Cr)'!$C:$FB,99)</f>
        <v>2632</v>
      </c>
      <c r="I156" s="75">
        <f>VLOOKUP($A156,'Data Vlaue (Cr)'!$C:$FB,100)</f>
        <v>2650</v>
      </c>
      <c r="J156" s="75">
        <f t="shared" si="14"/>
        <v>-18</v>
      </c>
      <c r="K156" s="75">
        <f t="shared" si="15"/>
        <v>-0.68389057750759874</v>
      </c>
      <c r="L156" s="75">
        <f>VLOOKUP($A156,'Data Vlaue (Cr)'!$C:$FB,67)</f>
        <v>2081</v>
      </c>
      <c r="M156" s="75">
        <f>VLOOKUP($A156,'Data Vlaue (Cr)'!$C:$FB,68)</f>
        <v>2253</v>
      </c>
      <c r="N156" s="75">
        <f t="shared" si="16"/>
        <v>-172</v>
      </c>
      <c r="O156" s="75">
        <f t="shared" si="17"/>
        <v>-8.2652570879384903</v>
      </c>
      <c r="P156" s="75">
        <f>VLOOKUP($A156,'Data Vlaue (Cr)'!$C:$FB,119)</f>
        <v>0.55000000000000004</v>
      </c>
      <c r="Q156" s="75">
        <f>VLOOKUP($A156,'Data Vlaue (Cr)'!$C:$FB,122)*100</f>
        <v>5.7700000000000005</v>
      </c>
      <c r="R156" s="75">
        <f>VLOOKUP($A156,'Data Vlaue (Cr)'!$C:$FB,125)</f>
        <v>0.28999999999999998</v>
      </c>
      <c r="S156" s="75">
        <f>VLOOKUP($A156,'Data Vlaue (Cr)'!$C:$FB,128)*100</f>
        <v>-17.14</v>
      </c>
    </row>
    <row r="157" spans="1:19" x14ac:dyDescent="0.25">
      <c r="A157" s="96" t="str">
        <f>'Data Vlaue (Cr)'!C148</f>
        <v>ONGC</v>
      </c>
      <c r="B157" s="75">
        <f>VLOOKUP($A157,'Data Vlaue (Cr)'!$C:$FB,2)</f>
        <v>2250</v>
      </c>
      <c r="C157" s="75">
        <f>VLOOKUP($A157,'Data Vlaue (Cr)'!$C:$FB,8)</f>
        <v>270.55</v>
      </c>
      <c r="D157" s="75">
        <f>VLOOKUP($A157,'Data Vlaue (Cr)'!$C:$FB,4)</f>
        <v>271.5</v>
      </c>
      <c r="E157" s="75">
        <f>VLOOKUP($A157,'Data Vlaue (Cr)'!$C:$FB,5)</f>
        <v>270.95</v>
      </c>
      <c r="F157" s="75">
        <f t="shared" si="12"/>
        <v>0.94999999999998863</v>
      </c>
      <c r="G157" s="75">
        <f t="shared" si="13"/>
        <v>0.20257826887661559</v>
      </c>
      <c r="H157" s="75">
        <f>VLOOKUP($A157,'Data Vlaue (Cr)'!$C:$FB,99)</f>
        <v>7010</v>
      </c>
      <c r="I157" s="75">
        <f>VLOOKUP($A157,'Data Vlaue (Cr)'!$C:$FB,100)</f>
        <v>6923</v>
      </c>
      <c r="J157" s="75">
        <f t="shared" si="14"/>
        <v>87</v>
      </c>
      <c r="K157" s="75">
        <f t="shared" si="15"/>
        <v>1.2410841654778888</v>
      </c>
      <c r="L157" s="75">
        <f>VLOOKUP($A157,'Data Vlaue (Cr)'!$C:$FB,67)</f>
        <v>3024</v>
      </c>
      <c r="M157" s="75">
        <f>VLOOKUP($A157,'Data Vlaue (Cr)'!$C:$FB,68)</f>
        <v>2669</v>
      </c>
      <c r="N157" s="75">
        <f t="shared" si="16"/>
        <v>355</v>
      </c>
      <c r="O157" s="75">
        <f t="shared" si="17"/>
        <v>11.739417989417991</v>
      </c>
      <c r="P157" s="75">
        <f>VLOOKUP($A157,'Data Vlaue (Cr)'!$C:$FB,119)</f>
        <v>0.46</v>
      </c>
      <c r="Q157" s="75">
        <f>VLOOKUP($A157,'Data Vlaue (Cr)'!$C:$FB,122)*100</f>
        <v>4.55</v>
      </c>
      <c r="R157" s="75">
        <f>VLOOKUP($A157,'Data Vlaue (Cr)'!$C:$FB,125)</f>
        <v>0.34</v>
      </c>
      <c r="S157" s="75">
        <f>VLOOKUP($A157,'Data Vlaue (Cr)'!$C:$FB,128)*100</f>
        <v>9.68</v>
      </c>
    </row>
    <row r="158" spans="1:19" x14ac:dyDescent="0.25">
      <c r="A158" s="96" t="str">
        <f>'Data Vlaue (Cr)'!C149</f>
        <v>PAGEIND</v>
      </c>
      <c r="B158" s="75">
        <f>VLOOKUP($A158,'Data Vlaue (Cr)'!$C:$FB,2)</f>
        <v>15</v>
      </c>
      <c r="C158" s="75">
        <f>VLOOKUP($A158,'Data Vlaue (Cr)'!$C:$FB,8)</f>
        <v>30860</v>
      </c>
      <c r="D158" s="75">
        <f>VLOOKUP($A158,'Data Vlaue (Cr)'!$C:$FB,4)</f>
        <v>30915</v>
      </c>
      <c r="E158" s="75">
        <f>VLOOKUP($A158,'Data Vlaue (Cr)'!$C:$FB,5)</f>
        <v>31750</v>
      </c>
      <c r="F158" s="75">
        <f t="shared" si="12"/>
        <v>55</v>
      </c>
      <c r="G158" s="75">
        <f t="shared" si="13"/>
        <v>-2.7009542293385089</v>
      </c>
      <c r="H158" s="75">
        <f>VLOOKUP($A158,'Data Vlaue (Cr)'!$C:$FB,99)</f>
        <v>1308</v>
      </c>
      <c r="I158" s="75">
        <f>VLOOKUP($A158,'Data Vlaue (Cr)'!$C:$FB,100)</f>
        <v>1217</v>
      </c>
      <c r="J158" s="75">
        <f t="shared" si="14"/>
        <v>91</v>
      </c>
      <c r="K158" s="75">
        <f t="shared" si="15"/>
        <v>6.9571865443425072</v>
      </c>
      <c r="L158" s="75">
        <f>VLOOKUP($A158,'Data Vlaue (Cr)'!$C:$FB,67)</f>
        <v>747</v>
      </c>
      <c r="M158" s="75">
        <f>VLOOKUP($A158,'Data Vlaue (Cr)'!$C:$FB,68)</f>
        <v>697</v>
      </c>
      <c r="N158" s="75">
        <f t="shared" si="16"/>
        <v>50</v>
      </c>
      <c r="O158" s="75">
        <f t="shared" si="17"/>
        <v>6.6934404283801872</v>
      </c>
      <c r="P158" s="75">
        <f>VLOOKUP($A158,'Data Vlaue (Cr)'!$C:$FB,119)</f>
        <v>0.42</v>
      </c>
      <c r="Q158" s="75">
        <f>VLOOKUP($A158,'Data Vlaue (Cr)'!$C:$FB,122)*100</f>
        <v>-22.220000000000002</v>
      </c>
      <c r="R158" s="75">
        <f>VLOOKUP($A158,'Data Vlaue (Cr)'!$C:$FB,125)</f>
        <v>0.42</v>
      </c>
      <c r="S158" s="75">
        <f>VLOOKUP($A158,'Data Vlaue (Cr)'!$C:$FB,128)*100</f>
        <v>0</v>
      </c>
    </row>
    <row r="159" spans="1:19" x14ac:dyDescent="0.25">
      <c r="A159" s="96" t="str">
        <f>'Data Vlaue (Cr)'!C150</f>
        <v>PATANJALI</v>
      </c>
      <c r="B159" s="75">
        <f>VLOOKUP($A159,'Data Vlaue (Cr)'!$C:$FB,2)</f>
        <v>900</v>
      </c>
      <c r="C159" s="75">
        <f>VLOOKUP($A159,'Data Vlaue (Cr)'!$C:$FB,8)</f>
        <v>490.6</v>
      </c>
      <c r="D159" s="75">
        <f>VLOOKUP($A159,'Data Vlaue (Cr)'!$C:$FB,4)</f>
        <v>490.4</v>
      </c>
      <c r="E159" s="75">
        <f>VLOOKUP($A159,'Data Vlaue (Cr)'!$C:$FB,5)</f>
        <v>497.05</v>
      </c>
      <c r="F159" s="75">
        <f t="shared" si="12"/>
        <v>-0.20000000000004547</v>
      </c>
      <c r="G159" s="75">
        <f t="shared" si="13"/>
        <v>-1.3560358890701538</v>
      </c>
      <c r="H159" s="75">
        <f>VLOOKUP($A159,'Data Vlaue (Cr)'!$C:$FB,99)</f>
        <v>2158</v>
      </c>
      <c r="I159" s="75">
        <f>VLOOKUP($A159,'Data Vlaue (Cr)'!$C:$FB,100)</f>
        <v>2096</v>
      </c>
      <c r="J159" s="75">
        <f t="shared" si="14"/>
        <v>62</v>
      </c>
      <c r="K159" s="75">
        <f t="shared" si="15"/>
        <v>2.8730305838739572</v>
      </c>
      <c r="L159" s="75">
        <f>VLOOKUP($A159,'Data Vlaue (Cr)'!$C:$FB,67)</f>
        <v>449</v>
      </c>
      <c r="M159" s="75">
        <f>VLOOKUP($A159,'Data Vlaue (Cr)'!$C:$FB,68)</f>
        <v>307</v>
      </c>
      <c r="N159" s="75">
        <f t="shared" si="16"/>
        <v>142</v>
      </c>
      <c r="O159" s="75">
        <f t="shared" si="17"/>
        <v>31.625835189309576</v>
      </c>
      <c r="P159" s="75">
        <f>VLOOKUP($A159,'Data Vlaue (Cr)'!$C:$FB,119)</f>
        <v>0.88</v>
      </c>
      <c r="Q159" s="75">
        <f>VLOOKUP($A159,'Data Vlaue (Cr)'!$C:$FB,122)*100</f>
        <v>20.549999999999997</v>
      </c>
      <c r="R159" s="75">
        <f>VLOOKUP($A159,'Data Vlaue (Cr)'!$C:$FB,125)</f>
        <v>0.77</v>
      </c>
      <c r="S159" s="75">
        <f>VLOOKUP($A159,'Data Vlaue (Cr)'!$C:$FB,128)*100</f>
        <v>30.509999999999998</v>
      </c>
    </row>
    <row r="160" spans="1:19" x14ac:dyDescent="0.25">
      <c r="A160" s="96" t="str">
        <f>'Data Vlaue (Cr)'!C151</f>
        <v>PAYTM</v>
      </c>
      <c r="B160" s="75">
        <f>VLOOKUP($A160,'Data Vlaue (Cr)'!$C:$FB,2)</f>
        <v>725</v>
      </c>
      <c r="C160" s="75">
        <f>VLOOKUP($A160,'Data Vlaue (Cr)'!$C:$FB,8)</f>
        <v>1009.1</v>
      </c>
      <c r="D160" s="75">
        <f>VLOOKUP($A160,'Data Vlaue (Cr)'!$C:$FB,4)</f>
        <v>1012.9</v>
      </c>
      <c r="E160" s="75">
        <f>VLOOKUP($A160,'Data Vlaue (Cr)'!$C:$FB,5)</f>
        <v>1026.3</v>
      </c>
      <c r="F160" s="75">
        <f t="shared" si="12"/>
        <v>3.7999999999999545</v>
      </c>
      <c r="G160" s="75">
        <f t="shared" si="13"/>
        <v>-1.3229341494718114</v>
      </c>
      <c r="H160" s="75">
        <f>VLOOKUP($A160,'Data Vlaue (Cr)'!$C:$FB,99)</f>
        <v>3709</v>
      </c>
      <c r="I160" s="75">
        <f>VLOOKUP($A160,'Data Vlaue (Cr)'!$C:$FB,100)</f>
        <v>3681</v>
      </c>
      <c r="J160" s="75">
        <f t="shared" si="14"/>
        <v>28</v>
      </c>
      <c r="K160" s="75">
        <f t="shared" si="15"/>
        <v>0.75492046373685628</v>
      </c>
      <c r="L160" s="75">
        <f>VLOOKUP($A160,'Data Vlaue (Cr)'!$C:$FB,67)</f>
        <v>1161</v>
      </c>
      <c r="M160" s="75">
        <f>VLOOKUP($A160,'Data Vlaue (Cr)'!$C:$FB,68)</f>
        <v>1151</v>
      </c>
      <c r="N160" s="75">
        <f t="shared" si="16"/>
        <v>10</v>
      </c>
      <c r="O160" s="75">
        <f t="shared" si="17"/>
        <v>0.8613264427217916</v>
      </c>
      <c r="P160" s="75">
        <f>VLOOKUP($A160,'Data Vlaue (Cr)'!$C:$FB,119)</f>
        <v>0.67</v>
      </c>
      <c r="Q160" s="75">
        <f>VLOOKUP($A160,'Data Vlaue (Cr)'!$C:$FB,122)*100</f>
        <v>0</v>
      </c>
      <c r="R160" s="75">
        <f>VLOOKUP($A160,'Data Vlaue (Cr)'!$C:$FB,125)</f>
        <v>0.62</v>
      </c>
      <c r="S160" s="75">
        <f>VLOOKUP($A160,'Data Vlaue (Cr)'!$C:$FB,128)*100</f>
        <v>5.08</v>
      </c>
    </row>
    <row r="161" spans="1:19" x14ac:dyDescent="0.25">
      <c r="A161" s="96" t="str">
        <f>'Data Vlaue (Cr)'!C152</f>
        <v>PERSISTENT</v>
      </c>
      <c r="B161" s="75">
        <f>VLOOKUP($A161,'Data Vlaue (Cr)'!$C:$FB,2)</f>
        <v>100</v>
      </c>
      <c r="C161" s="75">
        <f>VLOOKUP($A161,'Data Vlaue (Cr)'!$C:$FB,8)</f>
        <v>4714.3999999999996</v>
      </c>
      <c r="D161" s="75">
        <f>VLOOKUP($A161,'Data Vlaue (Cr)'!$C:$FB,4)</f>
        <v>4691.3</v>
      </c>
      <c r="E161" s="75">
        <f>VLOOKUP($A161,'Data Vlaue (Cr)'!$C:$FB,5)</f>
        <v>4728</v>
      </c>
      <c r="F161" s="75">
        <f t="shared" si="12"/>
        <v>-23.099999999999454</v>
      </c>
      <c r="G161" s="75">
        <f t="shared" si="13"/>
        <v>-0.78229914948947654</v>
      </c>
      <c r="H161" s="75">
        <f>VLOOKUP($A161,'Data Vlaue (Cr)'!$C:$FB,99)</f>
        <v>3462</v>
      </c>
      <c r="I161" s="75">
        <f>VLOOKUP($A161,'Data Vlaue (Cr)'!$C:$FB,100)</f>
        <v>3407</v>
      </c>
      <c r="J161" s="75">
        <f t="shared" si="14"/>
        <v>55</v>
      </c>
      <c r="K161" s="75">
        <f t="shared" si="15"/>
        <v>1.5886770652801849</v>
      </c>
      <c r="L161" s="75">
        <f>VLOOKUP($A161,'Data Vlaue (Cr)'!$C:$FB,67)</f>
        <v>1530</v>
      </c>
      <c r="M161" s="75">
        <f>VLOOKUP($A161,'Data Vlaue (Cr)'!$C:$FB,68)</f>
        <v>1350</v>
      </c>
      <c r="N161" s="75">
        <f t="shared" si="16"/>
        <v>180</v>
      </c>
      <c r="O161" s="75">
        <f t="shared" si="17"/>
        <v>11.76470588235294</v>
      </c>
      <c r="P161" s="75">
        <f>VLOOKUP($A161,'Data Vlaue (Cr)'!$C:$FB,119)</f>
        <v>0.64</v>
      </c>
      <c r="Q161" s="75">
        <f>VLOOKUP($A161,'Data Vlaue (Cr)'!$C:$FB,122)*100</f>
        <v>-3.0300000000000002</v>
      </c>
      <c r="R161" s="75">
        <f>VLOOKUP($A161,'Data Vlaue (Cr)'!$C:$FB,125)</f>
        <v>0.52</v>
      </c>
      <c r="S161" s="75">
        <f>VLOOKUP($A161,'Data Vlaue (Cr)'!$C:$FB,128)*100</f>
        <v>-14.75</v>
      </c>
    </row>
    <row r="162" spans="1:19" x14ac:dyDescent="0.25">
      <c r="A162" s="96" t="str">
        <f>'Data Vlaue (Cr)'!C153</f>
        <v>PETRONET</v>
      </c>
      <c r="B162" s="75">
        <f>VLOOKUP($A162,'Data Vlaue (Cr)'!$C:$FB,2)</f>
        <v>1900</v>
      </c>
      <c r="C162" s="75">
        <f>VLOOKUP($A162,'Data Vlaue (Cr)'!$C:$FB,8)</f>
        <v>296.7</v>
      </c>
      <c r="D162" s="75">
        <f>VLOOKUP($A162,'Data Vlaue (Cr)'!$C:$FB,4)</f>
        <v>296.35000000000002</v>
      </c>
      <c r="E162" s="75">
        <f>VLOOKUP($A162,'Data Vlaue (Cr)'!$C:$FB,5)</f>
        <v>289.75</v>
      </c>
      <c r="F162" s="75">
        <f t="shared" si="12"/>
        <v>-0.34999999999996589</v>
      </c>
      <c r="G162" s="75">
        <f t="shared" si="13"/>
        <v>2.227096338788602</v>
      </c>
      <c r="H162" s="75">
        <f>VLOOKUP($A162,'Data Vlaue (Cr)'!$C:$FB,99)</f>
        <v>1950</v>
      </c>
      <c r="I162" s="75">
        <f>VLOOKUP($A162,'Data Vlaue (Cr)'!$C:$FB,100)</f>
        <v>1946</v>
      </c>
      <c r="J162" s="75">
        <f t="shared" si="14"/>
        <v>4</v>
      </c>
      <c r="K162" s="75">
        <f t="shared" si="15"/>
        <v>0.20512820512820512</v>
      </c>
      <c r="L162" s="75">
        <f>VLOOKUP($A162,'Data Vlaue (Cr)'!$C:$FB,67)</f>
        <v>2091</v>
      </c>
      <c r="M162" s="75">
        <f>VLOOKUP($A162,'Data Vlaue (Cr)'!$C:$FB,68)</f>
        <v>868</v>
      </c>
      <c r="N162" s="75">
        <f t="shared" si="16"/>
        <v>1223</v>
      </c>
      <c r="O162" s="75">
        <f t="shared" si="17"/>
        <v>58.488761358201813</v>
      </c>
      <c r="P162" s="75">
        <f>VLOOKUP($A162,'Data Vlaue (Cr)'!$C:$FB,119)</f>
        <v>0.91</v>
      </c>
      <c r="Q162" s="75">
        <f>VLOOKUP($A162,'Data Vlaue (Cr)'!$C:$FB,122)*100</f>
        <v>-3.19</v>
      </c>
      <c r="R162" s="75">
        <f>VLOOKUP($A162,'Data Vlaue (Cr)'!$C:$FB,125)</f>
        <v>0.41</v>
      </c>
      <c r="S162" s="75">
        <f>VLOOKUP($A162,'Data Vlaue (Cr)'!$C:$FB,128)*100</f>
        <v>-42.25</v>
      </c>
    </row>
    <row r="163" spans="1:19" x14ac:dyDescent="0.25">
      <c r="A163" s="96" t="str">
        <f>'Data Vlaue (Cr)'!C154</f>
        <v>PFC</v>
      </c>
      <c r="B163" s="75">
        <f>VLOOKUP($A163,'Data Vlaue (Cr)'!$C:$FB,2)</f>
        <v>1300</v>
      </c>
      <c r="C163" s="75">
        <f>VLOOKUP($A163,'Data Vlaue (Cr)'!$C:$FB,8)</f>
        <v>415.9</v>
      </c>
      <c r="D163" s="75">
        <f>VLOOKUP($A163,'Data Vlaue (Cr)'!$C:$FB,4)</f>
        <v>415.1</v>
      </c>
      <c r="E163" s="75">
        <f>VLOOKUP($A163,'Data Vlaue (Cr)'!$C:$FB,5)</f>
        <v>406.65</v>
      </c>
      <c r="F163" s="75">
        <f t="shared" si="12"/>
        <v>-0.79999999999995453</v>
      </c>
      <c r="G163" s="75">
        <f t="shared" si="13"/>
        <v>2.0356540592628392</v>
      </c>
      <c r="H163" s="75">
        <f>VLOOKUP($A163,'Data Vlaue (Cr)'!$C:$FB,99)</f>
        <v>5065</v>
      </c>
      <c r="I163" s="75">
        <f>VLOOKUP($A163,'Data Vlaue (Cr)'!$C:$FB,100)</f>
        <v>4848</v>
      </c>
      <c r="J163" s="75">
        <f t="shared" si="14"/>
        <v>217</v>
      </c>
      <c r="K163" s="75">
        <f t="shared" si="15"/>
        <v>4.2843040473840075</v>
      </c>
      <c r="L163" s="75">
        <f>VLOOKUP($A163,'Data Vlaue (Cr)'!$C:$FB,67)</f>
        <v>3641</v>
      </c>
      <c r="M163" s="75">
        <f>VLOOKUP($A163,'Data Vlaue (Cr)'!$C:$FB,68)</f>
        <v>1754</v>
      </c>
      <c r="N163" s="75">
        <f t="shared" si="16"/>
        <v>1887</v>
      </c>
      <c r="O163" s="75">
        <f t="shared" si="17"/>
        <v>51.826421312826142</v>
      </c>
      <c r="P163" s="75">
        <f>VLOOKUP($A163,'Data Vlaue (Cr)'!$C:$FB,119)</f>
        <v>0.47</v>
      </c>
      <c r="Q163" s="75">
        <f>VLOOKUP($A163,'Data Vlaue (Cr)'!$C:$FB,122)*100</f>
        <v>0</v>
      </c>
      <c r="R163" s="75">
        <f>VLOOKUP($A163,'Data Vlaue (Cr)'!$C:$FB,125)</f>
        <v>0.42</v>
      </c>
      <c r="S163" s="75">
        <f>VLOOKUP($A163,'Data Vlaue (Cr)'!$C:$FB,128)*100</f>
        <v>-22.220000000000002</v>
      </c>
    </row>
    <row r="164" spans="1:19" x14ac:dyDescent="0.25">
      <c r="A164" s="96" t="str">
        <f>'Data Vlaue (Cr)'!C155</f>
        <v>PGEL</v>
      </c>
      <c r="B164" s="75">
        <f>VLOOKUP($A164,'Data Vlaue (Cr)'!$C:$FB,2)</f>
        <v>950</v>
      </c>
      <c r="C164" s="75">
        <f>VLOOKUP($A164,'Data Vlaue (Cr)'!$C:$FB,8)</f>
        <v>532.20000000000005</v>
      </c>
      <c r="D164" s="75">
        <f>VLOOKUP($A164,'Data Vlaue (Cr)'!$C:$FB,4)</f>
        <v>531.79999999999995</v>
      </c>
      <c r="E164" s="75">
        <f>VLOOKUP($A164,'Data Vlaue (Cr)'!$C:$FB,5)</f>
        <v>551.35</v>
      </c>
      <c r="F164" s="75">
        <f t="shared" si="12"/>
        <v>-0.40000000000009095</v>
      </c>
      <c r="G164" s="75">
        <f t="shared" si="13"/>
        <v>-3.6761940579165229</v>
      </c>
      <c r="H164" s="75">
        <f>VLOOKUP($A164,'Data Vlaue (Cr)'!$C:$FB,99)</f>
        <v>1483</v>
      </c>
      <c r="I164" s="75">
        <f>VLOOKUP($A164,'Data Vlaue (Cr)'!$C:$FB,100)</f>
        <v>1523</v>
      </c>
      <c r="J164" s="75">
        <f t="shared" si="14"/>
        <v>-40</v>
      </c>
      <c r="K164" s="75">
        <f t="shared" si="15"/>
        <v>-2.6972353337828725</v>
      </c>
      <c r="L164" s="75">
        <f>VLOOKUP($A164,'Data Vlaue (Cr)'!$C:$FB,67)</f>
        <v>1224</v>
      </c>
      <c r="M164" s="75">
        <f>VLOOKUP($A164,'Data Vlaue (Cr)'!$C:$FB,68)</f>
        <v>1866</v>
      </c>
      <c r="N164" s="75">
        <f t="shared" si="16"/>
        <v>-642</v>
      </c>
      <c r="O164" s="75">
        <f t="shared" si="17"/>
        <v>-52.450980392156865</v>
      </c>
      <c r="P164" s="75">
        <f>VLOOKUP($A164,'Data Vlaue (Cr)'!$C:$FB,119)</f>
        <v>0.66</v>
      </c>
      <c r="Q164" s="75">
        <f>VLOOKUP($A164,'Data Vlaue (Cr)'!$C:$FB,122)*100</f>
        <v>1.54</v>
      </c>
      <c r="R164" s="75">
        <f>VLOOKUP($A164,'Data Vlaue (Cr)'!$C:$FB,125)</f>
        <v>0.74</v>
      </c>
      <c r="S164" s="75">
        <f>VLOOKUP($A164,'Data Vlaue (Cr)'!$C:$FB,128)*100</f>
        <v>117.65</v>
      </c>
    </row>
    <row r="165" spans="1:19" x14ac:dyDescent="0.25">
      <c r="A165" s="96" t="str">
        <f>'Data Vlaue (Cr)'!C156</f>
        <v>PHOENIXLTD</v>
      </c>
      <c r="B165" s="75">
        <f>VLOOKUP($A165,'Data Vlaue (Cr)'!$C:$FB,2)</f>
        <v>350</v>
      </c>
      <c r="C165" s="75">
        <f>VLOOKUP($A165,'Data Vlaue (Cr)'!$C:$FB,8)</f>
        <v>1560.2</v>
      </c>
      <c r="D165" s="75">
        <f>VLOOKUP($A165,'Data Vlaue (Cr)'!$C:$FB,4)</f>
        <v>1562</v>
      </c>
      <c r="E165" s="75">
        <f>VLOOKUP($A165,'Data Vlaue (Cr)'!$C:$FB,5)</f>
        <v>1580.2</v>
      </c>
      <c r="F165" s="75">
        <f t="shared" si="12"/>
        <v>1.7999999999999545</v>
      </c>
      <c r="G165" s="75">
        <f t="shared" si="13"/>
        <v>-1.1651728553137033</v>
      </c>
      <c r="H165" s="75">
        <f>VLOOKUP($A165,'Data Vlaue (Cr)'!$C:$FB,99)</f>
        <v>933</v>
      </c>
      <c r="I165" s="75">
        <f>VLOOKUP($A165,'Data Vlaue (Cr)'!$C:$FB,100)</f>
        <v>928</v>
      </c>
      <c r="J165" s="75">
        <f t="shared" si="14"/>
        <v>5</v>
      </c>
      <c r="K165" s="75">
        <f t="shared" si="15"/>
        <v>0.53590568060021437</v>
      </c>
      <c r="L165" s="75">
        <f>VLOOKUP($A165,'Data Vlaue (Cr)'!$C:$FB,67)</f>
        <v>247</v>
      </c>
      <c r="M165" s="75">
        <f>VLOOKUP($A165,'Data Vlaue (Cr)'!$C:$FB,68)</f>
        <v>143</v>
      </c>
      <c r="N165" s="75">
        <f t="shared" si="16"/>
        <v>104</v>
      </c>
      <c r="O165" s="75">
        <f t="shared" si="17"/>
        <v>42.105263157894733</v>
      </c>
      <c r="P165" s="75">
        <f>VLOOKUP($A165,'Data Vlaue (Cr)'!$C:$FB,119)</f>
        <v>0.59</v>
      </c>
      <c r="Q165" s="75">
        <f>VLOOKUP($A165,'Data Vlaue (Cr)'!$C:$FB,122)*100</f>
        <v>-3.2800000000000002</v>
      </c>
      <c r="R165" s="75">
        <f>VLOOKUP($A165,'Data Vlaue (Cr)'!$C:$FB,125)</f>
        <v>0.17</v>
      </c>
      <c r="S165" s="75">
        <f>VLOOKUP($A165,'Data Vlaue (Cr)'!$C:$FB,128)*100</f>
        <v>-58.540000000000006</v>
      </c>
    </row>
    <row r="166" spans="1:19" x14ac:dyDescent="0.25">
      <c r="A166" s="96" t="str">
        <f>'Data Vlaue (Cr)'!C157</f>
        <v>PIDILITIND</v>
      </c>
      <c r="B166" s="75">
        <f>VLOOKUP($A166,'Data Vlaue (Cr)'!$C:$FB,2)</f>
        <v>500</v>
      </c>
      <c r="C166" s="75">
        <f>VLOOKUP($A166,'Data Vlaue (Cr)'!$C:$FB,8)</f>
        <v>1387.4</v>
      </c>
      <c r="D166" s="75">
        <f>VLOOKUP($A166,'Data Vlaue (Cr)'!$C:$FB,4)</f>
        <v>1387</v>
      </c>
      <c r="E166" s="75">
        <f>VLOOKUP($A166,'Data Vlaue (Cr)'!$C:$FB,5)</f>
        <v>1401.4</v>
      </c>
      <c r="F166" s="75">
        <f t="shared" si="12"/>
        <v>-0.40000000000009095</v>
      </c>
      <c r="G166" s="75">
        <f t="shared" si="13"/>
        <v>-1.0382119682768631</v>
      </c>
      <c r="H166" s="75">
        <f>VLOOKUP($A166,'Data Vlaue (Cr)'!$C:$FB,99)</f>
        <v>1507</v>
      </c>
      <c r="I166" s="75">
        <f>VLOOKUP($A166,'Data Vlaue (Cr)'!$C:$FB,100)</f>
        <v>1502</v>
      </c>
      <c r="J166" s="75">
        <f t="shared" si="14"/>
        <v>5</v>
      </c>
      <c r="K166" s="75">
        <f t="shared" si="15"/>
        <v>0.33178500331785005</v>
      </c>
      <c r="L166" s="75">
        <f>VLOOKUP($A166,'Data Vlaue (Cr)'!$C:$FB,67)</f>
        <v>295</v>
      </c>
      <c r="M166" s="75">
        <f>VLOOKUP($A166,'Data Vlaue (Cr)'!$C:$FB,68)</f>
        <v>334</v>
      </c>
      <c r="N166" s="75">
        <f t="shared" si="16"/>
        <v>-39</v>
      </c>
      <c r="O166" s="75">
        <f t="shared" si="17"/>
        <v>-13.220338983050848</v>
      </c>
      <c r="P166" s="75">
        <f>VLOOKUP($A166,'Data Vlaue (Cr)'!$C:$FB,119)</f>
        <v>0.57999999999999996</v>
      </c>
      <c r="Q166" s="75">
        <f>VLOOKUP($A166,'Data Vlaue (Cr)'!$C:$FB,122)*100</f>
        <v>1.7500000000000002</v>
      </c>
      <c r="R166" s="75">
        <f>VLOOKUP($A166,'Data Vlaue (Cr)'!$C:$FB,125)</f>
        <v>0.89</v>
      </c>
      <c r="S166" s="75">
        <f>VLOOKUP($A166,'Data Vlaue (Cr)'!$C:$FB,128)*100</f>
        <v>18.670000000000002</v>
      </c>
    </row>
    <row r="167" spans="1:19" x14ac:dyDescent="0.25">
      <c r="A167" s="96" t="str">
        <f>'Data Vlaue (Cr)'!C158</f>
        <v>PIIND</v>
      </c>
      <c r="B167" s="75">
        <f>VLOOKUP($A167,'Data Vlaue (Cr)'!$C:$FB,2)</f>
        <v>175</v>
      </c>
      <c r="C167" s="75">
        <f>VLOOKUP($A167,'Data Vlaue (Cr)'!$C:$FB,8)</f>
        <v>2952.4</v>
      </c>
      <c r="D167" s="75">
        <f>VLOOKUP($A167,'Data Vlaue (Cr)'!$C:$FB,4)</f>
        <v>2958.8</v>
      </c>
      <c r="E167" s="75">
        <f>VLOOKUP($A167,'Data Vlaue (Cr)'!$C:$FB,5)</f>
        <v>3009.8</v>
      </c>
      <c r="F167" s="75">
        <f t="shared" si="12"/>
        <v>6.4000000000000909</v>
      </c>
      <c r="G167" s="75">
        <f t="shared" si="13"/>
        <v>-1.7236717588211437</v>
      </c>
      <c r="H167" s="75">
        <f>VLOOKUP($A167,'Data Vlaue (Cr)'!$C:$FB,99)</f>
        <v>1364</v>
      </c>
      <c r="I167" s="75">
        <f>VLOOKUP($A167,'Data Vlaue (Cr)'!$C:$FB,100)</f>
        <v>1354</v>
      </c>
      <c r="J167" s="75">
        <f t="shared" si="14"/>
        <v>10</v>
      </c>
      <c r="K167" s="75">
        <f t="shared" si="15"/>
        <v>0.73313782991202348</v>
      </c>
      <c r="L167" s="75">
        <f>VLOOKUP($A167,'Data Vlaue (Cr)'!$C:$FB,67)</f>
        <v>417</v>
      </c>
      <c r="M167" s="75">
        <f>VLOOKUP($A167,'Data Vlaue (Cr)'!$C:$FB,68)</f>
        <v>435</v>
      </c>
      <c r="N167" s="75">
        <f t="shared" si="16"/>
        <v>-18</v>
      </c>
      <c r="O167" s="75">
        <f t="shared" si="17"/>
        <v>-4.3165467625899279</v>
      </c>
      <c r="P167" s="75">
        <f>VLOOKUP($A167,'Data Vlaue (Cr)'!$C:$FB,119)</f>
        <v>0.59</v>
      </c>
      <c r="Q167" s="75">
        <f>VLOOKUP($A167,'Data Vlaue (Cr)'!$C:$FB,122)*100</f>
        <v>-6.35</v>
      </c>
      <c r="R167" s="75">
        <f>VLOOKUP($A167,'Data Vlaue (Cr)'!$C:$FB,125)</f>
        <v>0.51</v>
      </c>
      <c r="S167" s="75">
        <f>VLOOKUP($A167,'Data Vlaue (Cr)'!$C:$FB,128)*100</f>
        <v>-43.96</v>
      </c>
    </row>
    <row r="168" spans="1:19" x14ac:dyDescent="0.25">
      <c r="A168" s="96" t="str">
        <f>'Data Vlaue (Cr)'!C159</f>
        <v>PNB</v>
      </c>
      <c r="B168" s="75">
        <f>VLOOKUP($A168,'Data Vlaue (Cr)'!$C:$FB,2)</f>
        <v>8000</v>
      </c>
      <c r="C168" s="75">
        <f>VLOOKUP($A168,'Data Vlaue (Cr)'!$C:$FB,8)</f>
        <v>116.61</v>
      </c>
      <c r="D168" s="75">
        <f>VLOOKUP($A168,'Data Vlaue (Cr)'!$C:$FB,4)</f>
        <v>116.96</v>
      </c>
      <c r="E168" s="75">
        <f>VLOOKUP($A168,'Data Vlaue (Cr)'!$C:$FB,5)</f>
        <v>116.01</v>
      </c>
      <c r="F168" s="75">
        <f t="shared" si="12"/>
        <v>0.34999999999999432</v>
      </c>
      <c r="G168" s="75">
        <f t="shared" si="13"/>
        <v>0.81224350205197393</v>
      </c>
      <c r="H168" s="75">
        <f>VLOOKUP($A168,'Data Vlaue (Cr)'!$C:$FB,99)</f>
        <v>5593</v>
      </c>
      <c r="I168" s="75">
        <f>VLOOKUP($A168,'Data Vlaue (Cr)'!$C:$FB,100)</f>
        <v>5630</v>
      </c>
      <c r="J168" s="75">
        <f t="shared" si="14"/>
        <v>-37</v>
      </c>
      <c r="K168" s="75">
        <f t="shared" si="15"/>
        <v>-0.66154121222957263</v>
      </c>
      <c r="L168" s="75">
        <f>VLOOKUP($A168,'Data Vlaue (Cr)'!$C:$FB,67)</f>
        <v>2003</v>
      </c>
      <c r="M168" s="75">
        <f>VLOOKUP($A168,'Data Vlaue (Cr)'!$C:$FB,68)</f>
        <v>1661</v>
      </c>
      <c r="N168" s="75">
        <f t="shared" si="16"/>
        <v>342</v>
      </c>
      <c r="O168" s="75">
        <f t="shared" si="17"/>
        <v>17.074388417373939</v>
      </c>
      <c r="P168" s="75">
        <f>VLOOKUP($A168,'Data Vlaue (Cr)'!$C:$FB,119)</f>
        <v>0.69</v>
      </c>
      <c r="Q168" s="75">
        <f>VLOOKUP($A168,'Data Vlaue (Cr)'!$C:$FB,122)*100</f>
        <v>6.15</v>
      </c>
      <c r="R168" s="75">
        <f>VLOOKUP($A168,'Data Vlaue (Cr)'!$C:$FB,125)</f>
        <v>0.62</v>
      </c>
      <c r="S168" s="75">
        <f>VLOOKUP($A168,'Data Vlaue (Cr)'!$C:$FB,128)*100</f>
        <v>-10.14</v>
      </c>
    </row>
    <row r="169" spans="1:19" x14ac:dyDescent="0.25">
      <c r="A169" s="96" t="str">
        <f>'Data Vlaue (Cr)'!C160</f>
        <v>PNBHOUSING</v>
      </c>
      <c r="B169" s="75">
        <f>VLOOKUP($A169,'Data Vlaue (Cr)'!$C:$FB,2)</f>
        <v>650</v>
      </c>
      <c r="C169" s="75">
        <f>VLOOKUP($A169,'Data Vlaue (Cr)'!$C:$FB,8)</f>
        <v>780.15</v>
      </c>
      <c r="D169" s="75">
        <f>VLOOKUP($A169,'Data Vlaue (Cr)'!$C:$FB,4)</f>
        <v>781.2</v>
      </c>
      <c r="E169" s="75">
        <f>VLOOKUP($A169,'Data Vlaue (Cr)'!$C:$FB,5)</f>
        <v>777.35</v>
      </c>
      <c r="F169" s="75">
        <f t="shared" si="12"/>
        <v>1.0500000000000682</v>
      </c>
      <c r="G169" s="75">
        <f t="shared" si="13"/>
        <v>0.49283154121864092</v>
      </c>
      <c r="H169" s="75">
        <f>VLOOKUP($A169,'Data Vlaue (Cr)'!$C:$FB,99)</f>
        <v>1446</v>
      </c>
      <c r="I169" s="75">
        <f>VLOOKUP($A169,'Data Vlaue (Cr)'!$C:$FB,100)</f>
        <v>1442</v>
      </c>
      <c r="J169" s="75">
        <f t="shared" si="14"/>
        <v>4</v>
      </c>
      <c r="K169" s="75">
        <f t="shared" si="15"/>
        <v>0.27662517289073307</v>
      </c>
      <c r="L169" s="75">
        <f>VLOOKUP($A169,'Data Vlaue (Cr)'!$C:$FB,67)</f>
        <v>606</v>
      </c>
      <c r="M169" s="75">
        <f>VLOOKUP($A169,'Data Vlaue (Cr)'!$C:$FB,68)</f>
        <v>745</v>
      </c>
      <c r="N169" s="75">
        <f t="shared" si="16"/>
        <v>-139</v>
      </c>
      <c r="O169" s="75">
        <f t="shared" si="17"/>
        <v>-22.937293729372936</v>
      </c>
      <c r="P169" s="75">
        <f>VLOOKUP($A169,'Data Vlaue (Cr)'!$C:$FB,119)</f>
        <v>0.85</v>
      </c>
      <c r="Q169" s="75">
        <f>VLOOKUP($A169,'Data Vlaue (Cr)'!$C:$FB,122)*100</f>
        <v>1.1900000000000002</v>
      </c>
      <c r="R169" s="75">
        <f>VLOOKUP($A169,'Data Vlaue (Cr)'!$C:$FB,125)</f>
        <v>1.33</v>
      </c>
      <c r="S169" s="75">
        <f>VLOOKUP($A169,'Data Vlaue (Cr)'!$C:$FB,128)*100</f>
        <v>72.72999999999999</v>
      </c>
    </row>
    <row r="170" spans="1:19" x14ac:dyDescent="0.25">
      <c r="A170" s="96" t="str">
        <f>'Data Vlaue (Cr)'!C161</f>
        <v>POLICYBZR</v>
      </c>
      <c r="B170" s="75">
        <f>VLOOKUP($A170,'Data Vlaue (Cr)'!$C:$FB,2)</f>
        <v>350</v>
      </c>
      <c r="C170" s="75">
        <f>VLOOKUP($A170,'Data Vlaue (Cr)'!$C:$FB,8)</f>
        <v>1462.7</v>
      </c>
      <c r="D170" s="75">
        <f>VLOOKUP($A170,'Data Vlaue (Cr)'!$C:$FB,4)</f>
        <v>1463.9</v>
      </c>
      <c r="E170" s="75">
        <f>VLOOKUP($A170,'Data Vlaue (Cr)'!$C:$FB,5)</f>
        <v>1465.8</v>
      </c>
      <c r="F170" s="75">
        <f t="shared" si="12"/>
        <v>1.2000000000000455</v>
      </c>
      <c r="G170" s="75">
        <f t="shared" si="13"/>
        <v>-0.12979028622172714</v>
      </c>
      <c r="H170" s="75">
        <f>VLOOKUP($A170,'Data Vlaue (Cr)'!$C:$FB,99)</f>
        <v>1735</v>
      </c>
      <c r="I170" s="75">
        <f>VLOOKUP($A170,'Data Vlaue (Cr)'!$C:$FB,100)</f>
        <v>1730</v>
      </c>
      <c r="J170" s="75">
        <f t="shared" si="14"/>
        <v>5</v>
      </c>
      <c r="K170" s="75">
        <f t="shared" si="15"/>
        <v>0.28818443804034583</v>
      </c>
      <c r="L170" s="75">
        <f>VLOOKUP($A170,'Data Vlaue (Cr)'!$C:$FB,67)</f>
        <v>386</v>
      </c>
      <c r="M170" s="75">
        <f>VLOOKUP($A170,'Data Vlaue (Cr)'!$C:$FB,68)</f>
        <v>648</v>
      </c>
      <c r="N170" s="75">
        <f t="shared" si="16"/>
        <v>-262</v>
      </c>
      <c r="O170" s="75">
        <f t="shared" si="17"/>
        <v>-67.875647668393782</v>
      </c>
      <c r="P170" s="75">
        <f>VLOOKUP($A170,'Data Vlaue (Cr)'!$C:$FB,119)</f>
        <v>0.8</v>
      </c>
      <c r="Q170" s="75">
        <f>VLOOKUP($A170,'Data Vlaue (Cr)'!$C:$FB,122)*100</f>
        <v>-1.23</v>
      </c>
      <c r="R170" s="75">
        <f>VLOOKUP($A170,'Data Vlaue (Cr)'!$C:$FB,125)</f>
        <v>1.02</v>
      </c>
      <c r="S170" s="75">
        <f>VLOOKUP($A170,'Data Vlaue (Cr)'!$C:$FB,128)*100</f>
        <v>70</v>
      </c>
    </row>
    <row r="171" spans="1:19" x14ac:dyDescent="0.25">
      <c r="A171" s="96" t="str">
        <f>'Data Vlaue (Cr)'!C162</f>
        <v>POLYCAB</v>
      </c>
      <c r="B171" s="75">
        <f>VLOOKUP($A171,'Data Vlaue (Cr)'!$C:$FB,2)</f>
        <v>125</v>
      </c>
      <c r="C171" s="75">
        <f>VLOOKUP($A171,'Data Vlaue (Cr)'!$C:$FB,8)</f>
        <v>7455</v>
      </c>
      <c r="D171" s="75">
        <f>VLOOKUP($A171,'Data Vlaue (Cr)'!$C:$FB,4)</f>
        <v>7458</v>
      </c>
      <c r="E171" s="75">
        <f>VLOOKUP($A171,'Data Vlaue (Cr)'!$C:$FB,5)</f>
        <v>7449.5</v>
      </c>
      <c r="F171" s="75">
        <f t="shared" si="12"/>
        <v>3</v>
      </c>
      <c r="G171" s="75">
        <f t="shared" si="13"/>
        <v>0.11397157414856529</v>
      </c>
      <c r="H171" s="75">
        <f>VLOOKUP($A171,'Data Vlaue (Cr)'!$C:$FB,99)</f>
        <v>4092</v>
      </c>
      <c r="I171" s="75">
        <f>VLOOKUP($A171,'Data Vlaue (Cr)'!$C:$FB,100)</f>
        <v>4019</v>
      </c>
      <c r="J171" s="75">
        <f t="shared" si="14"/>
        <v>73</v>
      </c>
      <c r="K171" s="75">
        <f t="shared" si="15"/>
        <v>1.7839687194525906</v>
      </c>
      <c r="L171" s="75">
        <f>VLOOKUP($A171,'Data Vlaue (Cr)'!$C:$FB,67)</f>
        <v>4621</v>
      </c>
      <c r="M171" s="75">
        <f>VLOOKUP($A171,'Data Vlaue (Cr)'!$C:$FB,68)</f>
        <v>9233</v>
      </c>
      <c r="N171" s="75">
        <f t="shared" si="16"/>
        <v>-4612</v>
      </c>
      <c r="O171" s="75">
        <f t="shared" si="17"/>
        <v>-99.805236961696593</v>
      </c>
      <c r="P171" s="75">
        <f>VLOOKUP($A171,'Data Vlaue (Cr)'!$C:$FB,119)</f>
        <v>0.75</v>
      </c>
      <c r="Q171" s="75">
        <f>VLOOKUP($A171,'Data Vlaue (Cr)'!$C:$FB,122)*100</f>
        <v>2.74</v>
      </c>
      <c r="R171" s="75">
        <f>VLOOKUP($A171,'Data Vlaue (Cr)'!$C:$FB,125)</f>
        <v>0.66</v>
      </c>
      <c r="S171" s="75">
        <f>VLOOKUP($A171,'Data Vlaue (Cr)'!$C:$FB,128)*100</f>
        <v>-42.61</v>
      </c>
    </row>
    <row r="172" spans="1:19" x14ac:dyDescent="0.25">
      <c r="A172" s="96" t="str">
        <f>'Data Vlaue (Cr)'!C163</f>
        <v>POWERGRID</v>
      </c>
      <c r="B172" s="75">
        <f>VLOOKUP($A172,'Data Vlaue (Cr)'!$C:$FB,2)</f>
        <v>1900</v>
      </c>
      <c r="C172" s="75">
        <f>VLOOKUP($A172,'Data Vlaue (Cr)'!$C:$FB,8)</f>
        <v>303.60000000000002</v>
      </c>
      <c r="D172" s="75">
        <f>VLOOKUP($A172,'Data Vlaue (Cr)'!$C:$FB,4)</f>
        <v>304.60000000000002</v>
      </c>
      <c r="E172" s="75">
        <f>VLOOKUP($A172,'Data Vlaue (Cr)'!$C:$FB,5)</f>
        <v>299.2</v>
      </c>
      <c r="F172" s="75">
        <f t="shared" si="12"/>
        <v>1</v>
      </c>
      <c r="G172" s="75">
        <f t="shared" si="13"/>
        <v>1.7728168089297551</v>
      </c>
      <c r="H172" s="75">
        <f>VLOOKUP($A172,'Data Vlaue (Cr)'!$C:$FB,99)</f>
        <v>4218</v>
      </c>
      <c r="I172" s="75">
        <f>VLOOKUP($A172,'Data Vlaue (Cr)'!$C:$FB,100)</f>
        <v>4162</v>
      </c>
      <c r="J172" s="75">
        <f t="shared" si="14"/>
        <v>56</v>
      </c>
      <c r="K172" s="75">
        <f t="shared" si="15"/>
        <v>1.3276434329065909</v>
      </c>
      <c r="L172" s="75">
        <f>VLOOKUP($A172,'Data Vlaue (Cr)'!$C:$FB,67)</f>
        <v>3051</v>
      </c>
      <c r="M172" s="75">
        <f>VLOOKUP($A172,'Data Vlaue (Cr)'!$C:$FB,68)</f>
        <v>1856</v>
      </c>
      <c r="N172" s="75">
        <f t="shared" si="16"/>
        <v>1195</v>
      </c>
      <c r="O172" s="75">
        <f t="shared" si="17"/>
        <v>39.167486070140939</v>
      </c>
      <c r="P172" s="75">
        <f>VLOOKUP($A172,'Data Vlaue (Cr)'!$C:$FB,119)</f>
        <v>0.45</v>
      </c>
      <c r="Q172" s="75">
        <f>VLOOKUP($A172,'Data Vlaue (Cr)'!$C:$FB,122)*100</f>
        <v>4.6500000000000004</v>
      </c>
      <c r="R172" s="75">
        <f>VLOOKUP($A172,'Data Vlaue (Cr)'!$C:$FB,125)</f>
        <v>0.24</v>
      </c>
      <c r="S172" s="75">
        <f>VLOOKUP($A172,'Data Vlaue (Cr)'!$C:$FB,128)*100</f>
        <v>-36.840000000000003</v>
      </c>
    </row>
    <row r="173" spans="1:19" x14ac:dyDescent="0.25">
      <c r="A173" s="96" t="str">
        <f>'Data Vlaue (Cr)'!C164</f>
        <v>POWERINDIA</v>
      </c>
      <c r="B173" s="75">
        <f>VLOOKUP($A173,'Data Vlaue (Cr)'!$C:$FB,2)</f>
        <v>50</v>
      </c>
      <c r="C173" s="75">
        <f>VLOOKUP($A173,'Data Vlaue (Cr)'!$C:$FB,8)</f>
        <v>24880</v>
      </c>
      <c r="D173" s="75">
        <f>VLOOKUP($A173,'Data Vlaue (Cr)'!$C:$FB,4)</f>
        <v>24980</v>
      </c>
      <c r="E173" s="75">
        <f>VLOOKUP($A173,'Data Vlaue (Cr)'!$C:$FB,5)</f>
        <v>25005</v>
      </c>
      <c r="F173" s="75">
        <f t="shared" si="12"/>
        <v>100</v>
      </c>
      <c r="G173" s="75">
        <f t="shared" si="13"/>
        <v>-0.10008006405124098</v>
      </c>
      <c r="H173" s="75">
        <f>VLOOKUP($A173,'Data Vlaue (Cr)'!$C:$FB,99)</f>
        <v>1762</v>
      </c>
      <c r="I173" s="75">
        <f>VLOOKUP($A173,'Data Vlaue (Cr)'!$C:$FB,100)</f>
        <v>1698</v>
      </c>
      <c r="J173" s="75">
        <f t="shared" si="14"/>
        <v>64</v>
      </c>
      <c r="K173" s="75">
        <f t="shared" si="15"/>
        <v>3.6322360953461974</v>
      </c>
      <c r="L173" s="75">
        <f>VLOOKUP($A173,'Data Vlaue (Cr)'!$C:$FB,67)</f>
        <v>1367</v>
      </c>
      <c r="M173" s="75">
        <f>VLOOKUP($A173,'Data Vlaue (Cr)'!$C:$FB,68)</f>
        <v>1056</v>
      </c>
      <c r="N173" s="75">
        <f t="shared" si="16"/>
        <v>311</v>
      </c>
      <c r="O173" s="75">
        <f t="shared" si="17"/>
        <v>22.750548646671543</v>
      </c>
      <c r="P173" s="75">
        <f>VLOOKUP($A173,'Data Vlaue (Cr)'!$C:$FB,119)</f>
        <v>0.81</v>
      </c>
      <c r="Q173" s="75">
        <f>VLOOKUP($A173,'Data Vlaue (Cr)'!$C:$FB,122)*100</f>
        <v>-2.41</v>
      </c>
      <c r="R173" s="75">
        <f>VLOOKUP($A173,'Data Vlaue (Cr)'!$C:$FB,125)</f>
        <v>0.36</v>
      </c>
      <c r="S173" s="75">
        <f>VLOOKUP($A173,'Data Vlaue (Cr)'!$C:$FB,128)*100</f>
        <v>-25</v>
      </c>
    </row>
    <row r="174" spans="1:19" x14ac:dyDescent="0.25">
      <c r="A174" s="96" t="str">
        <f>'Data Vlaue (Cr)'!C165</f>
        <v>PPLPHARMA</v>
      </c>
      <c r="B174" s="75">
        <f>VLOOKUP($A174,'Data Vlaue (Cr)'!$C:$FB,2)</f>
        <v>2625</v>
      </c>
      <c r="C174" s="75">
        <f>VLOOKUP($A174,'Data Vlaue (Cr)'!$C:$FB,8)</f>
        <v>145.54</v>
      </c>
      <c r="D174" s="75">
        <f>VLOOKUP($A174,'Data Vlaue (Cr)'!$C:$FB,4)</f>
        <v>146.11000000000001</v>
      </c>
      <c r="E174" s="75">
        <f>VLOOKUP($A174,'Data Vlaue (Cr)'!$C:$FB,5)</f>
        <v>155.91</v>
      </c>
      <c r="F174" s="75">
        <f t="shared" si="12"/>
        <v>0.5700000000000216</v>
      </c>
      <c r="G174" s="75">
        <f t="shared" si="13"/>
        <v>-6.7072753404968735</v>
      </c>
      <c r="H174" s="75">
        <f>VLOOKUP($A174,'Data Vlaue (Cr)'!$C:$FB,99)</f>
        <v>479</v>
      </c>
      <c r="I174" s="75">
        <f>VLOOKUP($A174,'Data Vlaue (Cr)'!$C:$FB,100)</f>
        <v>426</v>
      </c>
      <c r="J174" s="75">
        <f t="shared" si="14"/>
        <v>53</v>
      </c>
      <c r="K174" s="75">
        <f t="shared" si="15"/>
        <v>11.064718162839249</v>
      </c>
      <c r="L174" s="75">
        <f>VLOOKUP($A174,'Data Vlaue (Cr)'!$C:$FB,67)</f>
        <v>501</v>
      </c>
      <c r="M174" s="75">
        <f>VLOOKUP($A174,'Data Vlaue (Cr)'!$C:$FB,68)</f>
        <v>242</v>
      </c>
      <c r="N174" s="75">
        <f t="shared" si="16"/>
        <v>259</v>
      </c>
      <c r="O174" s="75">
        <f t="shared" si="17"/>
        <v>51.696606786427147</v>
      </c>
      <c r="P174" s="75">
        <f>VLOOKUP($A174,'Data Vlaue (Cr)'!$C:$FB,119)</f>
        <v>0.56999999999999995</v>
      </c>
      <c r="Q174" s="75">
        <f>VLOOKUP($A174,'Data Vlaue (Cr)'!$C:$FB,122)*100</f>
        <v>0</v>
      </c>
      <c r="R174" s="75">
        <f>VLOOKUP($A174,'Data Vlaue (Cr)'!$C:$FB,125)</f>
        <v>1.06</v>
      </c>
      <c r="S174" s="75">
        <f>VLOOKUP($A174,'Data Vlaue (Cr)'!$C:$FB,128)*100</f>
        <v>430</v>
      </c>
    </row>
    <row r="175" spans="1:19" x14ac:dyDescent="0.25">
      <c r="A175" s="96" t="str">
        <f>'Data Vlaue (Cr)'!C166</f>
        <v>PREMIERENE</v>
      </c>
      <c r="B175" s="75">
        <f>VLOOKUP($A175,'Data Vlaue (Cr)'!$C:$FB,2)</f>
        <v>575</v>
      </c>
      <c r="C175" s="75">
        <f>VLOOKUP($A175,'Data Vlaue (Cr)'!$C:$FB,8)</f>
        <v>789.35</v>
      </c>
      <c r="D175" s="75">
        <f>VLOOKUP($A175,'Data Vlaue (Cr)'!$C:$FB,4)</f>
        <v>776.35</v>
      </c>
      <c r="E175" s="75">
        <f>VLOOKUP($A175,'Data Vlaue (Cr)'!$C:$FB,5)</f>
        <v>769.4</v>
      </c>
      <c r="F175" s="75">
        <f t="shared" si="12"/>
        <v>-13</v>
      </c>
      <c r="G175" s="75">
        <f t="shared" si="13"/>
        <v>0.89521478714497915</v>
      </c>
      <c r="H175" s="75">
        <f>VLOOKUP($A175,'Data Vlaue (Cr)'!$C:$FB,99)</f>
        <v>1157</v>
      </c>
      <c r="I175" s="75">
        <f>VLOOKUP($A175,'Data Vlaue (Cr)'!$C:$FB,100)</f>
        <v>1146</v>
      </c>
      <c r="J175" s="75">
        <f t="shared" si="14"/>
        <v>11</v>
      </c>
      <c r="K175" s="75">
        <f t="shared" si="15"/>
        <v>0.95073465859982709</v>
      </c>
      <c r="L175" s="75">
        <f>VLOOKUP($A175,'Data Vlaue (Cr)'!$C:$FB,67)</f>
        <v>780</v>
      </c>
      <c r="M175" s="75">
        <f>VLOOKUP($A175,'Data Vlaue (Cr)'!$C:$FB,68)</f>
        <v>2077</v>
      </c>
      <c r="N175" s="75">
        <f t="shared" si="16"/>
        <v>-1297</v>
      </c>
      <c r="O175" s="75">
        <f t="shared" si="17"/>
        <v>-166.2820512820513</v>
      </c>
      <c r="P175" s="75">
        <f>VLOOKUP($A175,'Data Vlaue (Cr)'!$C:$FB,119)</f>
        <v>0.84</v>
      </c>
      <c r="Q175" s="75">
        <f>VLOOKUP($A175,'Data Vlaue (Cr)'!$C:$FB,122)*100</f>
        <v>1.2</v>
      </c>
      <c r="R175" s="75">
        <f>VLOOKUP($A175,'Data Vlaue (Cr)'!$C:$FB,125)</f>
        <v>0.45</v>
      </c>
      <c r="S175" s="75">
        <f>VLOOKUP($A175,'Data Vlaue (Cr)'!$C:$FB,128)*100</f>
        <v>4.6500000000000004</v>
      </c>
    </row>
    <row r="176" spans="1:19" x14ac:dyDescent="0.25">
      <c r="A176" s="96" t="str">
        <f>'Data Vlaue (Cr)'!C167</f>
        <v>PRESTIGE</v>
      </c>
      <c r="B176" s="75">
        <f>VLOOKUP($A176,'Data Vlaue (Cr)'!$C:$FB,2)</f>
        <v>450</v>
      </c>
      <c r="C176" s="75">
        <f>VLOOKUP($A176,'Data Vlaue (Cr)'!$C:$FB,8)</f>
        <v>1252.7</v>
      </c>
      <c r="D176" s="75">
        <f>VLOOKUP($A176,'Data Vlaue (Cr)'!$C:$FB,4)</f>
        <v>1256.4000000000001</v>
      </c>
      <c r="E176" s="75">
        <f>VLOOKUP($A176,'Data Vlaue (Cr)'!$C:$FB,5)</f>
        <v>1276</v>
      </c>
      <c r="F176" s="75">
        <f t="shared" si="12"/>
        <v>3.7000000000000455</v>
      </c>
      <c r="G176" s="75">
        <f t="shared" si="13"/>
        <v>-1.5600127347978276</v>
      </c>
      <c r="H176" s="75">
        <f>VLOOKUP($A176,'Data Vlaue (Cr)'!$C:$FB,99)</f>
        <v>1042</v>
      </c>
      <c r="I176" s="75">
        <f>VLOOKUP($A176,'Data Vlaue (Cr)'!$C:$FB,100)</f>
        <v>1033</v>
      </c>
      <c r="J176" s="75">
        <f t="shared" si="14"/>
        <v>9</v>
      </c>
      <c r="K176" s="75">
        <f t="shared" si="15"/>
        <v>0.8637236084452975</v>
      </c>
      <c r="L176" s="75">
        <f>VLOOKUP($A176,'Data Vlaue (Cr)'!$C:$FB,67)</f>
        <v>384</v>
      </c>
      <c r="M176" s="75">
        <f>VLOOKUP($A176,'Data Vlaue (Cr)'!$C:$FB,68)</f>
        <v>353</v>
      </c>
      <c r="N176" s="75">
        <f t="shared" si="16"/>
        <v>31</v>
      </c>
      <c r="O176" s="75">
        <f t="shared" si="17"/>
        <v>8.0729166666666679</v>
      </c>
      <c r="P176" s="75">
        <f>VLOOKUP($A176,'Data Vlaue (Cr)'!$C:$FB,119)</f>
        <v>0.81</v>
      </c>
      <c r="Q176" s="75">
        <f>VLOOKUP($A176,'Data Vlaue (Cr)'!$C:$FB,122)*100</f>
        <v>5.19</v>
      </c>
      <c r="R176" s="75">
        <f>VLOOKUP($A176,'Data Vlaue (Cr)'!$C:$FB,125)</f>
        <v>1.01</v>
      </c>
      <c r="S176" s="75">
        <f>VLOOKUP($A176,'Data Vlaue (Cr)'!$C:$FB,128)*100</f>
        <v>26.25</v>
      </c>
    </row>
    <row r="177" spans="1:19" x14ac:dyDescent="0.25">
      <c r="A177" s="96" t="str">
        <f>'Data Vlaue (Cr)'!C168</f>
        <v>RBLBANK</v>
      </c>
      <c r="B177" s="75">
        <f>VLOOKUP($A177,'Data Vlaue (Cr)'!$C:$FB,2)</f>
        <v>3175</v>
      </c>
      <c r="C177" s="75">
        <f>VLOOKUP($A177,'Data Vlaue (Cr)'!$C:$FB,8)</f>
        <v>299.8</v>
      </c>
      <c r="D177" s="75">
        <f>VLOOKUP($A177,'Data Vlaue (Cr)'!$C:$FB,4)</f>
        <v>300.39999999999998</v>
      </c>
      <c r="E177" s="75">
        <f>VLOOKUP($A177,'Data Vlaue (Cr)'!$C:$FB,5)</f>
        <v>299.2</v>
      </c>
      <c r="F177" s="75">
        <f t="shared" ref="F177:F185" si="18">D177-C177</f>
        <v>0.59999999999996589</v>
      </c>
      <c r="G177" s="75">
        <f t="shared" ref="G177:G185" si="19">(D177-E177)/D177*100</f>
        <v>0.3994673768308884</v>
      </c>
      <c r="H177" s="75">
        <f>VLOOKUP($A177,'Data Vlaue (Cr)'!$C:$FB,99)</f>
        <v>3690</v>
      </c>
      <c r="I177" s="75">
        <f>VLOOKUP($A177,'Data Vlaue (Cr)'!$C:$FB,100)</f>
        <v>3594</v>
      </c>
      <c r="J177" s="75">
        <f t="shared" ref="J177:J185" si="20">H177-I177</f>
        <v>96</v>
      </c>
      <c r="K177" s="75">
        <f t="shared" ref="K177:K185" si="21">J177/H177*100</f>
        <v>2.6016260162601625</v>
      </c>
      <c r="L177" s="75">
        <f>VLOOKUP($A177,'Data Vlaue (Cr)'!$C:$FB,67)</f>
        <v>1494</v>
      </c>
      <c r="M177" s="75">
        <f>VLOOKUP($A177,'Data Vlaue (Cr)'!$C:$FB,68)</f>
        <v>1844</v>
      </c>
      <c r="N177" s="75">
        <f t="shared" ref="N177:N185" si="22">L177-M177</f>
        <v>-350</v>
      </c>
      <c r="O177" s="75">
        <f t="shared" ref="O177:O185" si="23">N177/L177*100</f>
        <v>-23.427041499330656</v>
      </c>
      <c r="P177" s="75">
        <f>VLOOKUP($A177,'Data Vlaue (Cr)'!$C:$FB,119)</f>
        <v>1.17</v>
      </c>
      <c r="Q177" s="75">
        <f>VLOOKUP($A177,'Data Vlaue (Cr)'!$C:$FB,122)*100</f>
        <v>3.54</v>
      </c>
      <c r="R177" s="75">
        <f>VLOOKUP($A177,'Data Vlaue (Cr)'!$C:$FB,125)</f>
        <v>0.67</v>
      </c>
      <c r="S177" s="75">
        <f>VLOOKUP($A177,'Data Vlaue (Cr)'!$C:$FB,128)*100</f>
        <v>-22.99</v>
      </c>
    </row>
    <row r="178" spans="1:19" x14ac:dyDescent="0.25">
      <c r="A178" s="96" t="str">
        <f>'Data Vlaue (Cr)'!C169</f>
        <v>RECLTD</v>
      </c>
      <c r="B178" s="75">
        <f>VLOOKUP($A178,'Data Vlaue (Cr)'!$C:$FB,2)</f>
        <v>1400</v>
      </c>
      <c r="C178" s="75">
        <f>VLOOKUP($A178,'Data Vlaue (Cr)'!$C:$FB,8)</f>
        <v>343.5</v>
      </c>
      <c r="D178" s="75">
        <f>VLOOKUP($A178,'Data Vlaue (Cr)'!$C:$FB,4)</f>
        <v>341.15</v>
      </c>
      <c r="E178" s="75">
        <f>VLOOKUP($A178,'Data Vlaue (Cr)'!$C:$FB,5)</f>
        <v>332.2</v>
      </c>
      <c r="F178" s="75">
        <f t="shared" si="18"/>
        <v>-2.3500000000000227</v>
      </c>
      <c r="G178" s="75">
        <f t="shared" si="19"/>
        <v>2.6234794078850916</v>
      </c>
      <c r="H178" s="75">
        <f>VLOOKUP($A178,'Data Vlaue (Cr)'!$C:$FB,99)</f>
        <v>4712</v>
      </c>
      <c r="I178" s="75">
        <f>VLOOKUP($A178,'Data Vlaue (Cr)'!$C:$FB,100)</f>
        <v>4667</v>
      </c>
      <c r="J178" s="75">
        <f t="shared" si="20"/>
        <v>45</v>
      </c>
      <c r="K178" s="75">
        <f t="shared" si="21"/>
        <v>0.95500848896434631</v>
      </c>
      <c r="L178" s="75">
        <f>VLOOKUP($A178,'Data Vlaue (Cr)'!$C:$FB,67)</f>
        <v>2844</v>
      </c>
      <c r="M178" s="75">
        <f>VLOOKUP($A178,'Data Vlaue (Cr)'!$C:$FB,68)</f>
        <v>1210</v>
      </c>
      <c r="N178" s="75">
        <f t="shared" si="22"/>
        <v>1634</v>
      </c>
      <c r="O178" s="75">
        <f t="shared" si="23"/>
        <v>57.454289732770746</v>
      </c>
      <c r="P178" s="75">
        <f>VLOOKUP($A178,'Data Vlaue (Cr)'!$C:$FB,119)</f>
        <v>1.02</v>
      </c>
      <c r="Q178" s="75">
        <f>VLOOKUP($A178,'Data Vlaue (Cr)'!$C:$FB,122)*100</f>
        <v>0.9900000000000001</v>
      </c>
      <c r="R178" s="75">
        <f>VLOOKUP($A178,'Data Vlaue (Cr)'!$C:$FB,125)</f>
        <v>0.43</v>
      </c>
      <c r="S178" s="75">
        <f>VLOOKUP($A178,'Data Vlaue (Cr)'!$C:$FB,128)*100</f>
        <v>-15.690000000000001</v>
      </c>
    </row>
    <row r="179" spans="1:19" x14ac:dyDescent="0.25">
      <c r="A179" s="96" t="str">
        <f>'Data Vlaue (Cr)'!C170</f>
        <v>RELIANCE</v>
      </c>
      <c r="B179" s="75">
        <f>VLOOKUP($A179,'Data Vlaue (Cr)'!$C:$FB,2)</f>
        <v>500</v>
      </c>
      <c r="C179" s="75">
        <f>VLOOKUP($A179,'Data Vlaue (Cr)'!$C:$FB,8)</f>
        <v>1392.2</v>
      </c>
      <c r="D179" s="75">
        <f>VLOOKUP($A179,'Data Vlaue (Cr)'!$C:$FB,4)</f>
        <v>1397</v>
      </c>
      <c r="E179" s="75">
        <f>VLOOKUP($A179,'Data Vlaue (Cr)'!$C:$FB,5)</f>
        <v>1391.2</v>
      </c>
      <c r="F179" s="75">
        <f t="shared" si="18"/>
        <v>4.7999999999999545</v>
      </c>
      <c r="G179" s="75">
        <f t="shared" si="19"/>
        <v>0.41517537580529384</v>
      </c>
      <c r="H179" s="75">
        <f>VLOOKUP($A179,'Data Vlaue (Cr)'!$C:$FB,99)</f>
        <v>31572</v>
      </c>
      <c r="I179" s="75">
        <f>VLOOKUP($A179,'Data Vlaue (Cr)'!$C:$FB,100)</f>
        <v>30632</v>
      </c>
      <c r="J179" s="75">
        <f t="shared" si="20"/>
        <v>940</v>
      </c>
      <c r="K179" s="75">
        <f t="shared" si="21"/>
        <v>2.9773216774357025</v>
      </c>
      <c r="L179" s="75">
        <f>VLOOKUP($A179,'Data Vlaue (Cr)'!$C:$FB,67)</f>
        <v>32836</v>
      </c>
      <c r="M179" s="75">
        <f>VLOOKUP($A179,'Data Vlaue (Cr)'!$C:$FB,68)</f>
        <v>45891</v>
      </c>
      <c r="N179" s="75">
        <f t="shared" si="22"/>
        <v>-13055</v>
      </c>
      <c r="O179" s="75">
        <f t="shared" si="23"/>
        <v>-39.758192228042397</v>
      </c>
      <c r="P179" s="75">
        <f>VLOOKUP($A179,'Data Vlaue (Cr)'!$C:$FB,119)</f>
        <v>0.42</v>
      </c>
      <c r="Q179" s="75">
        <f>VLOOKUP($A179,'Data Vlaue (Cr)'!$C:$FB,122)*100</f>
        <v>2.44</v>
      </c>
      <c r="R179" s="75">
        <f>VLOOKUP($A179,'Data Vlaue (Cr)'!$C:$FB,125)</f>
        <v>0.49</v>
      </c>
      <c r="S179" s="75">
        <f>VLOOKUP($A179,'Data Vlaue (Cr)'!$C:$FB,128)*100</f>
        <v>19.509999999999998</v>
      </c>
    </row>
    <row r="180" spans="1:19" x14ac:dyDescent="0.25">
      <c r="A180" s="96" t="str">
        <f>'Data Vlaue (Cr)'!C171</f>
        <v>RVNL</v>
      </c>
      <c r="B180" s="75">
        <f>VLOOKUP($A180,'Data Vlaue (Cr)'!$C:$FB,2)</f>
        <v>1525</v>
      </c>
      <c r="C180" s="75">
        <f>VLOOKUP($A180,'Data Vlaue (Cr)'!$C:$FB,8)</f>
        <v>279.60000000000002</v>
      </c>
      <c r="D180" s="75">
        <f>VLOOKUP($A180,'Data Vlaue (Cr)'!$C:$FB,4)</f>
        <v>278.7</v>
      </c>
      <c r="E180" s="75">
        <f>VLOOKUP($A180,'Data Vlaue (Cr)'!$C:$FB,5)</f>
        <v>274.14999999999998</v>
      </c>
      <c r="F180" s="75">
        <f t="shared" si="18"/>
        <v>-0.90000000000003411</v>
      </c>
      <c r="G180" s="75">
        <f t="shared" si="19"/>
        <v>1.6325798349479768</v>
      </c>
      <c r="H180" s="75">
        <f>VLOOKUP($A180,'Data Vlaue (Cr)'!$C:$FB,99)</f>
        <v>3118</v>
      </c>
      <c r="I180" s="75">
        <f>VLOOKUP($A180,'Data Vlaue (Cr)'!$C:$FB,100)</f>
        <v>3140</v>
      </c>
      <c r="J180" s="75">
        <f t="shared" si="20"/>
        <v>-22</v>
      </c>
      <c r="K180" s="75">
        <f t="shared" si="21"/>
        <v>-0.7055805003207184</v>
      </c>
      <c r="L180" s="75">
        <f>VLOOKUP($A180,'Data Vlaue (Cr)'!$C:$FB,67)</f>
        <v>1207</v>
      </c>
      <c r="M180" s="75">
        <f>VLOOKUP($A180,'Data Vlaue (Cr)'!$C:$FB,68)</f>
        <v>897</v>
      </c>
      <c r="N180" s="75">
        <f t="shared" si="22"/>
        <v>310</v>
      </c>
      <c r="O180" s="75">
        <f t="shared" si="23"/>
        <v>25.683512841756421</v>
      </c>
      <c r="P180" s="75">
        <f>VLOOKUP($A180,'Data Vlaue (Cr)'!$C:$FB,119)</f>
        <v>0.51</v>
      </c>
      <c r="Q180" s="75">
        <f>VLOOKUP($A180,'Data Vlaue (Cr)'!$C:$FB,122)*100</f>
        <v>-1.92</v>
      </c>
      <c r="R180" s="75">
        <f>VLOOKUP($A180,'Data Vlaue (Cr)'!$C:$FB,125)</f>
        <v>0.39</v>
      </c>
      <c r="S180" s="75">
        <f>VLOOKUP($A180,'Data Vlaue (Cr)'!$C:$FB,128)*100</f>
        <v>8.33</v>
      </c>
    </row>
    <row r="181" spans="1:19" x14ac:dyDescent="0.25">
      <c r="A181" s="96" t="str">
        <f>'Data Vlaue (Cr)'!C172</f>
        <v>SAIL</v>
      </c>
      <c r="B181" s="75">
        <f>VLOOKUP($A181,'Data Vlaue (Cr)'!$C:$FB,2)</f>
        <v>4700</v>
      </c>
      <c r="C181" s="75">
        <f>VLOOKUP($A181,'Data Vlaue (Cr)'!$C:$FB,8)</f>
        <v>153.65</v>
      </c>
      <c r="D181" s="75">
        <f>VLOOKUP($A181,'Data Vlaue (Cr)'!$C:$FB,4)</f>
        <v>153.85</v>
      </c>
      <c r="E181" s="75">
        <f>VLOOKUP($A181,'Data Vlaue (Cr)'!$C:$FB,5)</f>
        <v>155.05000000000001</v>
      </c>
      <c r="F181" s="75">
        <f t="shared" si="18"/>
        <v>0.19999999999998863</v>
      </c>
      <c r="G181" s="75">
        <f t="shared" si="19"/>
        <v>-0.7799805004874989</v>
      </c>
      <c r="H181" s="75">
        <f>VLOOKUP($A181,'Data Vlaue (Cr)'!$C:$FB,99)</f>
        <v>3761</v>
      </c>
      <c r="I181" s="75">
        <f>VLOOKUP($A181,'Data Vlaue (Cr)'!$C:$FB,100)</f>
        <v>3775</v>
      </c>
      <c r="J181" s="75">
        <f t="shared" si="20"/>
        <v>-14</v>
      </c>
      <c r="K181" s="75">
        <f t="shared" si="21"/>
        <v>-0.37224142515288489</v>
      </c>
      <c r="L181" s="75">
        <f>VLOOKUP($A181,'Data Vlaue (Cr)'!$C:$FB,67)</f>
        <v>32</v>
      </c>
      <c r="M181" s="75">
        <f>VLOOKUP($A181,'Data Vlaue (Cr)'!$C:$FB,68)</f>
        <v>37</v>
      </c>
      <c r="N181" s="75">
        <f t="shared" si="22"/>
        <v>-5</v>
      </c>
      <c r="O181" s="75">
        <f t="shared" si="23"/>
        <v>-15.625</v>
      </c>
      <c r="P181" s="75">
        <f>VLOOKUP($A181,'Data Vlaue (Cr)'!$C:$FB,119)</f>
        <v>0.67</v>
      </c>
      <c r="Q181" s="75">
        <f>VLOOKUP($A181,'Data Vlaue (Cr)'!$C:$FB,122)*100</f>
        <v>0</v>
      </c>
      <c r="R181" s="75">
        <f>VLOOKUP($A181,'Data Vlaue (Cr)'!$C:$FB,125)</f>
        <v>1.53</v>
      </c>
      <c r="S181" s="75">
        <f>VLOOKUP($A181,'Data Vlaue (Cr)'!$C:$FB,128)*100</f>
        <v>188.68</v>
      </c>
    </row>
    <row r="182" spans="1:19" x14ac:dyDescent="0.25">
      <c r="A182" s="96" t="str">
        <f>'Data Vlaue (Cr)'!C173</f>
        <v>SAMMAANCAP</v>
      </c>
      <c r="B182" s="75">
        <f>VLOOKUP($A182,'Data Vlaue (Cr)'!$C:$FB,2)</f>
        <v>4300</v>
      </c>
      <c r="C182" s="75">
        <f>VLOOKUP($A182,'Data Vlaue (Cr)'!$C:$FB,8)</f>
        <v>142.41999999999999</v>
      </c>
      <c r="D182" s="75">
        <f>VLOOKUP($A182,'Data Vlaue (Cr)'!$C:$FB,4)</f>
        <v>143.08000000000001</v>
      </c>
      <c r="E182" s="75">
        <f>VLOOKUP($A182,'Data Vlaue (Cr)'!$C:$FB,5)</f>
        <v>146.03</v>
      </c>
      <c r="F182" s="75">
        <f t="shared" si="18"/>
        <v>0.66000000000002501</v>
      </c>
      <c r="G182" s="75">
        <f t="shared" si="19"/>
        <v>-2.0617836175566033</v>
      </c>
      <c r="H182" s="75">
        <f>VLOOKUP($A182,'Data Vlaue (Cr)'!$C:$FB,99)</f>
        <v>2053</v>
      </c>
      <c r="I182" s="75">
        <f>VLOOKUP($A182,'Data Vlaue (Cr)'!$C:$FB,100)</f>
        <v>2059</v>
      </c>
      <c r="J182" s="75">
        <f t="shared" si="20"/>
        <v>-6</v>
      </c>
      <c r="K182" s="75">
        <f t="shared" si="21"/>
        <v>-0.29225523623964927</v>
      </c>
      <c r="L182" s="75">
        <f>VLOOKUP($A182,'Data Vlaue (Cr)'!$C:$FB,67)</f>
        <v>12</v>
      </c>
      <c r="M182" s="75">
        <f>VLOOKUP($A182,'Data Vlaue (Cr)'!$C:$FB,68)</f>
        <v>8</v>
      </c>
      <c r="N182" s="75">
        <f t="shared" si="22"/>
        <v>4</v>
      </c>
      <c r="O182" s="75">
        <f t="shared" si="23"/>
        <v>33.333333333333329</v>
      </c>
      <c r="P182" s="75">
        <f>VLOOKUP($A182,'Data Vlaue (Cr)'!$C:$FB,119)</f>
        <v>0.44</v>
      </c>
      <c r="Q182" s="75">
        <f>VLOOKUP($A182,'Data Vlaue (Cr)'!$C:$FB,122)*100</f>
        <v>0</v>
      </c>
      <c r="R182" s="75">
        <f>VLOOKUP($A182,'Data Vlaue (Cr)'!$C:$FB,125)</f>
        <v>0.08</v>
      </c>
      <c r="S182" s="75">
        <f>VLOOKUP($A182,'Data Vlaue (Cr)'!$C:$FB,128)*100</f>
        <v>-86.67</v>
      </c>
    </row>
    <row r="183" spans="1:19" x14ac:dyDescent="0.25">
      <c r="A183" s="96" t="str">
        <f>'Data Vlaue (Cr)'!C174</f>
        <v>SBICARD</v>
      </c>
      <c r="B183" s="75">
        <f>VLOOKUP($A183,'Data Vlaue (Cr)'!$C:$FB,2)</f>
        <v>800</v>
      </c>
      <c r="C183" s="75">
        <f>VLOOKUP($A183,'Data Vlaue (Cr)'!$C:$FB,8)</f>
        <v>710.25</v>
      </c>
      <c r="D183" s="75">
        <f>VLOOKUP($A183,'Data Vlaue (Cr)'!$C:$FB,4)</f>
        <v>685.7</v>
      </c>
      <c r="E183" s="75">
        <f>VLOOKUP($A183,'Data Vlaue (Cr)'!$C:$FB,5)</f>
        <v>693.2</v>
      </c>
      <c r="F183" s="75">
        <f t="shared" si="18"/>
        <v>-24.549999999999955</v>
      </c>
      <c r="G183" s="75">
        <f t="shared" si="19"/>
        <v>-1.0937727869330611</v>
      </c>
      <c r="H183" s="75">
        <f>VLOOKUP($A183,'Data Vlaue (Cr)'!$C:$FB,99)</f>
        <v>2721</v>
      </c>
      <c r="I183" s="75">
        <f>VLOOKUP($A183,'Data Vlaue (Cr)'!$C:$FB,100)</f>
        <v>2660</v>
      </c>
      <c r="J183" s="75">
        <f t="shared" si="20"/>
        <v>61</v>
      </c>
      <c r="K183" s="75">
        <f t="shared" si="21"/>
        <v>2.2418228592429252</v>
      </c>
      <c r="L183" s="75">
        <f>VLOOKUP($A183,'Data Vlaue (Cr)'!$C:$FB,67)</f>
        <v>549</v>
      </c>
      <c r="M183" s="75">
        <f>VLOOKUP($A183,'Data Vlaue (Cr)'!$C:$FB,68)</f>
        <v>599</v>
      </c>
      <c r="N183" s="75">
        <f t="shared" si="22"/>
        <v>-50</v>
      </c>
      <c r="O183" s="75">
        <f t="shared" si="23"/>
        <v>-9.1074681238615653</v>
      </c>
      <c r="P183" s="75">
        <f>VLOOKUP($A183,'Data Vlaue (Cr)'!$C:$FB,119)</f>
        <v>0.6</v>
      </c>
      <c r="Q183" s="75">
        <f>VLOOKUP($A183,'Data Vlaue (Cr)'!$C:$FB,122)*100</f>
        <v>0</v>
      </c>
      <c r="R183" s="75">
        <f>VLOOKUP($A183,'Data Vlaue (Cr)'!$C:$FB,125)</f>
        <v>0.46</v>
      </c>
      <c r="S183" s="75">
        <f>VLOOKUP($A183,'Data Vlaue (Cr)'!$C:$FB,128)*100</f>
        <v>-4.17</v>
      </c>
    </row>
    <row r="184" spans="1:19" x14ac:dyDescent="0.25">
      <c r="A184" s="96" t="str">
        <f>'Data Vlaue (Cr)'!C175</f>
        <v>SBILIFE</v>
      </c>
      <c r="B184" s="75">
        <f>VLOOKUP($A184,'Data Vlaue (Cr)'!$C:$FB,2)</f>
        <v>375</v>
      </c>
      <c r="C184" s="75">
        <f>VLOOKUP($A184,'Data Vlaue (Cr)'!$C:$FB,8)</f>
        <v>1939.4</v>
      </c>
      <c r="D184" s="75">
        <f>VLOOKUP($A184,'Data Vlaue (Cr)'!$C:$FB,4)</f>
        <v>1941.9</v>
      </c>
      <c r="E184" s="75">
        <f>VLOOKUP($A184,'Data Vlaue (Cr)'!$C:$FB,5)</f>
        <v>1939.8</v>
      </c>
      <c r="F184" s="75">
        <f t="shared" si="18"/>
        <v>2.5</v>
      </c>
      <c r="G184" s="75">
        <f t="shared" si="19"/>
        <v>0.10814151089140205</v>
      </c>
      <c r="H184" s="75">
        <f>VLOOKUP($A184,'Data Vlaue (Cr)'!$C:$FB,99)</f>
        <v>2820</v>
      </c>
      <c r="I184" s="75">
        <f>VLOOKUP($A184,'Data Vlaue (Cr)'!$C:$FB,100)</f>
        <v>2815</v>
      </c>
      <c r="J184" s="75">
        <f t="shared" si="20"/>
        <v>5</v>
      </c>
      <c r="K184" s="75">
        <f t="shared" si="21"/>
        <v>0.1773049645390071</v>
      </c>
      <c r="L184" s="75">
        <f>VLOOKUP($A184,'Data Vlaue (Cr)'!$C:$FB,67)</f>
        <v>696</v>
      </c>
      <c r="M184" s="75">
        <f>VLOOKUP($A184,'Data Vlaue (Cr)'!$C:$FB,68)</f>
        <v>1092</v>
      </c>
      <c r="N184" s="75">
        <f t="shared" si="22"/>
        <v>-396</v>
      </c>
      <c r="O184" s="75">
        <f t="shared" si="23"/>
        <v>-56.896551724137936</v>
      </c>
      <c r="P184" s="75">
        <f>VLOOKUP($A184,'Data Vlaue (Cr)'!$C:$FB,119)</f>
        <v>0.45</v>
      </c>
      <c r="Q184" s="75">
        <f>VLOOKUP($A184,'Data Vlaue (Cr)'!$C:$FB,122)*100</f>
        <v>-2.17</v>
      </c>
      <c r="R184" s="75">
        <f>VLOOKUP($A184,'Data Vlaue (Cr)'!$C:$FB,125)</f>
        <v>0.49</v>
      </c>
      <c r="S184" s="75">
        <f>VLOOKUP($A184,'Data Vlaue (Cr)'!$C:$FB,128)*100</f>
        <v>-15.52</v>
      </c>
    </row>
    <row r="185" spans="1:19" x14ac:dyDescent="0.25">
      <c r="A185" s="96" t="str">
        <f>'Data Vlaue (Cr)'!C176</f>
        <v>SBIN</v>
      </c>
      <c r="B185" s="75">
        <f>VLOOKUP($A185,'Data Vlaue (Cr)'!$C:$FB,2)</f>
        <v>750</v>
      </c>
      <c r="C185" s="75">
        <f>VLOOKUP($A185,'Data Vlaue (Cr)'!$C:$FB,8)</f>
        <v>1085.2</v>
      </c>
      <c r="D185" s="75">
        <f>VLOOKUP($A185,'Data Vlaue (Cr)'!$C:$FB,4)</f>
        <v>1088.9000000000001</v>
      </c>
      <c r="E185" s="75">
        <f>VLOOKUP($A185,'Data Vlaue (Cr)'!$C:$FB,5)</f>
        <v>1093.2</v>
      </c>
      <c r="F185" s="75">
        <f t="shared" si="18"/>
        <v>3.7000000000000455</v>
      </c>
      <c r="G185" s="75">
        <f t="shared" si="19"/>
        <v>-0.39489392965377484</v>
      </c>
      <c r="H185" s="75">
        <f>VLOOKUP($A185,'Data Vlaue (Cr)'!$C:$FB,99)</f>
        <v>18183</v>
      </c>
      <c r="I185" s="75">
        <f>VLOOKUP($A185,'Data Vlaue (Cr)'!$C:$FB,100)</f>
        <v>17495</v>
      </c>
      <c r="J185" s="75">
        <f t="shared" si="20"/>
        <v>688</v>
      </c>
      <c r="K185" s="75">
        <f t="shared" si="21"/>
        <v>3.7837540559863609</v>
      </c>
      <c r="L185" s="75">
        <f>VLOOKUP($A185,'Data Vlaue (Cr)'!$C:$FB,67)</f>
        <v>15446</v>
      </c>
      <c r="M185" s="75">
        <f>VLOOKUP($A185,'Data Vlaue (Cr)'!$C:$FB,68)</f>
        <v>12681</v>
      </c>
      <c r="N185" s="75">
        <f t="shared" si="22"/>
        <v>2765</v>
      </c>
      <c r="O185" s="75">
        <f t="shared" si="23"/>
        <v>17.901074711899518</v>
      </c>
      <c r="P185" s="75">
        <f>VLOOKUP($A185,'Data Vlaue (Cr)'!$C:$FB,119)</f>
        <v>0.62</v>
      </c>
      <c r="Q185" s="75">
        <f>VLOOKUP($A185,'Data Vlaue (Cr)'!$C:$FB,122)*100</f>
        <v>-7.46</v>
      </c>
      <c r="R185" s="75">
        <f>VLOOKUP($A185,'Data Vlaue (Cr)'!$C:$FB,125)</f>
        <v>0.69</v>
      </c>
      <c r="S185" s="75">
        <f>VLOOKUP($A185,'Data Vlaue (Cr)'!$C:$FB,128)*100</f>
        <v>-19.77</v>
      </c>
    </row>
    <row r="186" spans="1:19" x14ac:dyDescent="0.25">
      <c r="A186" s="96" t="str">
        <f>'Data Vlaue (Cr)'!C177</f>
        <v>SHREECEM</v>
      </c>
      <c r="B186" s="75">
        <f>VLOOKUP($A186,'Data Vlaue (Cr)'!$C:$FB,2)</f>
        <v>25</v>
      </c>
      <c r="C186" s="75">
        <f>VLOOKUP($A186,'Data Vlaue (Cr)'!$C:$FB,8)</f>
        <v>23500</v>
      </c>
      <c r="D186" s="75">
        <f>VLOOKUP($A186,'Data Vlaue (Cr)'!$C:$FB,4)</f>
        <v>23515</v>
      </c>
      <c r="E186" s="75">
        <f>VLOOKUP($A186,'Data Vlaue (Cr)'!$C:$FB,5)</f>
        <v>23660</v>
      </c>
      <c r="F186" s="75">
        <f t="shared" ref="F186:F193" si="24">D186-C186</f>
        <v>15</v>
      </c>
      <c r="G186" s="75">
        <f t="shared" ref="G186:G193" si="25">(D186-E186)/D186*100</f>
        <v>-0.61662768445672977</v>
      </c>
      <c r="H186" s="75">
        <f>VLOOKUP($A186,'Data Vlaue (Cr)'!$C:$FB,99)</f>
        <v>1315</v>
      </c>
      <c r="I186" s="75">
        <f>VLOOKUP($A186,'Data Vlaue (Cr)'!$C:$FB,100)</f>
        <v>1299</v>
      </c>
      <c r="J186" s="75">
        <f t="shared" ref="J186:J193" si="26">H186-I186</f>
        <v>16</v>
      </c>
      <c r="K186" s="75">
        <f t="shared" ref="K186:K193" si="27">J186/H186*100</f>
        <v>1.2167300380228137</v>
      </c>
      <c r="L186" s="75">
        <f>VLOOKUP($A186,'Data Vlaue (Cr)'!$C:$FB,67)</f>
        <v>251</v>
      </c>
      <c r="M186" s="75">
        <f>VLOOKUP($A186,'Data Vlaue (Cr)'!$C:$FB,68)</f>
        <v>309</v>
      </c>
      <c r="N186" s="75">
        <f t="shared" ref="N186:N193" si="28">L186-M186</f>
        <v>-58</v>
      </c>
      <c r="O186" s="75">
        <f t="shared" ref="O186:O193" si="29">N186/L186*100</f>
        <v>-23.107569721115535</v>
      </c>
      <c r="P186" s="75">
        <f>VLOOKUP($A186,'Data Vlaue (Cr)'!$C:$FB,119)</f>
        <v>0.71</v>
      </c>
      <c r="Q186" s="75">
        <f>VLOOKUP($A186,'Data Vlaue (Cr)'!$C:$FB,122)*100</f>
        <v>5.9700000000000006</v>
      </c>
      <c r="R186" s="75">
        <f>VLOOKUP($A186,'Data Vlaue (Cr)'!$C:$FB,125)</f>
        <v>0.77</v>
      </c>
      <c r="S186" s="75">
        <f>VLOOKUP($A186,'Data Vlaue (Cr)'!$C:$FB,128)*100</f>
        <v>-33.619999999999997</v>
      </c>
    </row>
    <row r="187" spans="1:19" x14ac:dyDescent="0.25">
      <c r="A187" s="96" t="str">
        <f>'Data Vlaue (Cr)'!C178</f>
        <v>SHRIRAMFIN</v>
      </c>
      <c r="B187" s="75">
        <f>VLOOKUP($A187,'Data Vlaue (Cr)'!$C:$FB,2)</f>
        <v>825</v>
      </c>
      <c r="C187" s="75">
        <f>VLOOKUP($A187,'Data Vlaue (Cr)'!$C:$FB,8)</f>
        <v>1031.7</v>
      </c>
      <c r="D187" s="75">
        <f>VLOOKUP($A187,'Data Vlaue (Cr)'!$C:$FB,4)</f>
        <v>1035.5</v>
      </c>
      <c r="E187" s="75">
        <f>VLOOKUP($A187,'Data Vlaue (Cr)'!$C:$FB,5)</f>
        <v>1035.9000000000001</v>
      </c>
      <c r="F187" s="75">
        <f t="shared" si="24"/>
        <v>3.7999999999999545</v>
      </c>
      <c r="G187" s="75">
        <f t="shared" si="25"/>
        <v>-3.8628681796242487E-2</v>
      </c>
      <c r="H187" s="75">
        <f>VLOOKUP($A187,'Data Vlaue (Cr)'!$C:$FB,99)</f>
        <v>6567</v>
      </c>
      <c r="I187" s="75">
        <f>VLOOKUP($A187,'Data Vlaue (Cr)'!$C:$FB,100)</f>
        <v>6416</v>
      </c>
      <c r="J187" s="75">
        <f t="shared" si="26"/>
        <v>151</v>
      </c>
      <c r="K187" s="75">
        <f t="shared" si="27"/>
        <v>2.299375666209837</v>
      </c>
      <c r="L187" s="75">
        <f>VLOOKUP($A187,'Data Vlaue (Cr)'!$C:$FB,67)</f>
        <v>4411</v>
      </c>
      <c r="M187" s="75">
        <f>VLOOKUP($A187,'Data Vlaue (Cr)'!$C:$FB,68)</f>
        <v>5440</v>
      </c>
      <c r="N187" s="75">
        <f t="shared" si="28"/>
        <v>-1029</v>
      </c>
      <c r="O187" s="75">
        <f t="shared" si="29"/>
        <v>-23.328043527544775</v>
      </c>
      <c r="P187" s="75">
        <f>VLOOKUP($A187,'Data Vlaue (Cr)'!$C:$FB,119)</f>
        <v>0.86</v>
      </c>
      <c r="Q187" s="75">
        <f>VLOOKUP($A187,'Data Vlaue (Cr)'!$C:$FB,122)*100</f>
        <v>1.18</v>
      </c>
      <c r="R187" s="75">
        <f>VLOOKUP($A187,'Data Vlaue (Cr)'!$C:$FB,125)</f>
        <v>0.68</v>
      </c>
      <c r="S187" s="75">
        <f>VLOOKUP($A187,'Data Vlaue (Cr)'!$C:$FB,128)*100</f>
        <v>-15</v>
      </c>
    </row>
    <row r="188" spans="1:19" x14ac:dyDescent="0.25">
      <c r="A188" s="96" t="str">
        <f>'Data Vlaue (Cr)'!C179</f>
        <v>SIEMENS</v>
      </c>
      <c r="B188" s="75">
        <f>VLOOKUP($A188,'Data Vlaue (Cr)'!$C:$FB,2)</f>
        <v>175</v>
      </c>
      <c r="C188" s="75">
        <f>VLOOKUP($A188,'Data Vlaue (Cr)'!$C:$FB,8)</f>
        <v>3324.7</v>
      </c>
      <c r="D188" s="75">
        <f>VLOOKUP($A188,'Data Vlaue (Cr)'!$C:$FB,4)</f>
        <v>3319.3</v>
      </c>
      <c r="E188" s="75">
        <f>VLOOKUP($A188,'Data Vlaue (Cr)'!$C:$FB,5)</f>
        <v>3271.1</v>
      </c>
      <c r="F188" s="75">
        <f t="shared" si="24"/>
        <v>-5.3999999999996362</v>
      </c>
      <c r="G188" s="75">
        <f t="shared" si="25"/>
        <v>1.4521133974030751</v>
      </c>
      <c r="H188" s="75">
        <f>VLOOKUP($A188,'Data Vlaue (Cr)'!$C:$FB,99)</f>
        <v>1624</v>
      </c>
      <c r="I188" s="75">
        <f>VLOOKUP($A188,'Data Vlaue (Cr)'!$C:$FB,100)</f>
        <v>1612</v>
      </c>
      <c r="J188" s="75">
        <f t="shared" si="26"/>
        <v>12</v>
      </c>
      <c r="K188" s="75">
        <f t="shared" si="27"/>
        <v>0.73891625615763545</v>
      </c>
      <c r="L188" s="75">
        <f>VLOOKUP($A188,'Data Vlaue (Cr)'!$C:$FB,67)</f>
        <v>1722</v>
      </c>
      <c r="M188" s="75">
        <f>VLOOKUP($A188,'Data Vlaue (Cr)'!$C:$FB,68)</f>
        <v>1431</v>
      </c>
      <c r="N188" s="75">
        <f t="shared" si="28"/>
        <v>291</v>
      </c>
      <c r="O188" s="75">
        <f t="shared" si="29"/>
        <v>16.898954703832754</v>
      </c>
      <c r="P188" s="75">
        <f>VLOOKUP($A188,'Data Vlaue (Cr)'!$C:$FB,119)</f>
        <v>0.51</v>
      </c>
      <c r="Q188" s="75">
        <f>VLOOKUP($A188,'Data Vlaue (Cr)'!$C:$FB,122)*100</f>
        <v>-7.2700000000000005</v>
      </c>
      <c r="R188" s="75">
        <f>VLOOKUP($A188,'Data Vlaue (Cr)'!$C:$FB,125)</f>
        <v>0.32</v>
      </c>
      <c r="S188" s="75">
        <f>VLOOKUP($A188,'Data Vlaue (Cr)'!$C:$FB,128)*100</f>
        <v>-20</v>
      </c>
    </row>
    <row r="189" spans="1:19" x14ac:dyDescent="0.25">
      <c r="A189" s="96" t="str">
        <f>'Data Vlaue (Cr)'!C180</f>
        <v>SOLARINDS</v>
      </c>
      <c r="B189" s="75">
        <f>VLOOKUP($A189,'Data Vlaue (Cr)'!$C:$FB,2)</f>
        <v>50</v>
      </c>
      <c r="C189" s="75">
        <f>VLOOKUP($A189,'Data Vlaue (Cr)'!$C:$FB,8)</f>
        <v>14525</v>
      </c>
      <c r="D189" s="75">
        <f>VLOOKUP($A189,'Data Vlaue (Cr)'!$C:$FB,4)</f>
        <v>14547</v>
      </c>
      <c r="E189" s="75">
        <f>VLOOKUP($A189,'Data Vlaue (Cr)'!$C:$FB,5)</f>
        <v>14563</v>
      </c>
      <c r="F189" s="75">
        <f t="shared" si="24"/>
        <v>22</v>
      </c>
      <c r="G189" s="75">
        <f t="shared" si="25"/>
        <v>-0.10998831374166496</v>
      </c>
      <c r="H189" s="75">
        <f>VLOOKUP($A189,'Data Vlaue (Cr)'!$C:$FB,99)</f>
        <v>2017</v>
      </c>
      <c r="I189" s="75">
        <f>VLOOKUP($A189,'Data Vlaue (Cr)'!$C:$FB,100)</f>
        <v>2033</v>
      </c>
      <c r="J189" s="75">
        <f t="shared" si="26"/>
        <v>-16</v>
      </c>
      <c r="K189" s="75">
        <f t="shared" si="27"/>
        <v>-0.79325731284085266</v>
      </c>
      <c r="L189" s="75">
        <f>VLOOKUP($A189,'Data Vlaue (Cr)'!$C:$FB,67)</f>
        <v>995</v>
      </c>
      <c r="M189" s="75">
        <f>VLOOKUP($A189,'Data Vlaue (Cr)'!$C:$FB,68)</f>
        <v>1485</v>
      </c>
      <c r="N189" s="75">
        <f t="shared" si="28"/>
        <v>-490</v>
      </c>
      <c r="O189" s="75">
        <f t="shared" si="29"/>
        <v>-49.246231155778894</v>
      </c>
      <c r="P189" s="75">
        <f>VLOOKUP($A189,'Data Vlaue (Cr)'!$C:$FB,119)</f>
        <v>0.73</v>
      </c>
      <c r="Q189" s="75">
        <f>VLOOKUP($A189,'Data Vlaue (Cr)'!$C:$FB,122)*100</f>
        <v>4.29</v>
      </c>
      <c r="R189" s="75">
        <f>VLOOKUP($A189,'Data Vlaue (Cr)'!$C:$FB,125)</f>
        <v>0.42</v>
      </c>
      <c r="S189" s="75">
        <f>VLOOKUP($A189,'Data Vlaue (Cr)'!$C:$FB,128)*100</f>
        <v>-51.160000000000004</v>
      </c>
    </row>
    <row r="190" spans="1:19" x14ac:dyDescent="0.25">
      <c r="A190" s="96" t="str">
        <f>'Data Vlaue (Cr)'!C181</f>
        <v>SONACOMS</v>
      </c>
      <c r="B190" s="75">
        <f>VLOOKUP($A190,'Data Vlaue (Cr)'!$C:$FB,2)</f>
        <v>1225</v>
      </c>
      <c r="C190" s="75">
        <f>VLOOKUP($A190,'Data Vlaue (Cr)'!$C:$FB,8)</f>
        <v>510.3</v>
      </c>
      <c r="D190" s="75">
        <f>VLOOKUP($A190,'Data Vlaue (Cr)'!$C:$FB,4)</f>
        <v>511.35</v>
      </c>
      <c r="E190" s="75">
        <f>VLOOKUP($A190,'Data Vlaue (Cr)'!$C:$FB,5)</f>
        <v>517.4</v>
      </c>
      <c r="F190" s="75">
        <f t="shared" si="24"/>
        <v>1.0500000000000114</v>
      </c>
      <c r="G190" s="75">
        <f t="shared" si="25"/>
        <v>-1.1831426615820777</v>
      </c>
      <c r="H190" s="75">
        <f>VLOOKUP($A190,'Data Vlaue (Cr)'!$C:$FB,99)</f>
        <v>1068</v>
      </c>
      <c r="I190" s="75">
        <f>VLOOKUP($A190,'Data Vlaue (Cr)'!$C:$FB,100)</f>
        <v>1064</v>
      </c>
      <c r="J190" s="75">
        <f t="shared" si="26"/>
        <v>4</v>
      </c>
      <c r="K190" s="75">
        <f t="shared" si="27"/>
        <v>0.37453183520599254</v>
      </c>
      <c r="L190" s="75">
        <f>VLOOKUP($A190,'Data Vlaue (Cr)'!$C:$FB,67)</f>
        <v>414</v>
      </c>
      <c r="M190" s="75">
        <f>VLOOKUP($A190,'Data Vlaue (Cr)'!$C:$FB,68)</f>
        <v>1681</v>
      </c>
      <c r="N190" s="75">
        <f t="shared" si="28"/>
        <v>-1267</v>
      </c>
      <c r="O190" s="75">
        <f t="shared" si="29"/>
        <v>-306.03864734299515</v>
      </c>
      <c r="P190" s="75">
        <f>VLOOKUP($A190,'Data Vlaue (Cr)'!$C:$FB,119)</f>
        <v>0.69</v>
      </c>
      <c r="Q190" s="75">
        <f>VLOOKUP($A190,'Data Vlaue (Cr)'!$C:$FB,122)*100</f>
        <v>-4.17</v>
      </c>
      <c r="R190" s="75">
        <f>VLOOKUP($A190,'Data Vlaue (Cr)'!$C:$FB,125)</f>
        <v>0.67</v>
      </c>
      <c r="S190" s="75">
        <f>VLOOKUP($A190,'Data Vlaue (Cr)'!$C:$FB,128)*100</f>
        <v>179.17000000000002</v>
      </c>
    </row>
    <row r="191" spans="1:19" x14ac:dyDescent="0.25">
      <c r="A191" s="96" t="str">
        <f>'Data Vlaue (Cr)'!C182</f>
        <v>SRF</v>
      </c>
      <c r="B191" s="75">
        <f>VLOOKUP($A191,'Data Vlaue (Cr)'!$C:$FB,2)</f>
        <v>200</v>
      </c>
      <c r="C191" s="75">
        <f>VLOOKUP($A191,'Data Vlaue (Cr)'!$C:$FB,8)</f>
        <v>2626.3</v>
      </c>
      <c r="D191" s="75">
        <f>VLOOKUP($A191,'Data Vlaue (Cr)'!$C:$FB,4)</f>
        <v>2626.9</v>
      </c>
      <c r="E191" s="75">
        <f>VLOOKUP($A191,'Data Vlaue (Cr)'!$C:$FB,5)</f>
        <v>2489</v>
      </c>
      <c r="F191" s="75">
        <f t="shared" si="24"/>
        <v>0.59999999999990905</v>
      </c>
      <c r="G191" s="75">
        <f t="shared" si="25"/>
        <v>5.2495336708668043</v>
      </c>
      <c r="H191" s="75">
        <f>VLOOKUP($A191,'Data Vlaue (Cr)'!$C:$FB,99)</f>
        <v>1723</v>
      </c>
      <c r="I191" s="75">
        <f>VLOOKUP($A191,'Data Vlaue (Cr)'!$C:$FB,100)</f>
        <v>1736</v>
      </c>
      <c r="J191" s="75">
        <f t="shared" si="26"/>
        <v>-13</v>
      </c>
      <c r="K191" s="75">
        <f t="shared" si="27"/>
        <v>-0.75449796865931518</v>
      </c>
      <c r="L191" s="75">
        <f>VLOOKUP($A191,'Data Vlaue (Cr)'!$C:$FB,67)</f>
        <v>3288</v>
      </c>
      <c r="M191" s="75">
        <f>VLOOKUP($A191,'Data Vlaue (Cr)'!$C:$FB,68)</f>
        <v>1332</v>
      </c>
      <c r="N191" s="75">
        <f t="shared" si="28"/>
        <v>1956</v>
      </c>
      <c r="O191" s="75">
        <f t="shared" si="29"/>
        <v>59.489051094890513</v>
      </c>
      <c r="P191" s="75">
        <f>VLOOKUP($A191,'Data Vlaue (Cr)'!$C:$FB,119)</f>
        <v>0.83</v>
      </c>
      <c r="Q191" s="75">
        <f>VLOOKUP($A191,'Data Vlaue (Cr)'!$C:$FB,122)*100</f>
        <v>-1.1900000000000002</v>
      </c>
      <c r="R191" s="75">
        <f>VLOOKUP($A191,'Data Vlaue (Cr)'!$C:$FB,125)</f>
        <v>0.47</v>
      </c>
      <c r="S191" s="75">
        <f>VLOOKUP($A191,'Data Vlaue (Cr)'!$C:$FB,128)*100</f>
        <v>-66.19</v>
      </c>
    </row>
    <row r="192" spans="1:19" x14ac:dyDescent="0.25">
      <c r="A192" s="96" t="str">
        <f>'Data Vlaue (Cr)'!C183</f>
        <v>SUNPHARMA</v>
      </c>
      <c r="B192" s="75">
        <f>VLOOKUP($A192,'Data Vlaue (Cr)'!$C:$FB,2)</f>
        <v>350</v>
      </c>
      <c r="C192" s="75">
        <f>VLOOKUP($A192,'Data Vlaue (Cr)'!$C:$FB,8)</f>
        <v>1825.3</v>
      </c>
      <c r="D192" s="75">
        <f>VLOOKUP($A192,'Data Vlaue (Cr)'!$C:$FB,4)</f>
        <v>1827.7</v>
      </c>
      <c r="E192" s="75">
        <f>VLOOKUP($A192,'Data Vlaue (Cr)'!$C:$FB,5)</f>
        <v>1827.6</v>
      </c>
      <c r="F192" s="75">
        <f t="shared" si="24"/>
        <v>2.4000000000000909</v>
      </c>
      <c r="G192" s="75">
        <f t="shared" si="25"/>
        <v>5.4713574437892662E-3</v>
      </c>
      <c r="H192" s="75">
        <f>VLOOKUP($A192,'Data Vlaue (Cr)'!$C:$FB,99)</f>
        <v>7997</v>
      </c>
      <c r="I192" s="75">
        <f>VLOOKUP($A192,'Data Vlaue (Cr)'!$C:$FB,100)</f>
        <v>7608</v>
      </c>
      <c r="J192" s="75">
        <f t="shared" si="26"/>
        <v>389</v>
      </c>
      <c r="K192" s="75">
        <f t="shared" si="27"/>
        <v>4.8643241215455797</v>
      </c>
      <c r="L192" s="75">
        <f>VLOOKUP($A192,'Data Vlaue (Cr)'!$C:$FB,67)</f>
        <v>3635</v>
      </c>
      <c r="M192" s="75">
        <f>VLOOKUP($A192,'Data Vlaue (Cr)'!$C:$FB,68)</f>
        <v>4896</v>
      </c>
      <c r="N192" s="75">
        <f t="shared" si="28"/>
        <v>-1261</v>
      </c>
      <c r="O192" s="75">
        <f t="shared" si="29"/>
        <v>-34.690508940852823</v>
      </c>
      <c r="P192" s="75">
        <f>VLOOKUP($A192,'Data Vlaue (Cr)'!$C:$FB,119)</f>
        <v>0.54</v>
      </c>
      <c r="Q192" s="75">
        <f>VLOOKUP($A192,'Data Vlaue (Cr)'!$C:$FB,122)*100</f>
        <v>-5.26</v>
      </c>
      <c r="R192" s="75">
        <f>VLOOKUP($A192,'Data Vlaue (Cr)'!$C:$FB,125)</f>
        <v>0.66</v>
      </c>
      <c r="S192" s="75">
        <f>VLOOKUP($A192,'Data Vlaue (Cr)'!$C:$FB,128)*100</f>
        <v>37.5</v>
      </c>
    </row>
    <row r="193" spans="1:19" x14ac:dyDescent="0.25">
      <c r="A193" s="96" t="str">
        <f>'Data Vlaue (Cr)'!C184</f>
        <v>SUPREMEIND</v>
      </c>
      <c r="B193" s="75">
        <f>VLOOKUP($A193,'Data Vlaue (Cr)'!$C:$FB,2)</f>
        <v>175</v>
      </c>
      <c r="C193" s="75">
        <f>VLOOKUP($A193,'Data Vlaue (Cr)'!$C:$FB,8)</f>
        <v>4043.7</v>
      </c>
      <c r="D193" s="75">
        <f>VLOOKUP($A193,'Data Vlaue (Cr)'!$C:$FB,4)</f>
        <v>4029.8</v>
      </c>
      <c r="E193" s="75">
        <f>VLOOKUP($A193,'Data Vlaue (Cr)'!$C:$FB,5)</f>
        <v>4037.3</v>
      </c>
      <c r="F193" s="75">
        <f t="shared" si="24"/>
        <v>-13.899999999999636</v>
      </c>
      <c r="G193" s="75">
        <f t="shared" si="25"/>
        <v>-0.18611345476202293</v>
      </c>
      <c r="H193" s="75">
        <f>VLOOKUP($A193,'Data Vlaue (Cr)'!$C:$FB,99)</f>
        <v>1128</v>
      </c>
      <c r="I193" s="75">
        <f>VLOOKUP($A193,'Data Vlaue (Cr)'!$C:$FB,100)</f>
        <v>1077</v>
      </c>
      <c r="J193" s="75">
        <f t="shared" si="26"/>
        <v>51</v>
      </c>
      <c r="K193" s="75">
        <f t="shared" si="27"/>
        <v>4.5212765957446814</v>
      </c>
      <c r="L193" s="75">
        <f>VLOOKUP($A193,'Data Vlaue (Cr)'!$C:$FB,67)</f>
        <v>897</v>
      </c>
      <c r="M193" s="75">
        <f>VLOOKUP($A193,'Data Vlaue (Cr)'!$C:$FB,68)</f>
        <v>1865</v>
      </c>
      <c r="N193" s="75">
        <f t="shared" si="28"/>
        <v>-968</v>
      </c>
      <c r="O193" s="75">
        <f t="shared" si="29"/>
        <v>-107.91527313266445</v>
      </c>
      <c r="P193" s="75">
        <f>VLOOKUP($A193,'Data Vlaue (Cr)'!$C:$FB,119)</f>
        <v>0.61</v>
      </c>
      <c r="Q193" s="75">
        <f>VLOOKUP($A193,'Data Vlaue (Cr)'!$C:$FB,122)*100</f>
        <v>0</v>
      </c>
      <c r="R193" s="75">
        <f>VLOOKUP($A193,'Data Vlaue (Cr)'!$C:$FB,125)</f>
        <v>0.4</v>
      </c>
      <c r="S193" s="75">
        <f>VLOOKUP($A193,'Data Vlaue (Cr)'!$C:$FB,128)*100</f>
        <v>90.48</v>
      </c>
    </row>
    <row r="194" spans="1:19" ht="13.9" customHeight="1" x14ac:dyDescent="0.25">
      <c r="A194" s="96" t="str">
        <f>'Data Vlaue (Cr)'!C185</f>
        <v>SUZLON</v>
      </c>
      <c r="B194" s="75">
        <f>VLOOKUP($A194,'Data Vlaue (Cr)'!$C:$FB,2)</f>
        <v>9025</v>
      </c>
      <c r="C194" s="75">
        <f>VLOOKUP($A194,'Data Vlaue (Cr)'!$C:$FB,8)</f>
        <v>42.43</v>
      </c>
      <c r="D194" s="75">
        <f>VLOOKUP($A194,'Data Vlaue (Cr)'!$C:$FB,4)</f>
        <v>42.5</v>
      </c>
      <c r="E194" s="75">
        <f>VLOOKUP($A194,'Data Vlaue (Cr)'!$C:$FB,5)</f>
        <v>41.67</v>
      </c>
      <c r="F194" s="75">
        <f t="shared" ref="F194:F214" si="30">D194-C194</f>
        <v>7.0000000000000284E-2</v>
      </c>
      <c r="G194" s="75">
        <f t="shared" ref="G194:G214" si="31">(D194-E194)/D194*100</f>
        <v>1.9529411764705844</v>
      </c>
      <c r="H194" s="75">
        <f>VLOOKUP($A194,'Data Vlaue (Cr)'!$C:$FB,99)</f>
        <v>2582</v>
      </c>
      <c r="I194" s="75">
        <f>VLOOKUP($A194,'Data Vlaue (Cr)'!$C:$FB,100)</f>
        <v>2610</v>
      </c>
      <c r="J194" s="75">
        <f t="shared" ref="J194:J214" si="32">H194-I194</f>
        <v>-28</v>
      </c>
      <c r="K194" s="75">
        <f t="shared" ref="K194:K214" si="33">J194/H194*100</f>
        <v>-1.0844306738962044</v>
      </c>
      <c r="L194" s="75">
        <f>VLOOKUP($A194,'Data Vlaue (Cr)'!$C:$FB,67)</f>
        <v>1933</v>
      </c>
      <c r="M194" s="75">
        <f>VLOOKUP($A194,'Data Vlaue (Cr)'!$C:$FB,68)</f>
        <v>1360</v>
      </c>
      <c r="N194" s="75">
        <f t="shared" ref="N194:N214" si="34">L194-M194</f>
        <v>573</v>
      </c>
      <c r="O194" s="75">
        <f t="shared" ref="O194:O214" si="35">N194/L194*100</f>
        <v>29.643041903776513</v>
      </c>
      <c r="P194" s="75">
        <f>VLOOKUP($A194,'Data Vlaue (Cr)'!$C:$FB,119)</f>
        <v>0.42</v>
      </c>
      <c r="Q194" s="75">
        <f>VLOOKUP($A194,'Data Vlaue (Cr)'!$C:$FB,122)*100</f>
        <v>13.51</v>
      </c>
      <c r="R194" s="75">
        <f>VLOOKUP($A194,'Data Vlaue (Cr)'!$C:$FB,125)</f>
        <v>0.23</v>
      </c>
      <c r="S194" s="75">
        <f>VLOOKUP($A194,'Data Vlaue (Cr)'!$C:$FB,128)*100</f>
        <v>15</v>
      </c>
    </row>
    <row r="195" spans="1:19" x14ac:dyDescent="0.25">
      <c r="A195" s="96" t="str">
        <f>'Data Vlaue (Cr)'!C186</f>
        <v>SWIGGY</v>
      </c>
      <c r="B195" s="75">
        <f>VLOOKUP($A195,'Data Vlaue (Cr)'!$C:$FB,2)</f>
        <v>1300</v>
      </c>
      <c r="C195" s="75">
        <f>VLOOKUP($A195,'Data Vlaue (Cr)'!$C:$FB,8)</f>
        <v>280.89999999999998</v>
      </c>
      <c r="D195" s="75">
        <f>VLOOKUP($A195,'Data Vlaue (Cr)'!$C:$FB,4)</f>
        <v>280.75</v>
      </c>
      <c r="E195" s="75">
        <f>VLOOKUP($A195,'Data Vlaue (Cr)'!$C:$FB,5)</f>
        <v>284.55</v>
      </c>
      <c r="F195" s="75">
        <f t="shared" si="30"/>
        <v>-0.14999999999997726</v>
      </c>
      <c r="G195" s="75">
        <f t="shared" si="31"/>
        <v>-1.3535173642030318</v>
      </c>
      <c r="H195" s="75">
        <f>VLOOKUP($A195,'Data Vlaue (Cr)'!$C:$FB,99)</f>
        <v>2008</v>
      </c>
      <c r="I195" s="75">
        <f>VLOOKUP($A195,'Data Vlaue (Cr)'!$C:$FB,100)</f>
        <v>1876</v>
      </c>
      <c r="J195" s="75">
        <f t="shared" si="32"/>
        <v>132</v>
      </c>
      <c r="K195" s="75">
        <f t="shared" si="33"/>
        <v>6.573705179282868</v>
      </c>
      <c r="L195" s="75">
        <f>VLOOKUP($A195,'Data Vlaue (Cr)'!$C:$FB,67)</f>
        <v>1186</v>
      </c>
      <c r="M195" s="75">
        <f>VLOOKUP($A195,'Data Vlaue (Cr)'!$C:$FB,68)</f>
        <v>568</v>
      </c>
      <c r="N195" s="75">
        <f t="shared" si="34"/>
        <v>618</v>
      </c>
      <c r="O195" s="75">
        <f t="shared" si="35"/>
        <v>52.107925801011802</v>
      </c>
      <c r="P195" s="75">
        <f>VLOOKUP($A195,'Data Vlaue (Cr)'!$C:$FB,119)</f>
        <v>0.84</v>
      </c>
      <c r="Q195" s="75">
        <f>VLOOKUP($A195,'Data Vlaue (Cr)'!$C:$FB,122)*100</f>
        <v>3.6999999999999997</v>
      </c>
      <c r="R195" s="75">
        <f>VLOOKUP($A195,'Data Vlaue (Cr)'!$C:$FB,125)</f>
        <v>1.86</v>
      </c>
      <c r="S195" s="75">
        <f>VLOOKUP($A195,'Data Vlaue (Cr)'!$C:$FB,128)*100</f>
        <v>50</v>
      </c>
    </row>
    <row r="196" spans="1:19" x14ac:dyDescent="0.25">
      <c r="A196" s="96" t="str">
        <f>'Data Vlaue (Cr)'!C187</f>
        <v>SYNGENE</v>
      </c>
      <c r="B196" s="75">
        <f>VLOOKUP($A196,'Data Vlaue (Cr)'!$C:$FB,2)</f>
        <v>1000</v>
      </c>
      <c r="C196" s="75">
        <f>VLOOKUP($A196,'Data Vlaue (Cr)'!$C:$FB,8)</f>
        <v>404.1</v>
      </c>
      <c r="D196" s="75">
        <f>VLOOKUP($A196,'Data Vlaue (Cr)'!$C:$FB,4)</f>
        <v>404.75</v>
      </c>
      <c r="E196" s="75">
        <f>VLOOKUP($A196,'Data Vlaue (Cr)'!$C:$FB,5)</f>
        <v>407.9</v>
      </c>
      <c r="F196" s="75">
        <f t="shared" si="30"/>
        <v>0.64999999999997726</v>
      </c>
      <c r="G196" s="75">
        <f t="shared" si="31"/>
        <v>-0.77825818406423153</v>
      </c>
      <c r="H196" s="75">
        <f>VLOOKUP($A196,'Data Vlaue (Cr)'!$C:$FB,99)</f>
        <v>692</v>
      </c>
      <c r="I196" s="75">
        <f>VLOOKUP($A196,'Data Vlaue (Cr)'!$C:$FB,100)</f>
        <v>686</v>
      </c>
      <c r="J196" s="75">
        <f t="shared" si="32"/>
        <v>6</v>
      </c>
      <c r="K196" s="75">
        <f t="shared" si="33"/>
        <v>0.86705202312138718</v>
      </c>
      <c r="L196" s="75">
        <f>VLOOKUP($A196,'Data Vlaue (Cr)'!$C:$FB,67)</f>
        <v>248</v>
      </c>
      <c r="M196" s="75">
        <f>VLOOKUP($A196,'Data Vlaue (Cr)'!$C:$FB,68)</f>
        <v>235</v>
      </c>
      <c r="N196" s="75">
        <f t="shared" si="34"/>
        <v>13</v>
      </c>
      <c r="O196" s="75">
        <f t="shared" si="35"/>
        <v>5.241935483870968</v>
      </c>
      <c r="P196" s="75">
        <f>VLOOKUP($A196,'Data Vlaue (Cr)'!$C:$FB,119)</f>
        <v>0.53</v>
      </c>
      <c r="Q196" s="75">
        <f>VLOOKUP($A196,'Data Vlaue (Cr)'!$C:$FB,122)*100</f>
        <v>-7.02</v>
      </c>
      <c r="R196" s="75">
        <f>VLOOKUP($A196,'Data Vlaue (Cr)'!$C:$FB,125)</f>
        <v>0.69</v>
      </c>
      <c r="S196" s="75">
        <f>VLOOKUP($A196,'Data Vlaue (Cr)'!$C:$FB,128)*100</f>
        <v>165.38</v>
      </c>
    </row>
    <row r="197" spans="1:19" x14ac:dyDescent="0.25">
      <c r="A197" s="96" t="str">
        <f>'Data Vlaue (Cr)'!C188</f>
        <v>TATACONSUM</v>
      </c>
      <c r="B197" s="75">
        <f>VLOOKUP($A197,'Data Vlaue (Cr)'!$C:$FB,2)</f>
        <v>550</v>
      </c>
      <c r="C197" s="75">
        <f>VLOOKUP($A197,'Data Vlaue (Cr)'!$C:$FB,8)</f>
        <v>1057.8</v>
      </c>
      <c r="D197" s="75">
        <f>VLOOKUP($A197,'Data Vlaue (Cr)'!$C:$FB,4)</f>
        <v>1061.5</v>
      </c>
      <c r="E197" s="75">
        <f>VLOOKUP($A197,'Data Vlaue (Cr)'!$C:$FB,5)</f>
        <v>1076.5999999999999</v>
      </c>
      <c r="F197" s="75">
        <f t="shared" si="30"/>
        <v>3.7000000000000455</v>
      </c>
      <c r="G197" s="75">
        <f t="shared" si="31"/>
        <v>-1.4225153085256628</v>
      </c>
      <c r="H197" s="75">
        <f>VLOOKUP($A197,'Data Vlaue (Cr)'!$C:$FB,99)</f>
        <v>1927</v>
      </c>
      <c r="I197" s="75">
        <f>VLOOKUP($A197,'Data Vlaue (Cr)'!$C:$FB,100)</f>
        <v>1914</v>
      </c>
      <c r="J197" s="75">
        <f t="shared" si="32"/>
        <v>13</v>
      </c>
      <c r="K197" s="75">
        <f t="shared" si="33"/>
        <v>0.67462376751427089</v>
      </c>
      <c r="L197" s="75">
        <f>VLOOKUP($A197,'Data Vlaue (Cr)'!$C:$FB,67)</f>
        <v>435</v>
      </c>
      <c r="M197" s="75">
        <f>VLOOKUP($A197,'Data Vlaue (Cr)'!$C:$FB,68)</f>
        <v>783</v>
      </c>
      <c r="N197" s="75">
        <f t="shared" si="34"/>
        <v>-348</v>
      </c>
      <c r="O197" s="75">
        <f t="shared" si="35"/>
        <v>-80</v>
      </c>
      <c r="P197" s="75">
        <f>VLOOKUP($A197,'Data Vlaue (Cr)'!$C:$FB,119)</f>
        <v>0.54</v>
      </c>
      <c r="Q197" s="75">
        <f>VLOOKUP($A197,'Data Vlaue (Cr)'!$C:$FB,122)*100</f>
        <v>-16.919999999999998</v>
      </c>
      <c r="R197" s="75">
        <f>VLOOKUP($A197,'Data Vlaue (Cr)'!$C:$FB,125)</f>
        <v>0.88</v>
      </c>
      <c r="S197" s="75">
        <f>VLOOKUP($A197,'Data Vlaue (Cr)'!$C:$FB,128)*100</f>
        <v>-43.95</v>
      </c>
    </row>
    <row r="198" spans="1:19" x14ac:dyDescent="0.25">
      <c r="A198" s="96" t="str">
        <f>'Data Vlaue (Cr)'!C189</f>
        <v>TATAELXSI</v>
      </c>
      <c r="B198" s="75">
        <f>VLOOKUP($A198,'Data Vlaue (Cr)'!$C:$FB,2)</f>
        <v>100</v>
      </c>
      <c r="C198" s="75">
        <f>VLOOKUP($A198,'Data Vlaue (Cr)'!$C:$FB,8)</f>
        <v>4330</v>
      </c>
      <c r="D198" s="75">
        <f>VLOOKUP($A198,'Data Vlaue (Cr)'!$C:$FB,4)</f>
        <v>4312.3999999999996</v>
      </c>
      <c r="E198" s="75">
        <f>VLOOKUP($A198,'Data Vlaue (Cr)'!$C:$FB,5)</f>
        <v>4334.7</v>
      </c>
      <c r="F198" s="75">
        <f t="shared" si="30"/>
        <v>-17.600000000000364</v>
      </c>
      <c r="G198" s="75">
        <f t="shared" si="31"/>
        <v>-0.51711344031166362</v>
      </c>
      <c r="H198" s="75">
        <f>VLOOKUP($A198,'Data Vlaue (Cr)'!$C:$FB,99)</f>
        <v>2007</v>
      </c>
      <c r="I198" s="75">
        <f>VLOOKUP($A198,'Data Vlaue (Cr)'!$C:$FB,100)</f>
        <v>1950</v>
      </c>
      <c r="J198" s="75">
        <f t="shared" si="32"/>
        <v>57</v>
      </c>
      <c r="K198" s="75">
        <f t="shared" si="33"/>
        <v>2.8400597907324365</v>
      </c>
      <c r="L198" s="75">
        <f>VLOOKUP($A198,'Data Vlaue (Cr)'!$C:$FB,67)</f>
        <v>1134</v>
      </c>
      <c r="M198" s="75">
        <f>VLOOKUP($A198,'Data Vlaue (Cr)'!$C:$FB,68)</f>
        <v>1340</v>
      </c>
      <c r="N198" s="75">
        <f t="shared" si="34"/>
        <v>-206</v>
      </c>
      <c r="O198" s="75">
        <f t="shared" si="35"/>
        <v>-18.165784832451497</v>
      </c>
      <c r="P198" s="75">
        <f>VLOOKUP($A198,'Data Vlaue (Cr)'!$C:$FB,119)</f>
        <v>0.42</v>
      </c>
      <c r="Q198" s="75">
        <f>VLOOKUP($A198,'Data Vlaue (Cr)'!$C:$FB,122)*100</f>
        <v>-6.67</v>
      </c>
      <c r="R198" s="75">
        <f>VLOOKUP($A198,'Data Vlaue (Cr)'!$C:$FB,125)</f>
        <v>0.31</v>
      </c>
      <c r="S198" s="75">
        <f>VLOOKUP($A198,'Data Vlaue (Cr)'!$C:$FB,128)*100</f>
        <v>47.620000000000005</v>
      </c>
    </row>
    <row r="199" spans="1:19" x14ac:dyDescent="0.25">
      <c r="A199" s="96" t="str">
        <f>'Data Vlaue (Cr)'!C190</f>
        <v>TATAPOWER</v>
      </c>
      <c r="B199" s="75">
        <f>VLOOKUP($A199,'Data Vlaue (Cr)'!$C:$FB,2)</f>
        <v>1450</v>
      </c>
      <c r="C199" s="75">
        <f>VLOOKUP($A199,'Data Vlaue (Cr)'!$C:$FB,8)</f>
        <v>402.15</v>
      </c>
      <c r="D199" s="75">
        <f>VLOOKUP($A199,'Data Vlaue (Cr)'!$C:$FB,4)</f>
        <v>403.6</v>
      </c>
      <c r="E199" s="75">
        <f>VLOOKUP($A199,'Data Vlaue (Cr)'!$C:$FB,5)</f>
        <v>386.9</v>
      </c>
      <c r="F199" s="75">
        <f t="shared" si="30"/>
        <v>1.4500000000000455</v>
      </c>
      <c r="G199" s="75">
        <f t="shared" si="31"/>
        <v>4.1377601585728554</v>
      </c>
      <c r="H199" s="75">
        <f>VLOOKUP($A199,'Data Vlaue (Cr)'!$C:$FB,99)</f>
        <v>4648</v>
      </c>
      <c r="I199" s="75">
        <f>VLOOKUP($A199,'Data Vlaue (Cr)'!$C:$FB,100)</f>
        <v>4295</v>
      </c>
      <c r="J199" s="75">
        <f t="shared" si="32"/>
        <v>353</v>
      </c>
      <c r="K199" s="75">
        <f t="shared" si="33"/>
        <v>7.5946643717728053</v>
      </c>
      <c r="L199" s="75">
        <f>VLOOKUP($A199,'Data Vlaue (Cr)'!$C:$FB,67)</f>
        <v>12891</v>
      </c>
      <c r="M199" s="75">
        <f>VLOOKUP($A199,'Data Vlaue (Cr)'!$C:$FB,68)</f>
        <v>5726</v>
      </c>
      <c r="N199" s="75">
        <f t="shared" si="34"/>
        <v>7165</v>
      </c>
      <c r="O199" s="75">
        <f t="shared" si="35"/>
        <v>55.581413389186253</v>
      </c>
      <c r="P199" s="75">
        <f>VLOOKUP($A199,'Data Vlaue (Cr)'!$C:$FB,119)</f>
        <v>1.03</v>
      </c>
      <c r="Q199" s="75">
        <f>VLOOKUP($A199,'Data Vlaue (Cr)'!$C:$FB,122)*100</f>
        <v>28.749999999999996</v>
      </c>
      <c r="R199" s="75">
        <f>VLOOKUP($A199,'Data Vlaue (Cr)'!$C:$FB,125)</f>
        <v>0.37</v>
      </c>
      <c r="S199" s="75">
        <f>VLOOKUP($A199,'Data Vlaue (Cr)'!$C:$FB,128)*100</f>
        <v>15.620000000000001</v>
      </c>
    </row>
    <row r="200" spans="1:19" x14ac:dyDescent="0.25">
      <c r="A200" s="96" t="str">
        <f>'Data Vlaue (Cr)'!C191</f>
        <v>TATASTEEL</v>
      </c>
      <c r="B200" s="75">
        <f>VLOOKUP($A200,'Data Vlaue (Cr)'!$C:$FB,2)</f>
        <v>5500</v>
      </c>
      <c r="C200" s="75">
        <f>VLOOKUP($A200,'Data Vlaue (Cr)'!$C:$FB,8)</f>
        <v>193.47</v>
      </c>
      <c r="D200" s="75">
        <f>VLOOKUP($A200,'Data Vlaue (Cr)'!$C:$FB,4)</f>
        <v>193.92</v>
      </c>
      <c r="E200" s="75">
        <f>VLOOKUP($A200,'Data Vlaue (Cr)'!$C:$FB,5)</f>
        <v>194.99</v>
      </c>
      <c r="F200" s="75">
        <f t="shared" si="30"/>
        <v>0.44999999999998863</v>
      </c>
      <c r="G200" s="75">
        <f t="shared" si="31"/>
        <v>-0.55177392739275044</v>
      </c>
      <c r="H200" s="75">
        <f>VLOOKUP($A200,'Data Vlaue (Cr)'!$C:$FB,99)</f>
        <v>8698</v>
      </c>
      <c r="I200" s="75">
        <f>VLOOKUP($A200,'Data Vlaue (Cr)'!$C:$FB,100)</f>
        <v>8658</v>
      </c>
      <c r="J200" s="75">
        <f t="shared" si="32"/>
        <v>40</v>
      </c>
      <c r="K200" s="75">
        <f t="shared" si="33"/>
        <v>0.45987583352494821</v>
      </c>
      <c r="L200" s="75">
        <f>VLOOKUP($A200,'Data Vlaue (Cr)'!$C:$FB,67)</f>
        <v>3457</v>
      </c>
      <c r="M200" s="75">
        <f>VLOOKUP($A200,'Data Vlaue (Cr)'!$C:$FB,68)</f>
        <v>4798</v>
      </c>
      <c r="N200" s="75">
        <f t="shared" si="34"/>
        <v>-1341</v>
      </c>
      <c r="O200" s="75">
        <f t="shared" si="35"/>
        <v>-38.790859126410183</v>
      </c>
      <c r="P200" s="75">
        <f>VLOOKUP($A200,'Data Vlaue (Cr)'!$C:$FB,119)</f>
        <v>0.65</v>
      </c>
      <c r="Q200" s="75">
        <f>VLOOKUP($A200,'Data Vlaue (Cr)'!$C:$FB,122)*100</f>
        <v>0</v>
      </c>
      <c r="R200" s="75">
        <f>VLOOKUP($A200,'Data Vlaue (Cr)'!$C:$FB,125)</f>
        <v>0.55000000000000004</v>
      </c>
      <c r="S200" s="75">
        <f>VLOOKUP($A200,'Data Vlaue (Cr)'!$C:$FB,128)*100</f>
        <v>3.7699999999999996</v>
      </c>
    </row>
    <row r="201" spans="1:19" x14ac:dyDescent="0.25">
      <c r="A201" s="96" t="str">
        <f>'Data Vlaue (Cr)'!C192</f>
        <v>TATATECH</v>
      </c>
      <c r="B201" s="75">
        <f>VLOOKUP($A201,'Data Vlaue (Cr)'!$C:$FB,2)</f>
        <v>800</v>
      </c>
      <c r="C201" s="75">
        <f>VLOOKUP($A201,'Data Vlaue (Cr)'!$C:$FB,8)</f>
        <v>551.85</v>
      </c>
      <c r="D201" s="75">
        <f>VLOOKUP($A201,'Data Vlaue (Cr)'!$C:$FB,4)</f>
        <v>554.29999999999995</v>
      </c>
      <c r="E201" s="75">
        <f>VLOOKUP($A201,'Data Vlaue (Cr)'!$C:$FB,5)</f>
        <v>557.65</v>
      </c>
      <c r="F201" s="75">
        <f t="shared" si="30"/>
        <v>2.4499999999999318</v>
      </c>
      <c r="G201" s="75">
        <f t="shared" si="31"/>
        <v>-0.60436586685910565</v>
      </c>
      <c r="H201" s="75">
        <f>VLOOKUP($A201,'Data Vlaue (Cr)'!$C:$FB,99)</f>
        <v>1003</v>
      </c>
      <c r="I201" s="75">
        <f>VLOOKUP($A201,'Data Vlaue (Cr)'!$C:$FB,100)</f>
        <v>1003</v>
      </c>
      <c r="J201" s="75">
        <f t="shared" si="32"/>
        <v>0</v>
      </c>
      <c r="K201" s="75">
        <f t="shared" si="33"/>
        <v>0</v>
      </c>
      <c r="L201" s="75">
        <f>VLOOKUP($A201,'Data Vlaue (Cr)'!$C:$FB,67)</f>
        <v>221</v>
      </c>
      <c r="M201" s="75">
        <f>VLOOKUP($A201,'Data Vlaue (Cr)'!$C:$FB,68)</f>
        <v>148</v>
      </c>
      <c r="N201" s="75">
        <f t="shared" si="34"/>
        <v>73</v>
      </c>
      <c r="O201" s="75">
        <f t="shared" si="35"/>
        <v>33.031674208144793</v>
      </c>
      <c r="P201" s="75">
        <f>VLOOKUP($A201,'Data Vlaue (Cr)'!$C:$FB,119)</f>
        <v>0.56000000000000005</v>
      </c>
      <c r="Q201" s="75">
        <f>VLOOKUP($A201,'Data Vlaue (Cr)'!$C:$FB,122)*100</f>
        <v>-1.7500000000000002</v>
      </c>
      <c r="R201" s="75">
        <f>VLOOKUP($A201,'Data Vlaue (Cr)'!$C:$FB,125)</f>
        <v>0.32</v>
      </c>
      <c r="S201" s="75">
        <f>VLOOKUP($A201,'Data Vlaue (Cr)'!$C:$FB,128)*100</f>
        <v>-17.95</v>
      </c>
    </row>
    <row r="202" spans="1:19" x14ac:dyDescent="0.25">
      <c r="A202" s="96" t="str">
        <f>'Data Vlaue (Cr)'!C193</f>
        <v>TCS</v>
      </c>
      <c r="B202" s="75">
        <f>VLOOKUP($A202,'Data Vlaue (Cr)'!$C:$FB,2)</f>
        <v>175</v>
      </c>
      <c r="C202" s="75">
        <f>VLOOKUP($A202,'Data Vlaue (Cr)'!$C:$FB,8)</f>
        <v>2442.4</v>
      </c>
      <c r="D202" s="75">
        <f>VLOOKUP($A202,'Data Vlaue (Cr)'!$C:$FB,4)</f>
        <v>2453</v>
      </c>
      <c r="E202" s="75">
        <f>VLOOKUP($A202,'Data Vlaue (Cr)'!$C:$FB,5)</f>
        <v>2470.3000000000002</v>
      </c>
      <c r="F202" s="75">
        <f t="shared" si="30"/>
        <v>10.599999999999909</v>
      </c>
      <c r="G202" s="75">
        <f t="shared" si="31"/>
        <v>-0.70525886669385174</v>
      </c>
      <c r="H202" s="75">
        <f>VLOOKUP($A202,'Data Vlaue (Cr)'!$C:$FB,99)</f>
        <v>14604</v>
      </c>
      <c r="I202" s="75">
        <f>VLOOKUP($A202,'Data Vlaue (Cr)'!$C:$FB,100)</f>
        <v>14373</v>
      </c>
      <c r="J202" s="75">
        <f t="shared" si="32"/>
        <v>231</v>
      </c>
      <c r="K202" s="75">
        <f t="shared" si="33"/>
        <v>1.5817584223500412</v>
      </c>
      <c r="L202" s="75">
        <f>VLOOKUP($A202,'Data Vlaue (Cr)'!$C:$FB,67)</f>
        <v>5806</v>
      </c>
      <c r="M202" s="75">
        <f>VLOOKUP($A202,'Data Vlaue (Cr)'!$C:$FB,68)</f>
        <v>5941</v>
      </c>
      <c r="N202" s="75">
        <f t="shared" si="34"/>
        <v>-135</v>
      </c>
      <c r="O202" s="75">
        <f t="shared" si="35"/>
        <v>-2.3251808473992419</v>
      </c>
      <c r="P202" s="75">
        <f>VLOOKUP($A202,'Data Vlaue (Cr)'!$C:$FB,119)</f>
        <v>0.56000000000000005</v>
      </c>
      <c r="Q202" s="75">
        <f>VLOOKUP($A202,'Data Vlaue (Cr)'!$C:$FB,122)*100</f>
        <v>-3.45</v>
      </c>
      <c r="R202" s="75">
        <f>VLOOKUP($A202,'Data Vlaue (Cr)'!$C:$FB,125)</f>
        <v>0.55000000000000004</v>
      </c>
      <c r="S202" s="75">
        <f>VLOOKUP($A202,'Data Vlaue (Cr)'!$C:$FB,128)*100</f>
        <v>-5.17</v>
      </c>
    </row>
    <row r="203" spans="1:19" x14ac:dyDescent="0.25">
      <c r="A203" s="96" t="str">
        <f>'Data Vlaue (Cr)'!C194</f>
        <v>TECHM</v>
      </c>
      <c r="B203" s="75">
        <f>VLOOKUP($A203,'Data Vlaue (Cr)'!$C:$FB,2)</f>
        <v>600</v>
      </c>
      <c r="C203" s="75">
        <f>VLOOKUP($A203,'Data Vlaue (Cr)'!$C:$FB,8)</f>
        <v>1349.8</v>
      </c>
      <c r="D203" s="75">
        <f>VLOOKUP($A203,'Data Vlaue (Cr)'!$C:$FB,4)</f>
        <v>1351.3</v>
      </c>
      <c r="E203" s="75">
        <f>VLOOKUP($A203,'Data Vlaue (Cr)'!$C:$FB,5)</f>
        <v>1335.6</v>
      </c>
      <c r="F203" s="75">
        <f t="shared" si="30"/>
        <v>1.5</v>
      </c>
      <c r="G203" s="75">
        <f t="shared" si="31"/>
        <v>1.1618441500777064</v>
      </c>
      <c r="H203" s="75">
        <f>VLOOKUP($A203,'Data Vlaue (Cr)'!$C:$FB,99)</f>
        <v>4595</v>
      </c>
      <c r="I203" s="75">
        <f>VLOOKUP($A203,'Data Vlaue (Cr)'!$C:$FB,100)</f>
        <v>4545</v>
      </c>
      <c r="J203" s="75">
        <f t="shared" si="32"/>
        <v>50</v>
      </c>
      <c r="K203" s="75">
        <f t="shared" si="33"/>
        <v>1.088139281828074</v>
      </c>
      <c r="L203" s="75">
        <f>VLOOKUP($A203,'Data Vlaue (Cr)'!$C:$FB,67)</f>
        <v>2428</v>
      </c>
      <c r="M203" s="75">
        <f>VLOOKUP($A203,'Data Vlaue (Cr)'!$C:$FB,68)</f>
        <v>1906</v>
      </c>
      <c r="N203" s="75">
        <f t="shared" si="34"/>
        <v>522</v>
      </c>
      <c r="O203" s="75">
        <f t="shared" si="35"/>
        <v>21.499176276771003</v>
      </c>
      <c r="P203" s="75">
        <f>VLOOKUP($A203,'Data Vlaue (Cr)'!$C:$FB,119)</f>
        <v>0.59</v>
      </c>
      <c r="Q203" s="75">
        <f>VLOOKUP($A203,'Data Vlaue (Cr)'!$C:$FB,122)*100</f>
        <v>-7.8100000000000005</v>
      </c>
      <c r="R203" s="75">
        <f>VLOOKUP($A203,'Data Vlaue (Cr)'!$C:$FB,125)</f>
        <v>0.35</v>
      </c>
      <c r="S203" s="75">
        <f>VLOOKUP($A203,'Data Vlaue (Cr)'!$C:$FB,128)*100</f>
        <v>-31.369999999999997</v>
      </c>
    </row>
    <row r="204" spans="1:19" x14ac:dyDescent="0.25">
      <c r="A204" s="96" t="str">
        <f>'Data Vlaue (Cr)'!C195</f>
        <v>TIINDIA</v>
      </c>
      <c r="B204" s="75">
        <f>VLOOKUP($A204,'Data Vlaue (Cr)'!$C:$FB,2)</f>
        <v>200</v>
      </c>
      <c r="C204" s="75">
        <f>VLOOKUP($A204,'Data Vlaue (Cr)'!$C:$FB,8)</f>
        <v>2549.6999999999998</v>
      </c>
      <c r="D204" s="75">
        <f>VLOOKUP($A204,'Data Vlaue (Cr)'!$C:$FB,4)</f>
        <v>2550.1999999999998</v>
      </c>
      <c r="E204" s="75">
        <f>VLOOKUP($A204,'Data Vlaue (Cr)'!$C:$FB,5)</f>
        <v>2568.6</v>
      </c>
      <c r="F204" s="75">
        <f t="shared" si="30"/>
        <v>0.5</v>
      </c>
      <c r="G204" s="75">
        <f t="shared" si="31"/>
        <v>-0.72151203827151178</v>
      </c>
      <c r="H204" s="75">
        <f>VLOOKUP($A204,'Data Vlaue (Cr)'!$C:$FB,99)</f>
        <v>1074</v>
      </c>
      <c r="I204" s="75">
        <f>VLOOKUP($A204,'Data Vlaue (Cr)'!$C:$FB,100)</f>
        <v>1079</v>
      </c>
      <c r="J204" s="75">
        <f t="shared" si="32"/>
        <v>-5</v>
      </c>
      <c r="K204" s="75">
        <f t="shared" si="33"/>
        <v>-0.46554934823091249</v>
      </c>
      <c r="L204" s="75">
        <f>VLOOKUP($A204,'Data Vlaue (Cr)'!$C:$FB,67)</f>
        <v>289</v>
      </c>
      <c r="M204" s="75">
        <f>VLOOKUP($A204,'Data Vlaue (Cr)'!$C:$FB,68)</f>
        <v>353</v>
      </c>
      <c r="N204" s="75">
        <f t="shared" si="34"/>
        <v>-64</v>
      </c>
      <c r="O204" s="75">
        <f t="shared" si="35"/>
        <v>-22.145328719723185</v>
      </c>
      <c r="P204" s="75">
        <f>VLOOKUP($A204,'Data Vlaue (Cr)'!$C:$FB,119)</f>
        <v>0.74</v>
      </c>
      <c r="Q204" s="75">
        <f>VLOOKUP($A204,'Data Vlaue (Cr)'!$C:$FB,122)*100</f>
        <v>-1.3299999999999998</v>
      </c>
      <c r="R204" s="75">
        <f>VLOOKUP($A204,'Data Vlaue (Cr)'!$C:$FB,125)</f>
        <v>1.34</v>
      </c>
      <c r="S204" s="75">
        <f>VLOOKUP($A204,'Data Vlaue (Cr)'!$C:$FB,128)*100</f>
        <v>179.17000000000002</v>
      </c>
    </row>
    <row r="205" spans="1:19" x14ac:dyDescent="0.25">
      <c r="A205" s="96" t="str">
        <f>'Data Vlaue (Cr)'!C196</f>
        <v>TITAN</v>
      </c>
      <c r="B205" s="75">
        <f>VLOOKUP($A205,'Data Vlaue (Cr)'!$C:$FB,2)</f>
        <v>175</v>
      </c>
      <c r="C205" s="75">
        <f>VLOOKUP($A205,'Data Vlaue (Cr)'!$C:$FB,8)</f>
        <v>4129.6000000000004</v>
      </c>
      <c r="D205" s="75">
        <f>VLOOKUP($A205,'Data Vlaue (Cr)'!$C:$FB,4)</f>
        <v>4145.6000000000004</v>
      </c>
      <c r="E205" s="75">
        <f>VLOOKUP($A205,'Data Vlaue (Cr)'!$C:$FB,5)</f>
        <v>4143.6000000000004</v>
      </c>
      <c r="F205" s="75">
        <f t="shared" si="30"/>
        <v>16</v>
      </c>
      <c r="G205" s="75">
        <f t="shared" si="31"/>
        <v>4.8243921265920489E-2</v>
      </c>
      <c r="H205" s="75">
        <f>VLOOKUP($A205,'Data Vlaue (Cr)'!$C:$FB,99)</f>
        <v>5914</v>
      </c>
      <c r="I205" s="75">
        <f>VLOOKUP($A205,'Data Vlaue (Cr)'!$C:$FB,100)</f>
        <v>5738</v>
      </c>
      <c r="J205" s="75">
        <f t="shared" si="32"/>
        <v>176</v>
      </c>
      <c r="K205" s="75">
        <f t="shared" si="33"/>
        <v>2.97598917822117</v>
      </c>
      <c r="L205" s="75">
        <f>VLOOKUP($A205,'Data Vlaue (Cr)'!$C:$FB,67)</f>
        <v>3171</v>
      </c>
      <c r="M205" s="75">
        <f>VLOOKUP($A205,'Data Vlaue (Cr)'!$C:$FB,68)</f>
        <v>1617</v>
      </c>
      <c r="N205" s="75">
        <f t="shared" si="34"/>
        <v>1554</v>
      </c>
      <c r="O205" s="75">
        <f t="shared" si="35"/>
        <v>49.006622516556291</v>
      </c>
      <c r="P205" s="75">
        <f>VLOOKUP($A205,'Data Vlaue (Cr)'!$C:$FB,119)</f>
        <v>0.46</v>
      </c>
      <c r="Q205" s="75">
        <f>VLOOKUP($A205,'Data Vlaue (Cr)'!$C:$FB,122)*100</f>
        <v>-8</v>
      </c>
      <c r="R205" s="75">
        <f>VLOOKUP($A205,'Data Vlaue (Cr)'!$C:$FB,125)</f>
        <v>0.63</v>
      </c>
      <c r="S205" s="75">
        <f>VLOOKUP($A205,'Data Vlaue (Cr)'!$C:$FB,128)*100</f>
        <v>-32.26</v>
      </c>
    </row>
    <row r="206" spans="1:19" x14ac:dyDescent="0.25">
      <c r="A206" s="96" t="str">
        <f>'Data Vlaue (Cr)'!C197</f>
        <v>TMPV</v>
      </c>
      <c r="B206" s="75">
        <f>VLOOKUP($A206,'Data Vlaue (Cr)'!$C:$FB,2)</f>
        <v>800</v>
      </c>
      <c r="C206" s="75">
        <f>VLOOKUP($A206,'Data Vlaue (Cr)'!$C:$FB,8)</f>
        <v>324.55</v>
      </c>
      <c r="D206" s="75">
        <f>VLOOKUP($A206,'Data Vlaue (Cr)'!$C:$FB,4)</f>
        <v>325.45</v>
      </c>
      <c r="E206" s="75">
        <f>VLOOKUP($A206,'Data Vlaue (Cr)'!$C:$FB,5)</f>
        <v>336.25</v>
      </c>
      <c r="F206" s="75">
        <f t="shared" si="30"/>
        <v>0.89999999999997726</v>
      </c>
      <c r="G206" s="75">
        <f t="shared" si="31"/>
        <v>-3.3184821017053348</v>
      </c>
      <c r="H206" s="75">
        <f>VLOOKUP($A206,'Data Vlaue (Cr)'!$C:$FB,99)</f>
        <v>4933</v>
      </c>
      <c r="I206" s="75">
        <f>VLOOKUP($A206,'Data Vlaue (Cr)'!$C:$FB,100)</f>
        <v>4799</v>
      </c>
      <c r="J206" s="75">
        <f t="shared" si="32"/>
        <v>134</v>
      </c>
      <c r="K206" s="75">
        <f t="shared" si="33"/>
        <v>2.7163997567403202</v>
      </c>
      <c r="L206" s="75">
        <f>VLOOKUP($A206,'Data Vlaue (Cr)'!$C:$FB,67)</f>
        <v>2728</v>
      </c>
      <c r="M206" s="75">
        <f>VLOOKUP($A206,'Data Vlaue (Cr)'!$C:$FB,68)</f>
        <v>1733</v>
      </c>
      <c r="N206" s="75">
        <f t="shared" si="34"/>
        <v>995</v>
      </c>
      <c r="O206" s="75">
        <f t="shared" si="35"/>
        <v>36.47360703812317</v>
      </c>
      <c r="P206" s="75">
        <f>VLOOKUP($A206,'Data Vlaue (Cr)'!$C:$FB,119)</f>
        <v>0.49</v>
      </c>
      <c r="Q206" s="75">
        <f>VLOOKUP($A206,'Data Vlaue (Cr)'!$C:$FB,122)*100</f>
        <v>-7.55</v>
      </c>
      <c r="R206" s="75">
        <f>VLOOKUP($A206,'Data Vlaue (Cr)'!$C:$FB,125)</f>
        <v>0.7</v>
      </c>
      <c r="S206" s="75">
        <f>VLOOKUP($A206,'Data Vlaue (Cr)'!$C:$FB,128)*100</f>
        <v>18.64</v>
      </c>
    </row>
    <row r="207" spans="1:19" x14ac:dyDescent="0.25">
      <c r="A207" s="96" t="str">
        <f>'Data Vlaue (Cr)'!C198</f>
        <v>TORNTPHARM</v>
      </c>
      <c r="B207" s="75">
        <f>VLOOKUP($A207,'Data Vlaue (Cr)'!$C:$FB,2)</f>
        <v>250</v>
      </c>
      <c r="C207" s="75">
        <f>VLOOKUP($A207,'Data Vlaue (Cr)'!$C:$FB,8)</f>
        <v>4446</v>
      </c>
      <c r="D207" s="75">
        <f>VLOOKUP($A207,'Data Vlaue (Cr)'!$C:$FB,4)</f>
        <v>4442.8</v>
      </c>
      <c r="E207" s="75">
        <f>VLOOKUP($A207,'Data Vlaue (Cr)'!$C:$FB,5)</f>
        <v>4438.7</v>
      </c>
      <c r="F207" s="75">
        <f t="shared" si="30"/>
        <v>-3.1999999999998181</v>
      </c>
      <c r="G207" s="75">
        <f t="shared" si="31"/>
        <v>9.2284145133707654E-2</v>
      </c>
      <c r="H207" s="75">
        <f>VLOOKUP($A207,'Data Vlaue (Cr)'!$C:$FB,99)</f>
        <v>1892</v>
      </c>
      <c r="I207" s="75">
        <f>VLOOKUP($A207,'Data Vlaue (Cr)'!$C:$FB,100)</f>
        <v>1861</v>
      </c>
      <c r="J207" s="75">
        <f t="shared" si="32"/>
        <v>31</v>
      </c>
      <c r="K207" s="75">
        <f t="shared" si="33"/>
        <v>1.6384778012684991</v>
      </c>
      <c r="L207" s="75">
        <f>VLOOKUP($A207,'Data Vlaue (Cr)'!$C:$FB,67)</f>
        <v>711</v>
      </c>
      <c r="M207" s="75">
        <f>VLOOKUP($A207,'Data Vlaue (Cr)'!$C:$FB,68)</f>
        <v>700</v>
      </c>
      <c r="N207" s="75">
        <f t="shared" si="34"/>
        <v>11</v>
      </c>
      <c r="O207" s="75">
        <f t="shared" si="35"/>
        <v>1.5471167369901548</v>
      </c>
      <c r="P207" s="75">
        <f>VLOOKUP($A207,'Data Vlaue (Cr)'!$C:$FB,119)</f>
        <v>0.82</v>
      </c>
      <c r="Q207" s="75">
        <f>VLOOKUP($A207,'Data Vlaue (Cr)'!$C:$FB,122)*100</f>
        <v>-8.89</v>
      </c>
      <c r="R207" s="75">
        <f>VLOOKUP($A207,'Data Vlaue (Cr)'!$C:$FB,125)</f>
        <v>0.37</v>
      </c>
      <c r="S207" s="75">
        <f>VLOOKUP($A207,'Data Vlaue (Cr)'!$C:$FB,128)*100</f>
        <v>-2.63</v>
      </c>
    </row>
    <row r="208" spans="1:19" x14ac:dyDescent="0.25">
      <c r="A208" s="96" t="str">
        <f>'Data Vlaue (Cr)'!C199</f>
        <v>TORNTPOWER</v>
      </c>
      <c r="B208" s="75">
        <f>VLOOKUP($A208,'Data Vlaue (Cr)'!$C:$FB,2)</f>
        <v>425</v>
      </c>
      <c r="C208" s="75">
        <f>VLOOKUP($A208,'Data Vlaue (Cr)'!$C:$FB,8)</f>
        <v>1506</v>
      </c>
      <c r="D208" s="75">
        <f>VLOOKUP($A208,'Data Vlaue (Cr)'!$C:$FB,4)</f>
        <v>1503.2</v>
      </c>
      <c r="E208" s="75">
        <f>VLOOKUP($A208,'Data Vlaue (Cr)'!$C:$FB,5)</f>
        <v>1443.3</v>
      </c>
      <c r="F208" s="75">
        <f t="shared" si="30"/>
        <v>-2.7999999999999545</v>
      </c>
      <c r="G208" s="75">
        <f t="shared" si="31"/>
        <v>3.984832357637047</v>
      </c>
      <c r="H208" s="75">
        <f>VLOOKUP($A208,'Data Vlaue (Cr)'!$C:$FB,99)</f>
        <v>956</v>
      </c>
      <c r="I208" s="75">
        <f>VLOOKUP($A208,'Data Vlaue (Cr)'!$C:$FB,100)</f>
        <v>934</v>
      </c>
      <c r="J208" s="75">
        <f t="shared" si="32"/>
        <v>22</v>
      </c>
      <c r="K208" s="75">
        <f t="shared" si="33"/>
        <v>2.3012552301255229</v>
      </c>
      <c r="L208" s="75">
        <f>VLOOKUP($A208,'Data Vlaue (Cr)'!$C:$FB,67)</f>
        <v>1613</v>
      </c>
      <c r="M208" s="75">
        <f>VLOOKUP($A208,'Data Vlaue (Cr)'!$C:$FB,68)</f>
        <v>280</v>
      </c>
      <c r="N208" s="75">
        <f t="shared" si="34"/>
        <v>1333</v>
      </c>
      <c r="O208" s="75">
        <f t="shared" si="35"/>
        <v>82.64104153750776</v>
      </c>
      <c r="P208" s="75">
        <f>VLOOKUP($A208,'Data Vlaue (Cr)'!$C:$FB,119)</f>
        <v>0.62</v>
      </c>
      <c r="Q208" s="75">
        <f>VLOOKUP($A208,'Data Vlaue (Cr)'!$C:$FB,122)*100</f>
        <v>12.73</v>
      </c>
      <c r="R208" s="75">
        <f>VLOOKUP($A208,'Data Vlaue (Cr)'!$C:$FB,125)</f>
        <v>0.23</v>
      </c>
      <c r="S208" s="75">
        <f>VLOOKUP($A208,'Data Vlaue (Cr)'!$C:$FB,128)*100</f>
        <v>-14.81</v>
      </c>
    </row>
    <row r="209" spans="1:19" x14ac:dyDescent="0.25">
      <c r="A209" s="96" t="str">
        <f>'Data Vlaue (Cr)'!C200</f>
        <v>TRENT</v>
      </c>
      <c r="B209" s="75">
        <f>VLOOKUP($A209,'Data Vlaue (Cr)'!$C:$FB,2)</f>
        <v>100</v>
      </c>
      <c r="C209" s="75">
        <f>VLOOKUP($A209,'Data Vlaue (Cr)'!$C:$FB,8)</f>
        <v>3533.6</v>
      </c>
      <c r="D209" s="75">
        <f>VLOOKUP($A209,'Data Vlaue (Cr)'!$C:$FB,4)</f>
        <v>3537.1</v>
      </c>
      <c r="E209" s="75">
        <f>VLOOKUP($A209,'Data Vlaue (Cr)'!$C:$FB,5)</f>
        <v>3629.3</v>
      </c>
      <c r="F209" s="75">
        <f t="shared" si="30"/>
        <v>3.5</v>
      </c>
      <c r="G209" s="75">
        <f t="shared" si="31"/>
        <v>-2.6066551694891373</v>
      </c>
      <c r="H209" s="75">
        <f>VLOOKUP($A209,'Data Vlaue (Cr)'!$C:$FB,99)</f>
        <v>3908</v>
      </c>
      <c r="I209" s="75">
        <f>VLOOKUP($A209,'Data Vlaue (Cr)'!$C:$FB,100)</f>
        <v>3753</v>
      </c>
      <c r="J209" s="75">
        <f t="shared" si="32"/>
        <v>155</v>
      </c>
      <c r="K209" s="75">
        <f t="shared" si="33"/>
        <v>3.9662231320368475</v>
      </c>
      <c r="L209" s="75">
        <f>VLOOKUP($A209,'Data Vlaue (Cr)'!$C:$FB,67)</f>
        <v>2244</v>
      </c>
      <c r="M209" s="75">
        <f>VLOOKUP($A209,'Data Vlaue (Cr)'!$C:$FB,68)</f>
        <v>1420</v>
      </c>
      <c r="N209" s="75">
        <f t="shared" si="34"/>
        <v>824</v>
      </c>
      <c r="O209" s="75">
        <f t="shared" si="35"/>
        <v>36.720142602495542</v>
      </c>
      <c r="P209" s="75">
        <f>VLOOKUP($A209,'Data Vlaue (Cr)'!$C:$FB,119)</f>
        <v>0.55000000000000004</v>
      </c>
      <c r="Q209" s="75">
        <f>VLOOKUP($A209,'Data Vlaue (Cr)'!$C:$FB,122)*100</f>
        <v>-5.17</v>
      </c>
      <c r="R209" s="75">
        <f>VLOOKUP($A209,'Data Vlaue (Cr)'!$C:$FB,125)</f>
        <v>0.57999999999999996</v>
      </c>
      <c r="S209" s="75">
        <f>VLOOKUP($A209,'Data Vlaue (Cr)'!$C:$FB,128)*100</f>
        <v>13.73</v>
      </c>
    </row>
    <row r="210" spans="1:19" x14ac:dyDescent="0.25">
      <c r="A210" s="96" t="str">
        <f>'Data Vlaue (Cr)'!C201</f>
        <v>TVSMOTOR</v>
      </c>
      <c r="B210" s="75">
        <f>VLOOKUP($A210,'Data Vlaue (Cr)'!$C:$FB,2)</f>
        <v>175</v>
      </c>
      <c r="C210" s="75">
        <f>VLOOKUP($A210,'Data Vlaue (Cr)'!$C:$FB,8)</f>
        <v>3422.6</v>
      </c>
      <c r="D210" s="75">
        <f>VLOOKUP($A210,'Data Vlaue (Cr)'!$C:$FB,4)</f>
        <v>3426.6</v>
      </c>
      <c r="E210" s="75">
        <f>VLOOKUP($A210,'Data Vlaue (Cr)'!$C:$FB,5)</f>
        <v>3597.2</v>
      </c>
      <c r="F210" s="75">
        <f t="shared" si="30"/>
        <v>4</v>
      </c>
      <c r="G210" s="75">
        <f t="shared" si="31"/>
        <v>-4.97869608358139</v>
      </c>
      <c r="H210" s="75">
        <f>VLOOKUP($A210,'Data Vlaue (Cr)'!$C:$FB,99)</f>
        <v>4563</v>
      </c>
      <c r="I210" s="75">
        <f>VLOOKUP($A210,'Data Vlaue (Cr)'!$C:$FB,100)</f>
        <v>4191</v>
      </c>
      <c r="J210" s="75">
        <f t="shared" si="32"/>
        <v>372</v>
      </c>
      <c r="K210" s="75">
        <f t="shared" si="33"/>
        <v>8.152531229454306</v>
      </c>
      <c r="L210" s="75">
        <f>VLOOKUP($A210,'Data Vlaue (Cr)'!$C:$FB,67)</f>
        <v>3680</v>
      </c>
      <c r="M210" s="75">
        <f>VLOOKUP($A210,'Data Vlaue (Cr)'!$C:$FB,68)</f>
        <v>3214</v>
      </c>
      <c r="N210" s="75">
        <f t="shared" si="34"/>
        <v>466</v>
      </c>
      <c r="O210" s="75">
        <f t="shared" si="35"/>
        <v>12.663043478260869</v>
      </c>
      <c r="P210" s="75">
        <f>VLOOKUP($A210,'Data Vlaue (Cr)'!$C:$FB,119)</f>
        <v>0.61</v>
      </c>
      <c r="Q210" s="75">
        <f>VLOOKUP($A210,'Data Vlaue (Cr)'!$C:$FB,122)*100</f>
        <v>-11.59</v>
      </c>
      <c r="R210" s="75">
        <f>VLOOKUP($A210,'Data Vlaue (Cr)'!$C:$FB,125)</f>
        <v>0.94</v>
      </c>
      <c r="S210" s="75">
        <f>VLOOKUP($A210,'Data Vlaue (Cr)'!$C:$FB,128)*100</f>
        <v>-7.84</v>
      </c>
    </row>
    <row r="211" spans="1:19" x14ac:dyDescent="0.25">
      <c r="A211" s="96" t="str">
        <f>'Data Vlaue (Cr)'!C202</f>
        <v>ULTRACEMCO</v>
      </c>
      <c r="B211" s="75">
        <f>VLOOKUP($A211,'Data Vlaue (Cr)'!$C:$FB,2)</f>
        <v>50</v>
      </c>
      <c r="C211" s="75">
        <f>VLOOKUP($A211,'Data Vlaue (Cr)'!$C:$FB,8)</f>
        <v>11089</v>
      </c>
      <c r="D211" s="75">
        <f>VLOOKUP($A211,'Data Vlaue (Cr)'!$C:$FB,4)</f>
        <v>11130</v>
      </c>
      <c r="E211" s="75">
        <f>VLOOKUP($A211,'Data Vlaue (Cr)'!$C:$FB,5)</f>
        <v>11472</v>
      </c>
      <c r="F211" s="75">
        <f t="shared" si="30"/>
        <v>41</v>
      </c>
      <c r="G211" s="75">
        <f t="shared" si="31"/>
        <v>-3.0727762803234504</v>
      </c>
      <c r="H211" s="75">
        <f>VLOOKUP($A211,'Data Vlaue (Cr)'!$C:$FB,99)</f>
        <v>3841</v>
      </c>
      <c r="I211" s="75">
        <f>VLOOKUP($A211,'Data Vlaue (Cr)'!$C:$FB,100)</f>
        <v>3738</v>
      </c>
      <c r="J211" s="75">
        <f t="shared" si="32"/>
        <v>103</v>
      </c>
      <c r="K211" s="75">
        <f t="shared" si="33"/>
        <v>2.6815933350689924</v>
      </c>
      <c r="L211" s="75">
        <f>VLOOKUP($A211,'Data Vlaue (Cr)'!$C:$FB,67)</f>
        <v>1838</v>
      </c>
      <c r="M211" s="75">
        <f>VLOOKUP($A211,'Data Vlaue (Cr)'!$C:$FB,68)</f>
        <v>1196</v>
      </c>
      <c r="N211" s="75">
        <f t="shared" si="34"/>
        <v>642</v>
      </c>
      <c r="O211" s="75">
        <f t="shared" si="35"/>
        <v>34.929270946681171</v>
      </c>
      <c r="P211" s="75">
        <f>VLOOKUP($A211,'Data Vlaue (Cr)'!$C:$FB,119)</f>
        <v>0.45</v>
      </c>
      <c r="Q211" s="75">
        <f>VLOOKUP($A211,'Data Vlaue (Cr)'!$C:$FB,122)*100</f>
        <v>-6.25</v>
      </c>
      <c r="R211" s="75">
        <f>VLOOKUP($A211,'Data Vlaue (Cr)'!$C:$FB,125)</f>
        <v>0.42</v>
      </c>
      <c r="S211" s="75">
        <f>VLOOKUP($A211,'Data Vlaue (Cr)'!$C:$FB,128)*100</f>
        <v>-4.55</v>
      </c>
    </row>
    <row r="212" spans="1:19" x14ac:dyDescent="0.25">
      <c r="A212" s="96" t="str">
        <f>'Data Vlaue (Cr)'!C203</f>
        <v>UNIONBANK</v>
      </c>
      <c r="B212" s="75">
        <f>VLOOKUP($A212,'Data Vlaue (Cr)'!$C:$FB,2)</f>
        <v>4425</v>
      </c>
      <c r="C212" s="75">
        <f>VLOOKUP($A212,'Data Vlaue (Cr)'!$C:$FB,8)</f>
        <v>182.1</v>
      </c>
      <c r="D212" s="75">
        <f>VLOOKUP($A212,'Data Vlaue (Cr)'!$C:$FB,4)</f>
        <v>182.7</v>
      </c>
      <c r="E212" s="75">
        <f>VLOOKUP($A212,'Data Vlaue (Cr)'!$C:$FB,5)</f>
        <v>181.55</v>
      </c>
      <c r="F212" s="75">
        <f t="shared" si="30"/>
        <v>0.59999999999999432</v>
      </c>
      <c r="G212" s="75">
        <f t="shared" si="31"/>
        <v>0.62944718117130671</v>
      </c>
      <c r="H212" s="75">
        <f>VLOOKUP($A212,'Data Vlaue (Cr)'!$C:$FB,99)</f>
        <v>2851</v>
      </c>
      <c r="I212" s="75">
        <f>VLOOKUP($A212,'Data Vlaue (Cr)'!$C:$FB,100)</f>
        <v>2743</v>
      </c>
      <c r="J212" s="75">
        <f t="shared" si="32"/>
        <v>108</v>
      </c>
      <c r="K212" s="75">
        <f t="shared" si="33"/>
        <v>3.7881445106980007</v>
      </c>
      <c r="L212" s="75">
        <f>VLOOKUP($A212,'Data Vlaue (Cr)'!$C:$FB,67)</f>
        <v>1486</v>
      </c>
      <c r="M212" s="75">
        <f>VLOOKUP($A212,'Data Vlaue (Cr)'!$C:$FB,68)</f>
        <v>1206</v>
      </c>
      <c r="N212" s="75">
        <f t="shared" si="34"/>
        <v>280</v>
      </c>
      <c r="O212" s="75">
        <f t="shared" si="35"/>
        <v>18.842530282637952</v>
      </c>
      <c r="P212" s="75">
        <f>VLOOKUP($A212,'Data Vlaue (Cr)'!$C:$FB,119)</f>
        <v>0.73</v>
      </c>
      <c r="Q212" s="75">
        <f>VLOOKUP($A212,'Data Vlaue (Cr)'!$C:$FB,122)*100</f>
        <v>-2.67</v>
      </c>
      <c r="R212" s="75">
        <f>VLOOKUP($A212,'Data Vlaue (Cr)'!$C:$FB,125)</f>
        <v>0.41</v>
      </c>
      <c r="S212" s="75">
        <f>VLOOKUP($A212,'Data Vlaue (Cr)'!$C:$FB,128)*100</f>
        <v>0</v>
      </c>
    </row>
    <row r="213" spans="1:19" x14ac:dyDescent="0.25">
      <c r="A213" s="96" t="str">
        <f>'Data Vlaue (Cr)'!C204</f>
        <v>UNITDSPR</v>
      </c>
      <c r="B213" s="75">
        <f>VLOOKUP($A213,'Data Vlaue (Cr)'!$C:$FB,2)</f>
        <v>400</v>
      </c>
      <c r="C213" s="75">
        <f>VLOOKUP($A213,'Data Vlaue (Cr)'!$C:$FB,8)</f>
        <v>1363.5</v>
      </c>
      <c r="D213" s="75">
        <f>VLOOKUP($A213,'Data Vlaue (Cr)'!$C:$FB,4)</f>
        <v>1365</v>
      </c>
      <c r="E213" s="75">
        <f>VLOOKUP($A213,'Data Vlaue (Cr)'!$C:$FB,5)</f>
        <v>1386.1</v>
      </c>
      <c r="F213" s="75">
        <f t="shared" si="30"/>
        <v>1.5</v>
      </c>
      <c r="G213" s="75">
        <f t="shared" si="31"/>
        <v>-1.5457875457875392</v>
      </c>
      <c r="H213" s="75">
        <f>VLOOKUP($A213,'Data Vlaue (Cr)'!$C:$FB,99)</f>
        <v>2166</v>
      </c>
      <c r="I213" s="75">
        <f>VLOOKUP($A213,'Data Vlaue (Cr)'!$C:$FB,100)</f>
        <v>2119</v>
      </c>
      <c r="J213" s="75">
        <f t="shared" si="32"/>
        <v>47</v>
      </c>
      <c r="K213" s="75">
        <f t="shared" si="33"/>
        <v>2.1698984302862421</v>
      </c>
      <c r="L213" s="75">
        <f>VLOOKUP($A213,'Data Vlaue (Cr)'!$C:$FB,67)</f>
        <v>782</v>
      </c>
      <c r="M213" s="75">
        <f>VLOOKUP($A213,'Data Vlaue (Cr)'!$C:$FB,68)</f>
        <v>669</v>
      </c>
      <c r="N213" s="75">
        <f t="shared" si="34"/>
        <v>113</v>
      </c>
      <c r="O213" s="75">
        <f t="shared" si="35"/>
        <v>14.450127877237851</v>
      </c>
      <c r="P213" s="75">
        <f>VLOOKUP($A213,'Data Vlaue (Cr)'!$C:$FB,119)</f>
        <v>0.8</v>
      </c>
      <c r="Q213" s="75">
        <f>VLOOKUP($A213,'Data Vlaue (Cr)'!$C:$FB,122)*100</f>
        <v>2.56</v>
      </c>
      <c r="R213" s="75">
        <f>VLOOKUP($A213,'Data Vlaue (Cr)'!$C:$FB,125)</f>
        <v>0.62</v>
      </c>
      <c r="S213" s="75">
        <f>VLOOKUP($A213,'Data Vlaue (Cr)'!$C:$FB,128)*100</f>
        <v>-13.889999999999999</v>
      </c>
    </row>
    <row r="214" spans="1:19" x14ac:dyDescent="0.25">
      <c r="A214" s="96" t="str">
        <f>'Data Vlaue (Cr)'!C205</f>
        <v>UNOMINDA</v>
      </c>
      <c r="B214" s="75">
        <f>VLOOKUP($A214,'Data Vlaue (Cr)'!$C:$FB,2)</f>
        <v>550</v>
      </c>
      <c r="C214" s="75">
        <f>VLOOKUP($A214,'Data Vlaue (Cr)'!$C:$FB,8)</f>
        <v>1068.5</v>
      </c>
      <c r="D214" s="75">
        <f>VLOOKUP($A214,'Data Vlaue (Cr)'!$C:$FB,4)</f>
        <v>1069.5</v>
      </c>
      <c r="E214" s="75">
        <f>VLOOKUP($A214,'Data Vlaue (Cr)'!$C:$FB,5)</f>
        <v>1082.5999999999999</v>
      </c>
      <c r="F214" s="75">
        <f t="shared" si="30"/>
        <v>1</v>
      </c>
      <c r="G214" s="75">
        <f t="shared" si="31"/>
        <v>-1.2248714352501082</v>
      </c>
      <c r="H214" s="75">
        <f>VLOOKUP($A214,'Data Vlaue (Cr)'!$C:$FB,99)</f>
        <v>987</v>
      </c>
      <c r="I214" s="75">
        <f>VLOOKUP($A214,'Data Vlaue (Cr)'!$C:$FB,100)</f>
        <v>978</v>
      </c>
      <c r="J214" s="75">
        <f t="shared" si="32"/>
        <v>9</v>
      </c>
      <c r="K214" s="75">
        <f t="shared" si="33"/>
        <v>0.91185410334346495</v>
      </c>
      <c r="L214" s="75">
        <f>VLOOKUP($A214,'Data Vlaue (Cr)'!$C:$FB,67)</f>
        <v>445</v>
      </c>
      <c r="M214" s="75">
        <f>VLOOKUP($A214,'Data Vlaue (Cr)'!$C:$FB,68)</f>
        <v>334</v>
      </c>
      <c r="N214" s="75">
        <f t="shared" si="34"/>
        <v>111</v>
      </c>
      <c r="O214" s="75">
        <f t="shared" si="35"/>
        <v>24.943820224719101</v>
      </c>
      <c r="P214" s="75">
        <f>VLOOKUP($A214,'Data Vlaue (Cr)'!$C:$FB,119)</f>
        <v>0.7</v>
      </c>
      <c r="Q214" s="75">
        <f>VLOOKUP($A214,'Data Vlaue (Cr)'!$C:$FB,122)*100</f>
        <v>-7.89</v>
      </c>
      <c r="R214" s="75">
        <f>VLOOKUP($A214,'Data Vlaue (Cr)'!$C:$FB,125)</f>
        <v>0.74</v>
      </c>
      <c r="S214" s="75">
        <f>VLOOKUP($A214,'Data Vlaue (Cr)'!$C:$FB,128)*100</f>
        <v>7.2499999999999991</v>
      </c>
    </row>
    <row r="215" spans="1:19" x14ac:dyDescent="0.25">
      <c r="A215" s="96" t="str">
        <f>'Data Vlaue (Cr)'!C206</f>
        <v>UPL</v>
      </c>
      <c r="B215" s="75">
        <f>VLOOKUP($A215,'Data Vlaue (Cr)'!$C:$FB,2)</f>
        <v>1355</v>
      </c>
      <c r="C215" s="75">
        <f>VLOOKUP($A215,'Data Vlaue (Cr)'!$C:$FB,8)</f>
        <v>629.04999999999995</v>
      </c>
      <c r="D215" s="75">
        <f>VLOOKUP($A215,'Data Vlaue (Cr)'!$C:$FB,4)</f>
        <v>629.70000000000005</v>
      </c>
      <c r="E215" s="75">
        <f>VLOOKUP($A215,'Data Vlaue (Cr)'!$C:$FB,5)</f>
        <v>626.25</v>
      </c>
      <c r="F215" s="75">
        <f t="shared" ref="F215:F221" si="36">D215-C215</f>
        <v>0.65000000000009095</v>
      </c>
      <c r="G215" s="75">
        <f t="shared" ref="G215:G221" si="37">(D215-E215)/D215*100</f>
        <v>0.54787994282992614</v>
      </c>
      <c r="H215" s="75">
        <f>VLOOKUP($A215,'Data Vlaue (Cr)'!$C:$FB,99)</f>
        <v>3772</v>
      </c>
      <c r="I215" s="75">
        <f>VLOOKUP($A215,'Data Vlaue (Cr)'!$C:$FB,100)</f>
        <v>3834</v>
      </c>
      <c r="J215" s="75">
        <f t="shared" ref="J215:J221" si="38">H215-I215</f>
        <v>-62</v>
      </c>
      <c r="K215" s="75">
        <f t="shared" ref="K215:K221" si="39">J215/H215*100</f>
        <v>-1.6436903499469777</v>
      </c>
      <c r="L215" s="75">
        <f>VLOOKUP($A215,'Data Vlaue (Cr)'!$C:$FB,67)</f>
        <v>894</v>
      </c>
      <c r="M215" s="75">
        <f>VLOOKUP($A215,'Data Vlaue (Cr)'!$C:$FB,68)</f>
        <v>885</v>
      </c>
      <c r="N215" s="75">
        <f t="shared" ref="N215:N221" si="40">L215-M215</f>
        <v>9</v>
      </c>
      <c r="O215" s="75">
        <f t="shared" ref="O215:O221" si="41">N215/L215*100</f>
        <v>1.006711409395973</v>
      </c>
      <c r="P215" s="75">
        <f>VLOOKUP($A215,'Data Vlaue (Cr)'!$C:$FB,119)</f>
        <v>0.48</v>
      </c>
      <c r="Q215" s="75">
        <f>VLOOKUP($A215,'Data Vlaue (Cr)'!$C:$FB,122)*100</f>
        <v>2.13</v>
      </c>
      <c r="R215" s="75">
        <f>VLOOKUP($A215,'Data Vlaue (Cr)'!$C:$FB,125)</f>
        <v>0.54</v>
      </c>
      <c r="S215" s="75">
        <f>VLOOKUP($A215,'Data Vlaue (Cr)'!$C:$FB,128)*100</f>
        <v>3.85</v>
      </c>
    </row>
    <row r="216" spans="1:19" x14ac:dyDescent="0.25">
      <c r="A216" s="96" t="str">
        <f>'Data Vlaue (Cr)'!C207</f>
        <v>VBL</v>
      </c>
      <c r="B216" s="75">
        <f>VLOOKUP($A216,'Data Vlaue (Cr)'!$C:$FB,2)</f>
        <v>1125</v>
      </c>
      <c r="C216" s="75">
        <f>VLOOKUP($A216,'Data Vlaue (Cr)'!$C:$FB,8)</f>
        <v>411.05</v>
      </c>
      <c r="D216" s="75">
        <f>VLOOKUP($A216,'Data Vlaue (Cr)'!$C:$FB,4)</f>
        <v>412.05</v>
      </c>
      <c r="E216" s="75">
        <f>VLOOKUP($A216,'Data Vlaue (Cr)'!$C:$FB,5)</f>
        <v>431.4</v>
      </c>
      <c r="F216" s="75">
        <f t="shared" si="36"/>
        <v>1</v>
      </c>
      <c r="G216" s="75">
        <f t="shared" si="37"/>
        <v>-4.6960320349472067</v>
      </c>
      <c r="H216" s="75">
        <f>VLOOKUP($A216,'Data Vlaue (Cr)'!$C:$FB,99)</f>
        <v>2806</v>
      </c>
      <c r="I216" s="75">
        <f>VLOOKUP($A216,'Data Vlaue (Cr)'!$C:$FB,100)</f>
        <v>2555</v>
      </c>
      <c r="J216" s="75">
        <f t="shared" si="38"/>
        <v>251</v>
      </c>
      <c r="K216" s="75">
        <f t="shared" si="39"/>
        <v>8.9451176051318608</v>
      </c>
      <c r="L216" s="75">
        <f>VLOOKUP($A216,'Data Vlaue (Cr)'!$C:$FB,67)</f>
        <v>2067</v>
      </c>
      <c r="M216" s="75">
        <f>VLOOKUP($A216,'Data Vlaue (Cr)'!$C:$FB,68)</f>
        <v>886</v>
      </c>
      <c r="N216" s="75">
        <f t="shared" si="40"/>
        <v>1181</v>
      </c>
      <c r="O216" s="75">
        <f t="shared" si="41"/>
        <v>57.1359458151911</v>
      </c>
      <c r="P216" s="75">
        <f>VLOOKUP($A216,'Data Vlaue (Cr)'!$C:$FB,119)</f>
        <v>0.54</v>
      </c>
      <c r="Q216" s="75">
        <f>VLOOKUP($A216,'Data Vlaue (Cr)'!$C:$FB,122)*100</f>
        <v>-8.4699999999999989</v>
      </c>
      <c r="R216" s="75">
        <f>VLOOKUP($A216,'Data Vlaue (Cr)'!$C:$FB,125)</f>
        <v>0.72</v>
      </c>
      <c r="S216" s="75">
        <f>VLOOKUP($A216,'Data Vlaue (Cr)'!$C:$FB,128)*100</f>
        <v>140</v>
      </c>
    </row>
    <row r="217" spans="1:19" x14ac:dyDescent="0.25">
      <c r="A217" s="96" t="str">
        <f>'Data Vlaue (Cr)'!C208</f>
        <v>VEDL</v>
      </c>
      <c r="B217" s="75">
        <f>VLOOKUP($A217,'Data Vlaue (Cr)'!$C:$FB,2)</f>
        <v>1150</v>
      </c>
      <c r="C217" s="75">
        <f>VLOOKUP($A217,'Data Vlaue (Cr)'!$C:$FB,8)</f>
        <v>719.6</v>
      </c>
      <c r="D217" s="75">
        <f>VLOOKUP($A217,'Data Vlaue (Cr)'!$C:$FB,4)</f>
        <v>718.9</v>
      </c>
      <c r="E217" s="75">
        <f>VLOOKUP($A217,'Data Vlaue (Cr)'!$C:$FB,5)</f>
        <v>717.35</v>
      </c>
      <c r="F217" s="75">
        <f t="shared" si="36"/>
        <v>-0.70000000000004547</v>
      </c>
      <c r="G217" s="75">
        <f t="shared" si="37"/>
        <v>0.21560717763248774</v>
      </c>
      <c r="H217" s="75">
        <f>VLOOKUP($A217,'Data Vlaue (Cr)'!$C:$FB,99)</f>
        <v>9111</v>
      </c>
      <c r="I217" s="75">
        <f>VLOOKUP($A217,'Data Vlaue (Cr)'!$C:$FB,100)</f>
        <v>8969</v>
      </c>
      <c r="J217" s="75">
        <f t="shared" si="38"/>
        <v>142</v>
      </c>
      <c r="K217" s="75">
        <f t="shared" si="39"/>
        <v>1.5585555921413676</v>
      </c>
      <c r="L217" s="75">
        <f>VLOOKUP($A217,'Data Vlaue (Cr)'!$C:$FB,67)</f>
        <v>5657</v>
      </c>
      <c r="M217" s="75">
        <f>VLOOKUP($A217,'Data Vlaue (Cr)'!$C:$FB,68)</f>
        <v>8607</v>
      </c>
      <c r="N217" s="75">
        <f t="shared" si="40"/>
        <v>-2950</v>
      </c>
      <c r="O217" s="75">
        <f t="shared" si="41"/>
        <v>-52.147781509634086</v>
      </c>
      <c r="P217" s="75">
        <f>VLOOKUP($A217,'Data Vlaue (Cr)'!$C:$FB,119)</f>
        <v>0.64</v>
      </c>
      <c r="Q217" s="75">
        <f>VLOOKUP($A217,'Data Vlaue (Cr)'!$C:$FB,122)*100</f>
        <v>-1.54</v>
      </c>
      <c r="R217" s="75">
        <f>VLOOKUP($A217,'Data Vlaue (Cr)'!$C:$FB,125)</f>
        <v>0.5</v>
      </c>
      <c r="S217" s="75">
        <f>VLOOKUP($A217,'Data Vlaue (Cr)'!$C:$FB,128)*100</f>
        <v>19.05</v>
      </c>
    </row>
    <row r="218" spans="1:19" x14ac:dyDescent="0.25">
      <c r="A218" s="96" t="str">
        <f>'Data Vlaue (Cr)'!C209</f>
        <v>VOLTAS</v>
      </c>
      <c r="B218" s="75">
        <f>VLOOKUP($A218,'Data Vlaue (Cr)'!$C:$FB,2)</f>
        <v>375</v>
      </c>
      <c r="C218" s="75">
        <f>VLOOKUP($A218,'Data Vlaue (Cr)'!$C:$FB,8)</f>
        <v>1449.4</v>
      </c>
      <c r="D218" s="75">
        <f>VLOOKUP($A218,'Data Vlaue (Cr)'!$C:$FB,4)</f>
        <v>1445.7</v>
      </c>
      <c r="E218" s="75">
        <f>VLOOKUP($A218,'Data Vlaue (Cr)'!$C:$FB,5)</f>
        <v>1463.4</v>
      </c>
      <c r="F218" s="75">
        <f t="shared" si="36"/>
        <v>-3.7000000000000455</v>
      </c>
      <c r="G218" s="75">
        <f t="shared" si="37"/>
        <v>-1.2243203984229125</v>
      </c>
      <c r="H218" s="75">
        <f>VLOOKUP($A218,'Data Vlaue (Cr)'!$C:$FB,99)</f>
        <v>2872</v>
      </c>
      <c r="I218" s="75">
        <f>VLOOKUP($A218,'Data Vlaue (Cr)'!$C:$FB,100)</f>
        <v>2804</v>
      </c>
      <c r="J218" s="75">
        <f t="shared" si="38"/>
        <v>68</v>
      </c>
      <c r="K218" s="75">
        <f t="shared" si="39"/>
        <v>2.3676880222841223</v>
      </c>
      <c r="L218" s="75">
        <f>VLOOKUP($A218,'Data Vlaue (Cr)'!$C:$FB,67)</f>
        <v>1880</v>
      </c>
      <c r="M218" s="75">
        <f>VLOOKUP($A218,'Data Vlaue (Cr)'!$C:$FB,68)</f>
        <v>3487</v>
      </c>
      <c r="N218" s="75">
        <f t="shared" si="40"/>
        <v>-1607</v>
      </c>
      <c r="O218" s="75">
        <f t="shared" si="41"/>
        <v>-85.478723404255319</v>
      </c>
      <c r="P218" s="75">
        <f>VLOOKUP($A218,'Data Vlaue (Cr)'!$C:$FB,119)</f>
        <v>0.63</v>
      </c>
      <c r="Q218" s="75">
        <f>VLOOKUP($A218,'Data Vlaue (Cr)'!$C:$FB,122)*100</f>
        <v>-1.5599999999999998</v>
      </c>
      <c r="R218" s="75">
        <f>VLOOKUP($A218,'Data Vlaue (Cr)'!$C:$FB,125)</f>
        <v>0.34</v>
      </c>
      <c r="S218" s="75">
        <f>VLOOKUP($A218,'Data Vlaue (Cr)'!$C:$FB,128)*100</f>
        <v>13.33</v>
      </c>
    </row>
    <row r="219" spans="1:19" x14ac:dyDescent="0.25">
      <c r="A219" s="96" t="str">
        <f>'Data Vlaue (Cr)'!C210</f>
        <v>WAAREEENER</v>
      </c>
      <c r="B219" s="75">
        <f>VLOOKUP($A219,'Data Vlaue (Cr)'!$C:$FB,2)</f>
        <v>175</v>
      </c>
      <c r="C219" s="75">
        <f>VLOOKUP($A219,'Data Vlaue (Cr)'!$C:$FB,8)</f>
        <v>2739.4</v>
      </c>
      <c r="D219" s="75">
        <f>VLOOKUP($A219,'Data Vlaue (Cr)'!$C:$FB,4)</f>
        <v>2749.1</v>
      </c>
      <c r="E219" s="75">
        <f>VLOOKUP($A219,'Data Vlaue (Cr)'!$C:$FB,5)</f>
        <v>2691.4</v>
      </c>
      <c r="F219" s="75">
        <f t="shared" si="36"/>
        <v>9.6999999999998181</v>
      </c>
      <c r="G219" s="75">
        <f t="shared" si="37"/>
        <v>2.0988687206722134</v>
      </c>
      <c r="H219" s="75">
        <f>VLOOKUP($A219,'Data Vlaue (Cr)'!$C:$FB,99)</f>
        <v>2275</v>
      </c>
      <c r="I219" s="75">
        <f>VLOOKUP($A219,'Data Vlaue (Cr)'!$C:$FB,100)</f>
        <v>2332</v>
      </c>
      <c r="J219" s="75">
        <f t="shared" si="38"/>
        <v>-57</v>
      </c>
      <c r="K219" s="75">
        <f t="shared" si="39"/>
        <v>-2.5054945054945055</v>
      </c>
      <c r="L219" s="75">
        <f>VLOOKUP($A219,'Data Vlaue (Cr)'!$C:$FB,67)</f>
        <v>1659</v>
      </c>
      <c r="M219" s="75">
        <f>VLOOKUP($A219,'Data Vlaue (Cr)'!$C:$FB,68)</f>
        <v>1945</v>
      </c>
      <c r="N219" s="75">
        <f t="shared" si="40"/>
        <v>-286</v>
      </c>
      <c r="O219" s="75">
        <f t="shared" si="41"/>
        <v>-17.23930078360458</v>
      </c>
      <c r="P219" s="75">
        <f>VLOOKUP($A219,'Data Vlaue (Cr)'!$C:$FB,119)</f>
        <v>0.62</v>
      </c>
      <c r="Q219" s="75">
        <f>VLOOKUP($A219,'Data Vlaue (Cr)'!$C:$FB,122)*100</f>
        <v>1.6400000000000001</v>
      </c>
      <c r="R219" s="75">
        <f>VLOOKUP($A219,'Data Vlaue (Cr)'!$C:$FB,125)</f>
        <v>0.44</v>
      </c>
      <c r="S219" s="75">
        <f>VLOOKUP($A219,'Data Vlaue (Cr)'!$C:$FB,128)*100</f>
        <v>57.14</v>
      </c>
    </row>
    <row r="220" spans="1:19" x14ac:dyDescent="0.25">
      <c r="A220" s="96" t="str">
        <f>'Data Vlaue (Cr)'!C211</f>
        <v>WIPRO</v>
      </c>
      <c r="B220" s="75">
        <f>VLOOKUP($A220,'Data Vlaue (Cr)'!$C:$FB,2)</f>
        <v>3000</v>
      </c>
      <c r="C220" s="75">
        <f>VLOOKUP($A220,'Data Vlaue (Cr)'!$C:$FB,8)</f>
        <v>202.51</v>
      </c>
      <c r="D220" s="75">
        <f>VLOOKUP($A220,'Data Vlaue (Cr)'!$C:$FB,4)</f>
        <v>201.83</v>
      </c>
      <c r="E220" s="75">
        <f>VLOOKUP($A220,'Data Vlaue (Cr)'!$C:$FB,5)</f>
        <v>201.68</v>
      </c>
      <c r="F220" s="75">
        <f t="shared" si="36"/>
        <v>-0.6799999999999784</v>
      </c>
      <c r="G220" s="75">
        <f t="shared" si="37"/>
        <v>7.4319972253879832E-2</v>
      </c>
      <c r="H220" s="75">
        <f>VLOOKUP($A220,'Data Vlaue (Cr)'!$C:$FB,99)</f>
        <v>6556</v>
      </c>
      <c r="I220" s="75">
        <f>VLOOKUP($A220,'Data Vlaue (Cr)'!$C:$FB,100)</f>
        <v>6326</v>
      </c>
      <c r="J220" s="75">
        <f t="shared" si="38"/>
        <v>230</v>
      </c>
      <c r="K220" s="75">
        <f t="shared" si="39"/>
        <v>3.5082367297132397</v>
      </c>
      <c r="L220" s="75">
        <f>VLOOKUP($A220,'Data Vlaue (Cr)'!$C:$FB,67)</f>
        <v>2452</v>
      </c>
      <c r="M220" s="75">
        <f>VLOOKUP($A220,'Data Vlaue (Cr)'!$C:$FB,68)</f>
        <v>3665</v>
      </c>
      <c r="N220" s="75">
        <f t="shared" si="40"/>
        <v>-1213</v>
      </c>
      <c r="O220" s="75">
        <f t="shared" si="41"/>
        <v>-49.469820554649267</v>
      </c>
      <c r="P220" s="75">
        <f>VLOOKUP($A220,'Data Vlaue (Cr)'!$C:$FB,119)</f>
        <v>0.53</v>
      </c>
      <c r="Q220" s="75">
        <f>VLOOKUP($A220,'Data Vlaue (Cr)'!$C:$FB,122)*100</f>
        <v>-1.8499999999999999</v>
      </c>
      <c r="R220" s="75">
        <f>VLOOKUP($A220,'Data Vlaue (Cr)'!$C:$FB,125)</f>
        <v>0.44</v>
      </c>
      <c r="S220" s="75">
        <f>VLOOKUP($A220,'Data Vlaue (Cr)'!$C:$FB,128)*100</f>
        <v>46.67</v>
      </c>
    </row>
    <row r="221" spans="1:19" x14ac:dyDescent="0.25">
      <c r="A221" s="96" t="str">
        <f>'Data Vlaue (Cr)'!C213</f>
        <v>ZYDUSLIFE</v>
      </c>
      <c r="B221" s="75">
        <f>VLOOKUP($A221,'Data Vlaue (Cr)'!$C:$FB,2)</f>
        <v>900</v>
      </c>
      <c r="C221" s="75">
        <f>VLOOKUP($A221,'Data Vlaue (Cr)'!$C:$FB,8)</f>
        <v>916.9</v>
      </c>
      <c r="D221" s="75">
        <f>VLOOKUP($A221,'Data Vlaue (Cr)'!$C:$FB,4)</f>
        <v>920.9</v>
      </c>
      <c r="E221" s="75">
        <f>VLOOKUP($A221,'Data Vlaue (Cr)'!$C:$FB,5)</f>
        <v>924.9</v>
      </c>
      <c r="F221" s="75">
        <f t="shared" si="36"/>
        <v>4</v>
      </c>
      <c r="G221" s="75">
        <f t="shared" si="37"/>
        <v>-0.43435769356064718</v>
      </c>
      <c r="H221" s="75">
        <f>VLOOKUP($A221,'Data Vlaue (Cr)'!$C:$FB,99)</f>
        <v>1534</v>
      </c>
      <c r="I221" s="75">
        <f>VLOOKUP($A221,'Data Vlaue (Cr)'!$C:$FB,100)</f>
        <v>1512</v>
      </c>
      <c r="J221" s="75">
        <f t="shared" si="38"/>
        <v>22</v>
      </c>
      <c r="K221" s="75">
        <f t="shared" si="39"/>
        <v>1.4341590612777053</v>
      </c>
      <c r="L221" s="75">
        <f>VLOOKUP($A221,'Data Vlaue (Cr)'!$C:$FB,67)</f>
        <v>402</v>
      </c>
      <c r="M221" s="75">
        <f>VLOOKUP($A221,'Data Vlaue (Cr)'!$C:$FB,68)</f>
        <v>606</v>
      </c>
      <c r="N221" s="75">
        <f t="shared" si="40"/>
        <v>-204</v>
      </c>
      <c r="O221" s="75">
        <f t="shared" si="41"/>
        <v>-50.746268656716417</v>
      </c>
      <c r="P221" s="75">
        <f>VLOOKUP($A221,'Data Vlaue (Cr)'!$C:$FB,119)</f>
        <v>0.52</v>
      </c>
      <c r="Q221" s="75">
        <f>VLOOKUP($A221,'Data Vlaue (Cr)'!$C:$FB,122)*100</f>
        <v>-7.1400000000000006</v>
      </c>
      <c r="R221" s="75">
        <f>VLOOKUP($A221,'Data Vlaue (Cr)'!$C:$FB,125)</f>
        <v>0.36</v>
      </c>
      <c r="S221" s="75">
        <f>VLOOKUP($A221,'Data Vlaue (Cr)'!$C:$FB,128)*100</f>
        <v>0</v>
      </c>
    </row>
    <row r="222" spans="1:19" x14ac:dyDescent="0.25">
      <c r="A222" s="96"/>
      <c r="B222" s="75"/>
      <c r="C222" s="75"/>
      <c r="D222" s="75"/>
      <c r="E222" s="75"/>
      <c r="F222" s="75"/>
      <c r="G222" s="75"/>
      <c r="H222" s="75"/>
      <c r="I222" s="75"/>
      <c r="J222" s="75"/>
      <c r="K222" s="75"/>
      <c r="L222" s="75"/>
      <c r="M222" s="75"/>
      <c r="N222" s="75"/>
      <c r="O222" s="75"/>
      <c r="P222" s="75"/>
      <c r="Q222" s="75"/>
      <c r="R222" s="75"/>
      <c r="S222" s="75"/>
    </row>
    <row r="223" spans="1:19" x14ac:dyDescent="0.25">
      <c r="A223" s="98"/>
      <c r="B223" s="75"/>
      <c r="C223" s="75"/>
      <c r="D223" s="75"/>
      <c r="E223" s="75"/>
      <c r="F223" s="75"/>
      <c r="G223" s="75"/>
      <c r="H223" s="75"/>
      <c r="I223" s="75"/>
      <c r="J223" s="75"/>
      <c r="K223" s="75"/>
      <c r="L223" s="75"/>
      <c r="M223" s="75"/>
      <c r="N223" s="75"/>
      <c r="O223" s="75"/>
      <c r="P223" s="75"/>
      <c r="Q223" s="75"/>
      <c r="R223" s="75"/>
      <c r="S223" s="75"/>
    </row>
    <row r="224" spans="1:19" x14ac:dyDescent="0.25">
      <c r="A224" s="98"/>
      <c r="B224" s="75"/>
      <c r="C224" s="75"/>
      <c r="D224" s="75"/>
      <c r="E224" s="75"/>
      <c r="F224" s="75"/>
      <c r="G224" s="75"/>
      <c r="H224" s="75"/>
      <c r="I224" s="75"/>
      <c r="J224" s="75"/>
      <c r="K224" s="75"/>
      <c r="L224" s="75"/>
      <c r="M224" s="75"/>
      <c r="N224" s="75"/>
      <c r="O224" s="75"/>
      <c r="P224" s="75"/>
      <c r="Q224" s="75"/>
      <c r="R224" s="75"/>
      <c r="S224" s="75"/>
    </row>
    <row r="225" spans="1:19" x14ac:dyDescent="0.25">
      <c r="A225" s="98"/>
      <c r="B225" s="75"/>
      <c r="C225" s="75"/>
      <c r="D225" s="75"/>
      <c r="E225" s="75"/>
      <c r="F225" s="75"/>
      <c r="G225" s="75"/>
      <c r="H225" s="75"/>
      <c r="I225" s="75"/>
      <c r="J225" s="75"/>
      <c r="K225" s="75"/>
      <c r="L225" s="75"/>
      <c r="M225" s="75"/>
      <c r="N225" s="75"/>
      <c r="O225" s="75"/>
      <c r="P225" s="75"/>
      <c r="Q225" s="75"/>
      <c r="R225" s="75"/>
      <c r="S225" s="75"/>
    </row>
    <row r="226" spans="1:19" x14ac:dyDescent="0.25">
      <c r="A226" s="98"/>
      <c r="B226" s="75"/>
      <c r="C226" s="75"/>
      <c r="D226" s="75"/>
      <c r="E226" s="75"/>
      <c r="F226" s="75"/>
      <c r="G226" s="75"/>
      <c r="H226" s="75"/>
      <c r="I226" s="75"/>
      <c r="J226" s="75"/>
      <c r="K226" s="75"/>
      <c r="L226" s="75"/>
      <c r="M226" s="75"/>
      <c r="N226" s="75"/>
      <c r="O226" s="75"/>
      <c r="P226" s="75"/>
      <c r="Q226" s="75"/>
      <c r="R226" s="75"/>
      <c r="S226" s="75"/>
    </row>
    <row r="227" spans="1:19" x14ac:dyDescent="0.25">
      <c r="A227" s="258"/>
      <c r="B227" s="258"/>
      <c r="C227" s="258"/>
      <c r="D227" s="258"/>
      <c r="E227" s="258"/>
      <c r="F227" s="258"/>
      <c r="G227" s="15"/>
      <c r="H227" s="16"/>
      <c r="I227" s="258"/>
      <c r="J227" s="258"/>
      <c r="K227" s="258"/>
      <c r="L227" s="258"/>
      <c r="M227" s="258"/>
      <c r="N227" s="16"/>
      <c r="O227" s="16"/>
      <c r="P227" s="16"/>
      <c r="Q227" s="258"/>
      <c r="R227" s="258"/>
      <c r="S227" s="258"/>
    </row>
    <row r="228" spans="1:19" x14ac:dyDescent="0.25">
      <c r="A228" s="255" t="s">
        <v>391</v>
      </c>
      <c r="B228" s="256"/>
      <c r="C228" s="256"/>
      <c r="D228" s="256"/>
      <c r="E228" s="256"/>
      <c r="F228" s="257"/>
      <c r="G228" s="18"/>
      <c r="H228" s="18">
        <f>SUM(H11:H223)</f>
        <v>2194072</v>
      </c>
      <c r="I228" s="18">
        <f>SUM(I11:I223)</f>
        <v>2077822</v>
      </c>
      <c r="J228" s="18">
        <f>H228-I228</f>
        <v>116250</v>
      </c>
      <c r="K228" s="19">
        <f>J228/I228</f>
        <v>5.5948007095891754E-2</v>
      </c>
      <c r="L228" s="18">
        <f>SUM(L11:L223)</f>
        <v>8577801</v>
      </c>
      <c r="M228" s="18">
        <f>SUM(M11:M223)</f>
        <v>8557060</v>
      </c>
      <c r="N228" s="18">
        <f>L228-M228</f>
        <v>20741</v>
      </c>
      <c r="O228" s="19">
        <f>N228/M228</f>
        <v>2.4238465080296269E-3</v>
      </c>
      <c r="P228" s="255"/>
      <c r="Q228" s="256"/>
      <c r="R228" s="256"/>
      <c r="S228" s="257"/>
    </row>
    <row r="232" spans="1:19" x14ac:dyDescent="0.25">
      <c r="A232" s="251" t="s">
        <v>334</v>
      </c>
      <c r="B232" s="251"/>
      <c r="C232" s="251"/>
      <c r="D232" s="6"/>
      <c r="E232" s="6"/>
      <c r="F232" s="6"/>
      <c r="G232" s="6"/>
      <c r="H232" s="8" t="s">
        <v>385</v>
      </c>
      <c r="J232" s="7"/>
      <c r="K232" s="7"/>
      <c r="L232" s="7"/>
      <c r="M232" s="7"/>
    </row>
    <row r="233" spans="1:19" x14ac:dyDescent="0.25">
      <c r="A233" s="22"/>
      <c r="B233" s="23" t="s">
        <v>182</v>
      </c>
      <c r="C233" s="24" t="s">
        <v>386</v>
      </c>
      <c r="D233" s="25" t="s">
        <v>266</v>
      </c>
      <c r="E233" s="24" t="s">
        <v>386</v>
      </c>
      <c r="F233" s="23" t="s">
        <v>461</v>
      </c>
      <c r="G233" s="23" t="s">
        <v>387</v>
      </c>
      <c r="H233" s="24" t="s">
        <v>386</v>
      </c>
    </row>
    <row r="234" spans="1:19" x14ac:dyDescent="0.25">
      <c r="A234" s="26" t="s">
        <v>388</v>
      </c>
      <c r="B234" s="9">
        <f>VLOOKUP(B233,'OI(Value)'!A7:E226,5,0)</f>
        <v>17009</v>
      </c>
      <c r="C234" s="146">
        <f>VLOOKUP(B233,'OI(Value)'!A7:G226,7,0)</f>
        <v>-1.17E-2</v>
      </c>
      <c r="D234" s="9">
        <f>VLOOKUP(D233,'OI(Value)'!A7:E226,5,0)</f>
        <v>51596</v>
      </c>
      <c r="E234" s="147">
        <f>VLOOKUP(D233,'OI(Value)'!A7:G226,7,0)</f>
        <v>1.6400000000000001E-2</v>
      </c>
      <c r="F234" s="9">
        <f>G234-D234-B234</f>
        <v>499444</v>
      </c>
      <c r="G234" s="10">
        <f>'OI(Value)'!E227</f>
        <v>568049</v>
      </c>
      <c r="H234" s="147">
        <f>'OI(Value)'!D234</f>
        <v>9.02915065425694E-3</v>
      </c>
    </row>
    <row r="235" spans="1:19" x14ac:dyDescent="0.25">
      <c r="A235" s="26" t="s">
        <v>389</v>
      </c>
      <c r="B235" s="9">
        <f>VLOOKUP(B233,'OI(Value)'!A7:H226,8,0)</f>
        <v>109306</v>
      </c>
      <c r="C235" s="146">
        <f>VLOOKUP(B233,'OI(Value)'!A7:J226,10,0)</f>
        <v>1.95E-2</v>
      </c>
      <c r="D235" s="9">
        <f>VLOOKUP(D233,'OI(Value)'!A1:O227,8,0)</f>
        <v>571527</v>
      </c>
      <c r="E235" s="147">
        <f>VLOOKUP(D233,'OI(Value)'!A1:J226,10,0)</f>
        <v>7.9600000000000004E-2</v>
      </c>
      <c r="F235" s="9">
        <f>G235-D235-B235</f>
        <v>228171</v>
      </c>
      <c r="G235" s="9">
        <f>'OI(Value)'!H227</f>
        <v>909004</v>
      </c>
      <c r="H235" s="147">
        <f>'OI(Value)'!D235</f>
        <v>5.8692811032734729E-2</v>
      </c>
    </row>
    <row r="236" spans="1:19" x14ac:dyDescent="0.25">
      <c r="A236" s="26" t="s">
        <v>390</v>
      </c>
      <c r="B236" s="9">
        <f>VLOOKUP(B233,'OI(Value)'!A7:K226,11,0)</f>
        <v>86651</v>
      </c>
      <c r="C236" s="146">
        <f>VLOOKUP(B233,'OI(Value)'!A7:M226,13,0)</f>
        <v>5.2900000000000003E-2</v>
      </c>
      <c r="D236" s="9">
        <f>VLOOKUP(D233,'OI(Value)'!A2:O228,11,0)</f>
        <v>490603</v>
      </c>
      <c r="E236" s="147">
        <f>VLOOKUP(D233,'OI(Value)'!A7:M226,13,0)</f>
        <v>0.1106</v>
      </c>
      <c r="F236" s="9">
        <f>G236-D236-B236</f>
        <v>139765</v>
      </c>
      <c r="G236" s="9">
        <f>'OI(Value)'!K227</f>
        <v>717019</v>
      </c>
      <c r="H236" s="147">
        <f>'OI(Volume)'!D242</f>
        <v>3.1027848307047603E-2</v>
      </c>
    </row>
    <row r="237" spans="1:19" x14ac:dyDescent="0.25">
      <c r="A237" s="22" t="s">
        <v>391</v>
      </c>
      <c r="B237" s="62">
        <f>SUM(B234:B236)</f>
        <v>212966</v>
      </c>
      <c r="C237" s="148">
        <f>VLOOKUP(B233,'OI(Value)'!A7:D148,4,0)</f>
        <v>3.0200000000000001E-2</v>
      </c>
      <c r="D237" s="62">
        <f>SUM(D234:D236)</f>
        <v>1113726</v>
      </c>
      <c r="E237" s="148">
        <f>VLOOKUP(D233,'OI(Value)'!A1:D227,4,0)</f>
        <v>8.9800000000000005E-2</v>
      </c>
      <c r="F237" s="62">
        <f>SUM(F234:F236)</f>
        <v>867380</v>
      </c>
      <c r="G237" s="62">
        <f>SUM(G234:G236)</f>
        <v>2194072</v>
      </c>
      <c r="H237" s="151">
        <f>'OI(Value)'!D237</f>
        <v>5.2981852920050025E-2</v>
      </c>
    </row>
    <row r="241" spans="1:8" x14ac:dyDescent="0.25">
      <c r="A241" s="20" t="s">
        <v>392</v>
      </c>
      <c r="B241" s="11"/>
      <c r="C241" s="11"/>
      <c r="D241" s="11"/>
      <c r="E241" s="11"/>
      <c r="F241" s="11"/>
      <c r="G241" s="11"/>
      <c r="H241" s="12"/>
    </row>
    <row r="242" spans="1:8" x14ac:dyDescent="0.25">
      <c r="A242" s="27"/>
      <c r="B242" s="27"/>
      <c r="C242" s="252" t="s">
        <v>459</v>
      </c>
      <c r="D242" s="253"/>
      <c r="E242" s="254"/>
      <c r="F242" s="252" t="s">
        <v>460</v>
      </c>
      <c r="G242" s="253"/>
      <c r="H242" s="254"/>
    </row>
    <row r="243" spans="1:8" x14ac:dyDescent="0.25">
      <c r="A243" s="28"/>
      <c r="B243" s="27"/>
      <c r="C243" s="31">
        <f>D10</f>
        <v>46093</v>
      </c>
      <c r="D243" s="31" t="s">
        <v>397</v>
      </c>
      <c r="E243" s="32" t="s">
        <v>321</v>
      </c>
      <c r="F243" s="31">
        <f>C243</f>
        <v>46093</v>
      </c>
      <c r="G243" s="31" t="str">
        <f>D243</f>
        <v>Preious</v>
      </c>
      <c r="H243" s="32" t="s">
        <v>386</v>
      </c>
    </row>
    <row r="244" spans="1:8" x14ac:dyDescent="0.25">
      <c r="A244" s="29" t="s">
        <v>393</v>
      </c>
      <c r="B244" s="30"/>
      <c r="C244" s="13">
        <f>FII!N3</f>
        <v>6076</v>
      </c>
      <c r="D244" s="13">
        <f>FII!J3</f>
        <v>6118</v>
      </c>
      <c r="E244" s="14">
        <f>(C244-D244)/C244</f>
        <v>-6.9124423963133645E-3</v>
      </c>
      <c r="F244" s="13">
        <f>FII!M3</f>
        <v>36535</v>
      </c>
      <c r="G244" s="13">
        <f>FII!I3</f>
        <v>36424</v>
      </c>
      <c r="H244" s="14">
        <f>(F244-G244)/F244</f>
        <v>3.0381825646640208E-3</v>
      </c>
    </row>
    <row r="245" spans="1:8" x14ac:dyDescent="0.25">
      <c r="A245" s="249" t="s">
        <v>394</v>
      </c>
      <c r="B245" s="250"/>
      <c r="C245" s="13">
        <f>FII!N4</f>
        <v>68870</v>
      </c>
      <c r="D245" s="13">
        <f>FII!J4</f>
        <v>68159</v>
      </c>
      <c r="E245" s="14">
        <f>(C245-D245)/C245</f>
        <v>1.0323798460868302E-2</v>
      </c>
      <c r="F245" s="13">
        <f>FII!M4</f>
        <v>416627</v>
      </c>
      <c r="G245" s="13">
        <f>FII!I4</f>
        <v>407634</v>
      </c>
      <c r="H245" s="14">
        <f>(F245-G245)/F245</f>
        <v>2.1585254916268028E-2</v>
      </c>
    </row>
    <row r="246" spans="1:8" x14ac:dyDescent="0.25">
      <c r="A246" s="249" t="s">
        <v>395</v>
      </c>
      <c r="B246" s="250"/>
      <c r="C246" s="13">
        <f>FII!N15</f>
        <v>423623</v>
      </c>
      <c r="D246" s="13">
        <f>FII!J15</f>
        <v>422721</v>
      </c>
      <c r="E246" s="14">
        <f>(C246-D246)/C246</f>
        <v>2.129251716738704E-3</v>
      </c>
      <c r="F246" s="13">
        <f>FII!M15</f>
        <v>6845218</v>
      </c>
      <c r="G246" s="13">
        <f>FII!I15</f>
        <v>6796453</v>
      </c>
      <c r="H246" s="14">
        <f>(F246-G246)/F246</f>
        <v>7.1239513482258708E-3</v>
      </c>
    </row>
    <row r="247" spans="1:8" x14ac:dyDescent="0.25">
      <c r="A247" s="249" t="s">
        <v>396</v>
      </c>
      <c r="B247" s="250"/>
      <c r="C247" s="13">
        <f>FII!N16</f>
        <v>53517</v>
      </c>
      <c r="D247" s="13">
        <f>FII!J16</f>
        <v>50779</v>
      </c>
      <c r="E247" s="14">
        <f>(C247-D247)/C247</f>
        <v>5.1161313227572544E-2</v>
      </c>
      <c r="F247" s="13">
        <f>FII!M16</f>
        <v>829621</v>
      </c>
      <c r="G247" s="13">
        <f>FII!I16</f>
        <v>778869</v>
      </c>
      <c r="H247" s="14">
        <f>(F247-G247)/F247</f>
        <v>6.1174922042715893E-2</v>
      </c>
    </row>
    <row r="248" spans="1:8" x14ac:dyDescent="0.25">
      <c r="A248" s="249" t="s">
        <v>391</v>
      </c>
      <c r="B248" s="250"/>
      <c r="C248" s="155">
        <f>SUM(C244:C247)</f>
        <v>552086</v>
      </c>
      <c r="D248" s="155">
        <f>SUM(D244:D247)</f>
        <v>547777</v>
      </c>
      <c r="E248" s="156">
        <f>(C248-D248)/C248</f>
        <v>7.8049434327260607E-3</v>
      </c>
      <c r="F248" s="157">
        <f>SUM(F244:F247)</f>
        <v>8128001</v>
      </c>
      <c r="G248" s="158">
        <f>SUM(G244:G247)</f>
        <v>8019380</v>
      </c>
      <c r="H248" s="156">
        <f>(F248-G248)/F248</f>
        <v>1.3363802489689654E-2</v>
      </c>
    </row>
  </sheetData>
  <mergeCells count="24">
    <mergeCell ref="P228:S228"/>
    <mergeCell ref="A228:F228"/>
    <mergeCell ref="Q227:S227"/>
    <mergeCell ref="I227:M227"/>
    <mergeCell ref="A227:F227"/>
    <mergeCell ref="A247:B247"/>
    <mergeCell ref="A248:B248"/>
    <mergeCell ref="A232:C232"/>
    <mergeCell ref="C242:E242"/>
    <mergeCell ref="F242:H242"/>
    <mergeCell ref="A245:B245"/>
    <mergeCell ref="A246:B246"/>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9"/>
  <sheetViews>
    <sheetView workbookViewId="0">
      <pane ySplit="5" topLeftCell="A201" activePane="bottomLeft" state="frozen"/>
      <selection pane="bottomLeft" activeCell="A217" sqref="A217:G21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1" t="s">
        <v>456</v>
      </c>
      <c r="B3" s="312"/>
      <c r="C3" s="312"/>
      <c r="D3" s="312"/>
      <c r="E3" s="312"/>
      <c r="F3" s="312"/>
      <c r="G3" s="313"/>
      <c r="H3" s="46"/>
    </row>
    <row r="4" spans="1:8" x14ac:dyDescent="0.25">
      <c r="A4" s="287" t="s">
        <v>366</v>
      </c>
      <c r="B4" s="106" t="s">
        <v>312</v>
      </c>
      <c r="C4" s="106" t="s">
        <v>313</v>
      </c>
      <c r="D4" s="287" t="s">
        <v>367</v>
      </c>
      <c r="E4" s="287"/>
      <c r="F4" s="287"/>
      <c r="G4" s="287"/>
      <c r="H4" s="47"/>
    </row>
    <row r="5" spans="1:8" x14ac:dyDescent="0.25">
      <c r="A5" s="306"/>
      <c r="B5" s="3">
        <f>PCR!B6</f>
        <v>46093</v>
      </c>
      <c r="C5" s="3">
        <f>B5</f>
        <v>46093</v>
      </c>
      <c r="D5" s="76" t="s">
        <v>367</v>
      </c>
      <c r="E5" s="76" t="s">
        <v>321</v>
      </c>
      <c r="F5" s="76" t="s">
        <v>368</v>
      </c>
      <c r="G5" s="76" t="s">
        <v>369</v>
      </c>
      <c r="H5" s="48"/>
    </row>
    <row r="6" spans="1:8" x14ac:dyDescent="0.25">
      <c r="A6" s="101" t="str">
        <f>'Data Vlaue (Cr)'!C2</f>
        <v>360ONE</v>
      </c>
      <c r="B6" s="144">
        <f>VLOOKUP($A6,'Data shares'!$C:$FA,7)</f>
        <v>1043.4000000000001</v>
      </c>
      <c r="C6" s="144">
        <f>VLOOKUP($A6,'Data shares'!$C:$FA,3)</f>
        <v>1044.2</v>
      </c>
      <c r="D6" s="144">
        <f>VLOOKUP($A6,'Data shares'!$C:$FA,23)</f>
        <v>0.8</v>
      </c>
      <c r="E6" s="145">
        <f>VLOOKUP($A6,'Data shares'!$C:$FA,26)*100</f>
        <v>0.08</v>
      </c>
      <c r="F6" s="144">
        <f>VLOOKUP($A6,'Data shares'!$C:$FA,24)</f>
        <v>-0.4</v>
      </c>
      <c r="G6" s="144">
        <f>VLOOKUP($A6,'Data shares'!$C:$FA,25)</f>
        <v>1.2</v>
      </c>
    </row>
    <row r="7" spans="1:8" x14ac:dyDescent="0.25">
      <c r="A7" s="101" t="str">
        <f>'Data Vlaue (Cr)'!C3</f>
        <v>ABB</v>
      </c>
      <c r="B7" s="144">
        <f>VLOOKUP($A7,'Data shares'!$C:$FA,7)</f>
        <v>6409</v>
      </c>
      <c r="C7" s="144">
        <f>VLOOKUP($A7,'Data shares'!$C:$FA,3)</f>
        <v>6403.5</v>
      </c>
      <c r="D7" s="144">
        <f>VLOOKUP($A7,'Data shares'!$C:$FA,23)</f>
        <v>-5.5</v>
      </c>
      <c r="E7" s="145">
        <f>VLOOKUP($A7,'Data shares'!$C:$FA,26)*100</f>
        <v>-0.09</v>
      </c>
      <c r="F7" s="144">
        <f>VLOOKUP($A7,'Data shares'!$C:$FA,24)</f>
        <v>-2.5</v>
      </c>
      <c r="G7" s="144">
        <f>VLOOKUP($A7,'Data shares'!$C:$FA,25)</f>
        <v>-3</v>
      </c>
    </row>
    <row r="8" spans="1:8" x14ac:dyDescent="0.25">
      <c r="A8" s="101" t="str">
        <f>'Data Vlaue (Cr)'!C4</f>
        <v>ABCAPITAL</v>
      </c>
      <c r="B8" s="144">
        <f>VLOOKUP($A8,'Data shares'!$C:$FA,7)</f>
        <v>319.95</v>
      </c>
      <c r="C8" s="144">
        <f>VLOOKUP($A8,'Data shares'!$C:$FA,3)</f>
        <v>321.39999999999998</v>
      </c>
      <c r="D8" s="144">
        <f>VLOOKUP($A8,'Data shares'!$C:$FA,23)</f>
        <v>1.45</v>
      </c>
      <c r="E8" s="145">
        <f>VLOOKUP($A8,'Data shares'!$C:$FA,26)*100</f>
        <v>0.44999999999999996</v>
      </c>
      <c r="F8" s="144">
        <f>VLOOKUP($A8,'Data shares'!$C:$FA,24)</f>
        <v>0.4</v>
      </c>
      <c r="G8" s="144">
        <f>VLOOKUP($A8,'Data shares'!$C:$FA,25)</f>
        <v>1.05</v>
      </c>
    </row>
    <row r="9" spans="1:8" x14ac:dyDescent="0.25">
      <c r="A9" s="101" t="str">
        <f>'Data Vlaue (Cr)'!C5</f>
        <v>ADANIENSOL</v>
      </c>
      <c r="B9" s="144">
        <f>VLOOKUP($A9,'Data shares'!$C:$FA,7)</f>
        <v>1004.4</v>
      </c>
      <c r="C9" s="144">
        <f>VLOOKUP($A9,'Data shares'!$C:$FA,3)</f>
        <v>1007.5</v>
      </c>
      <c r="D9" s="144">
        <f>VLOOKUP($A9,'Data shares'!$C:$FA,23)</f>
        <v>3.1</v>
      </c>
      <c r="E9" s="145">
        <f>VLOOKUP($A9,'Data shares'!$C:$FA,26)*100</f>
        <v>0.31</v>
      </c>
      <c r="F9" s="144">
        <f>VLOOKUP($A9,'Data shares'!$C:$FA,24)</f>
        <v>3.4</v>
      </c>
      <c r="G9" s="144">
        <f>VLOOKUP($A9,'Data shares'!$C:$FA,25)</f>
        <v>-0.3</v>
      </c>
    </row>
    <row r="10" spans="1:8" x14ac:dyDescent="0.25">
      <c r="A10" s="101" t="str">
        <f>'Data Vlaue (Cr)'!C6</f>
        <v>ADANIENT</v>
      </c>
      <c r="B10" s="144">
        <f>VLOOKUP($A10,'Data shares'!$C:$FA,7)</f>
        <v>2002</v>
      </c>
      <c r="C10" s="144">
        <f>VLOOKUP($A10,'Data shares'!$C:$FA,3)</f>
        <v>1998.9</v>
      </c>
      <c r="D10" s="144">
        <f>VLOOKUP($A10,'Data shares'!$C:$FA,23)</f>
        <v>-3.1</v>
      </c>
      <c r="E10" s="145">
        <f>VLOOKUP($A10,'Data shares'!$C:$FA,26)*100</f>
        <v>-0.15</v>
      </c>
      <c r="F10" s="144">
        <f>VLOOKUP($A10,'Data shares'!$C:$FA,24)</f>
        <v>0.6</v>
      </c>
      <c r="G10" s="144">
        <f>VLOOKUP($A10,'Data shares'!$C:$FA,25)</f>
        <v>-3.7</v>
      </c>
    </row>
    <row r="11" spans="1:8" x14ac:dyDescent="0.25">
      <c r="A11" s="101" t="str">
        <f>'Data Vlaue (Cr)'!C7</f>
        <v>ADANIGREEN</v>
      </c>
      <c r="B11" s="144">
        <f>VLOOKUP($A11,'Data shares'!$C:$FA,7)</f>
        <v>866.55</v>
      </c>
      <c r="C11" s="144">
        <f>VLOOKUP($A11,'Data shares'!$C:$FA,3)</f>
        <v>869.95</v>
      </c>
      <c r="D11" s="144">
        <f>VLOOKUP($A11,'Data shares'!$C:$FA,23)</f>
        <v>3.4</v>
      </c>
      <c r="E11" s="145">
        <f>VLOOKUP($A11,'Data shares'!$C:$FA,26)*100</f>
        <v>0.38999999999999996</v>
      </c>
      <c r="F11" s="144">
        <f>VLOOKUP($A11,'Data shares'!$C:$FA,24)</f>
        <v>2.15</v>
      </c>
      <c r="G11" s="144">
        <f>VLOOKUP($A11,'Data shares'!$C:$FA,25)</f>
        <v>1.25</v>
      </c>
    </row>
    <row r="12" spans="1:8" x14ac:dyDescent="0.25">
      <c r="A12" s="101" t="str">
        <f>'Data Vlaue (Cr)'!C8</f>
        <v>ADANIPORTS</v>
      </c>
      <c r="B12" s="144">
        <f>VLOOKUP($A12,'Data shares'!$C:$FA,7)</f>
        <v>1391.5</v>
      </c>
      <c r="C12" s="144">
        <f>VLOOKUP($A12,'Data shares'!$C:$FA,3)</f>
        <v>1397</v>
      </c>
      <c r="D12" s="144">
        <f>VLOOKUP($A12,'Data shares'!$C:$FA,23)</f>
        <v>5.5</v>
      </c>
      <c r="E12" s="145">
        <f>VLOOKUP($A12,'Data shares'!$C:$FA,26)*100</f>
        <v>0.4</v>
      </c>
      <c r="F12" s="144">
        <f>VLOOKUP($A12,'Data shares'!$C:$FA,24)</f>
        <v>4.7</v>
      </c>
      <c r="G12" s="144">
        <f>VLOOKUP($A12,'Data shares'!$C:$FA,25)</f>
        <v>0.8</v>
      </c>
    </row>
    <row r="13" spans="1:8" x14ac:dyDescent="0.25">
      <c r="A13" s="101" t="str">
        <f>'Data Vlaue (Cr)'!C9</f>
        <v>ALKEM</v>
      </c>
      <c r="B13" s="144">
        <f>VLOOKUP($A13,'Data shares'!$C:$FA,7)</f>
        <v>5444</v>
      </c>
      <c r="C13" s="144">
        <f>VLOOKUP($A13,'Data shares'!$C:$FA,3)</f>
        <v>5466</v>
      </c>
      <c r="D13" s="144">
        <f>VLOOKUP($A13,'Data shares'!$C:$FA,23)</f>
        <v>22</v>
      </c>
      <c r="E13" s="145">
        <f>VLOOKUP($A13,'Data shares'!$C:$FA,26)*100</f>
        <v>0.4</v>
      </c>
      <c r="F13" s="144">
        <f>VLOOKUP($A13,'Data shares'!$C:$FA,24)</f>
        <v>16</v>
      </c>
      <c r="G13" s="144">
        <f>VLOOKUP($A13,'Data shares'!$C:$FA,25)</f>
        <v>6</v>
      </c>
    </row>
    <row r="14" spans="1:8" x14ac:dyDescent="0.25">
      <c r="A14" s="101" t="str">
        <f>'Data Vlaue (Cr)'!C10</f>
        <v>AMBER</v>
      </c>
      <c r="B14" s="144">
        <f>VLOOKUP($A14,'Data shares'!$C:$FA,7)</f>
        <v>6929.5</v>
      </c>
      <c r="C14" s="144">
        <f>VLOOKUP($A14,'Data shares'!$C:$FA,3)</f>
        <v>6953.5</v>
      </c>
      <c r="D14" s="144">
        <f>VLOOKUP($A14,'Data shares'!$C:$FA,23)</f>
        <v>24</v>
      </c>
      <c r="E14" s="145">
        <f>VLOOKUP($A14,'Data shares'!$C:$FA,26)*100</f>
        <v>0.35000000000000003</v>
      </c>
      <c r="F14" s="144">
        <f>VLOOKUP($A14,'Data shares'!$C:$FA,24)</f>
        <v>-11</v>
      </c>
      <c r="G14" s="144">
        <f>VLOOKUP($A14,'Data shares'!$C:$FA,25)</f>
        <v>35</v>
      </c>
    </row>
    <row r="15" spans="1:8" x14ac:dyDescent="0.25">
      <c r="A15" s="101" t="str">
        <f>'Data Vlaue (Cr)'!C11</f>
        <v>AMBUJACEM</v>
      </c>
      <c r="B15" s="144">
        <f>VLOOKUP($A15,'Data shares'!$C:$FA,7)</f>
        <v>446.45</v>
      </c>
      <c r="C15" s="144">
        <f>VLOOKUP($A15,'Data shares'!$C:$FA,3)</f>
        <v>448.4</v>
      </c>
      <c r="D15" s="144">
        <f>VLOOKUP($A15,'Data shares'!$C:$FA,23)</f>
        <v>1.95</v>
      </c>
      <c r="E15" s="145">
        <f>VLOOKUP($A15,'Data shares'!$C:$FA,26)*100</f>
        <v>0.44</v>
      </c>
      <c r="F15" s="144">
        <f>VLOOKUP($A15,'Data shares'!$C:$FA,24)</f>
        <v>0.65</v>
      </c>
      <c r="G15" s="144">
        <f>VLOOKUP($A15,'Data shares'!$C:$FA,25)</f>
        <v>1.3</v>
      </c>
    </row>
    <row r="16" spans="1:8" x14ac:dyDescent="0.25">
      <c r="A16" s="101" t="str">
        <f>'Data Vlaue (Cr)'!C12</f>
        <v>ANGELONE</v>
      </c>
      <c r="B16" s="144">
        <f>VLOOKUP($A16,'Data shares'!$C:$FA,7)</f>
        <v>213.07</v>
      </c>
      <c r="C16" s="144">
        <f>VLOOKUP($A16,'Data shares'!$C:$FA,3)</f>
        <v>213.78</v>
      </c>
      <c r="D16" s="144">
        <f>VLOOKUP($A16,'Data shares'!$C:$FA,23)</f>
        <v>0.71</v>
      </c>
      <c r="E16" s="145">
        <f>VLOOKUP($A16,'Data shares'!$C:$FA,26)*100</f>
        <v>0.33</v>
      </c>
      <c r="F16" s="144">
        <f>VLOOKUP($A16,'Data shares'!$C:$FA,24)</f>
        <v>-0.47</v>
      </c>
      <c r="G16" s="144">
        <f>VLOOKUP($A16,'Data shares'!$C:$FA,25)</f>
        <v>1.18</v>
      </c>
    </row>
    <row r="17" spans="1:7" x14ac:dyDescent="0.25">
      <c r="A17" s="101" t="str">
        <f>'Data Vlaue (Cr)'!C13</f>
        <v>APLAPOLLO</v>
      </c>
      <c r="B17" s="144">
        <f>VLOOKUP($A17,'Data shares'!$C:$FA,7)</f>
        <v>2009.2</v>
      </c>
      <c r="C17" s="144">
        <f>VLOOKUP($A17,'Data shares'!$C:$FA,3)</f>
        <v>2010.2</v>
      </c>
      <c r="D17" s="144">
        <f>VLOOKUP($A17,'Data shares'!$C:$FA,23)</f>
        <v>1</v>
      </c>
      <c r="E17" s="145">
        <f>VLOOKUP($A17,'Data shares'!$C:$FA,26)*100</f>
        <v>0.05</v>
      </c>
      <c r="F17" s="144">
        <f>VLOOKUP($A17,'Data shares'!$C:$FA,24)</f>
        <v>2.7</v>
      </c>
      <c r="G17" s="144">
        <f>VLOOKUP($A17,'Data shares'!$C:$FA,25)</f>
        <v>-1.7</v>
      </c>
    </row>
    <row r="18" spans="1:7" x14ac:dyDescent="0.25">
      <c r="A18" s="101" t="str">
        <f>'Data Vlaue (Cr)'!C14</f>
        <v>APOLLOHOSP</v>
      </c>
      <c r="B18" s="144">
        <f>VLOOKUP($A18,'Data shares'!$C:$FA,7)</f>
        <v>7574.5</v>
      </c>
      <c r="C18" s="144">
        <f>VLOOKUP($A18,'Data shares'!$C:$FA,3)</f>
        <v>7582.5</v>
      </c>
      <c r="D18" s="144">
        <f>VLOOKUP($A18,'Data shares'!$C:$FA,23)</f>
        <v>8</v>
      </c>
      <c r="E18" s="145">
        <f>VLOOKUP($A18,'Data shares'!$C:$FA,26)*100</f>
        <v>0.11</v>
      </c>
      <c r="F18" s="144">
        <f>VLOOKUP($A18,'Data shares'!$C:$FA,24)</f>
        <v>19</v>
      </c>
      <c r="G18" s="144">
        <f>VLOOKUP($A18,'Data shares'!$C:$FA,25)</f>
        <v>-11</v>
      </c>
    </row>
    <row r="19" spans="1:7" x14ac:dyDescent="0.25">
      <c r="A19" s="101" t="str">
        <f>'Data Vlaue (Cr)'!C15</f>
        <v>ASHOKLEY</v>
      </c>
      <c r="B19" s="144">
        <f>VLOOKUP($A19,'Data shares'!$C:$FA,7)</f>
        <v>178.47</v>
      </c>
      <c r="C19" s="144">
        <f>VLOOKUP($A19,'Data shares'!$C:$FA,3)</f>
        <v>179.02</v>
      </c>
      <c r="D19" s="144">
        <f>VLOOKUP($A19,'Data shares'!$C:$FA,23)</f>
        <v>0.55000000000000004</v>
      </c>
      <c r="E19" s="145">
        <f>VLOOKUP($A19,'Data shares'!$C:$FA,26)*100</f>
        <v>0.31</v>
      </c>
      <c r="F19" s="144">
        <f>VLOOKUP($A19,'Data shares'!$C:$FA,24)</f>
        <v>0.81</v>
      </c>
      <c r="G19" s="144">
        <f>VLOOKUP($A19,'Data shares'!$C:$FA,25)</f>
        <v>-0.26</v>
      </c>
    </row>
    <row r="20" spans="1:7" x14ac:dyDescent="0.25">
      <c r="A20" s="101" t="str">
        <f>'Data Vlaue (Cr)'!C16</f>
        <v>ASIANPAINT</v>
      </c>
      <c r="B20" s="144">
        <f>VLOOKUP($A20,'Data shares'!$C:$FA,7)</f>
        <v>2221.1999999999998</v>
      </c>
      <c r="C20" s="144">
        <f>VLOOKUP($A20,'Data shares'!$C:$FA,3)</f>
        <v>2226.6</v>
      </c>
      <c r="D20" s="144">
        <f>VLOOKUP($A20,'Data shares'!$C:$FA,23)</f>
        <v>5.4</v>
      </c>
      <c r="E20" s="145">
        <f>VLOOKUP($A20,'Data shares'!$C:$FA,26)*100</f>
        <v>0.24</v>
      </c>
      <c r="F20" s="144">
        <f>VLOOKUP($A20,'Data shares'!$C:$FA,24)</f>
        <v>2.4</v>
      </c>
      <c r="G20" s="144">
        <f>VLOOKUP($A20,'Data shares'!$C:$FA,25)</f>
        <v>3</v>
      </c>
    </row>
    <row r="21" spans="1:7" x14ac:dyDescent="0.25">
      <c r="A21" s="101" t="str">
        <f>'Data Vlaue (Cr)'!C17</f>
        <v>ASTRAL</v>
      </c>
      <c r="B21" s="144">
        <f>VLOOKUP($A21,'Data shares'!$C:$FA,7)</f>
        <v>1696</v>
      </c>
      <c r="C21" s="144">
        <f>VLOOKUP($A21,'Data shares'!$C:$FA,3)</f>
        <v>1660.4</v>
      </c>
      <c r="D21" s="144">
        <f>VLOOKUP($A21,'Data shares'!$C:$FA,23)</f>
        <v>-35.6</v>
      </c>
      <c r="E21" s="145">
        <f>VLOOKUP($A21,'Data shares'!$C:$FA,26)*100</f>
        <v>-2.1</v>
      </c>
      <c r="F21" s="144">
        <f>VLOOKUP($A21,'Data shares'!$C:$FA,24)</f>
        <v>-94</v>
      </c>
      <c r="G21" s="144">
        <f>VLOOKUP($A21,'Data shares'!$C:$FA,25)</f>
        <v>58.4</v>
      </c>
    </row>
    <row r="22" spans="1:7" x14ac:dyDescent="0.25">
      <c r="A22" s="101" t="str">
        <f>'Data Vlaue (Cr)'!C18</f>
        <v>AUBANK</v>
      </c>
      <c r="B22" s="144">
        <f>VLOOKUP($A22,'Data shares'!$C:$FA,7)</f>
        <v>902.2</v>
      </c>
      <c r="C22" s="144">
        <f>VLOOKUP($A22,'Data shares'!$C:$FA,3)</f>
        <v>906</v>
      </c>
      <c r="D22" s="144">
        <f>VLOOKUP($A22,'Data shares'!$C:$FA,23)</f>
        <v>3.8</v>
      </c>
      <c r="E22" s="145">
        <f>VLOOKUP($A22,'Data shares'!$C:$FA,26)*100</f>
        <v>0.42</v>
      </c>
      <c r="F22" s="144">
        <f>VLOOKUP($A22,'Data shares'!$C:$FA,24)</f>
        <v>0.2</v>
      </c>
      <c r="G22" s="144">
        <f>VLOOKUP($A22,'Data shares'!$C:$FA,25)</f>
        <v>3.6</v>
      </c>
    </row>
    <row r="23" spans="1:7" x14ac:dyDescent="0.25">
      <c r="A23" s="101" t="str">
        <f>'Data Vlaue (Cr)'!C19</f>
        <v>AUROPHARMA</v>
      </c>
      <c r="B23" s="144">
        <f>VLOOKUP($A23,'Data shares'!$C:$FA,7)</f>
        <v>1311.9</v>
      </c>
      <c r="C23" s="144">
        <f>VLOOKUP($A23,'Data shares'!$C:$FA,3)</f>
        <v>1313.2</v>
      </c>
      <c r="D23" s="144">
        <f>VLOOKUP($A23,'Data shares'!$C:$FA,23)</f>
        <v>1.3</v>
      </c>
      <c r="E23" s="145">
        <f>VLOOKUP($A23,'Data shares'!$C:$FA,26)*100</f>
        <v>0.1</v>
      </c>
      <c r="F23" s="144">
        <f>VLOOKUP($A23,'Data shares'!$C:$FA,24)</f>
        <v>1.7</v>
      </c>
      <c r="G23" s="144">
        <f>VLOOKUP($A23,'Data shares'!$C:$FA,25)</f>
        <v>-0.4</v>
      </c>
    </row>
    <row r="24" spans="1:7" x14ac:dyDescent="0.25">
      <c r="A24" s="101" t="str">
        <f>'Data Vlaue (Cr)'!C20</f>
        <v>AXISBANK</v>
      </c>
      <c r="B24" s="144">
        <f>VLOOKUP($A24,'Data shares'!$C:$FA,7)</f>
        <v>1234.5</v>
      </c>
      <c r="C24" s="144">
        <f>VLOOKUP($A24,'Data shares'!$C:$FA,3)</f>
        <v>1239.4000000000001</v>
      </c>
      <c r="D24" s="144">
        <f>VLOOKUP($A24,'Data shares'!$C:$FA,23)</f>
        <v>4.9000000000000004</v>
      </c>
      <c r="E24" s="145">
        <f>VLOOKUP($A24,'Data shares'!$C:$FA,26)*100</f>
        <v>0.4</v>
      </c>
      <c r="F24" s="144">
        <f>VLOOKUP($A24,'Data shares'!$C:$FA,24)</f>
        <v>4.5</v>
      </c>
      <c r="G24" s="144">
        <f>VLOOKUP($A24,'Data shares'!$C:$FA,25)</f>
        <v>0.4</v>
      </c>
    </row>
    <row r="25" spans="1:7" x14ac:dyDescent="0.25">
      <c r="A25" s="101" t="str">
        <f>'Data Vlaue (Cr)'!C21</f>
        <v>BAJAJ-AUTO</v>
      </c>
      <c r="B25" s="144">
        <f>VLOOKUP($A25,'Data shares'!$C:$FA,7)</f>
        <v>9162</v>
      </c>
      <c r="C25" s="144">
        <f>VLOOKUP($A25,'Data shares'!$C:$FA,3)</f>
        <v>9127.5</v>
      </c>
      <c r="D25" s="144">
        <f>VLOOKUP($A25,'Data shares'!$C:$FA,23)</f>
        <v>-34.5</v>
      </c>
      <c r="E25" s="145">
        <f>VLOOKUP($A25,'Data shares'!$C:$FA,26)*100</f>
        <v>-0.38</v>
      </c>
      <c r="F25" s="144">
        <f>VLOOKUP($A25,'Data shares'!$C:$FA,24)</f>
        <v>-19.5</v>
      </c>
      <c r="G25" s="144">
        <f>VLOOKUP($A25,'Data shares'!$C:$FA,25)</f>
        <v>-15</v>
      </c>
    </row>
    <row r="26" spans="1:7" x14ac:dyDescent="0.25">
      <c r="A26" s="101" t="str">
        <f>'Data Vlaue (Cr)'!C22</f>
        <v>BAJAJFINSV</v>
      </c>
      <c r="B26" s="144">
        <f>VLOOKUP($A26,'Data shares'!$C:$FA,7)</f>
        <v>1770.8</v>
      </c>
      <c r="C26" s="144">
        <f>VLOOKUP($A26,'Data shares'!$C:$FA,3)</f>
        <v>1773.1</v>
      </c>
      <c r="D26" s="144">
        <f>VLOOKUP($A26,'Data shares'!$C:$FA,23)</f>
        <v>2.2999999999999998</v>
      </c>
      <c r="E26" s="145">
        <f>VLOOKUP($A26,'Data shares'!$C:$FA,26)*100</f>
        <v>0.13</v>
      </c>
      <c r="F26" s="144">
        <f>VLOOKUP($A26,'Data shares'!$C:$FA,24)</f>
        <v>2.2999999999999998</v>
      </c>
      <c r="G26" s="144">
        <f>VLOOKUP($A26,'Data shares'!$C:$FA,25)</f>
        <v>0</v>
      </c>
    </row>
    <row r="27" spans="1:7" x14ac:dyDescent="0.25">
      <c r="A27" s="101" t="str">
        <f>'Data Vlaue (Cr)'!C23</f>
        <v>BAJAJHLDNG</v>
      </c>
      <c r="B27" s="144">
        <f>VLOOKUP($A27,'Data shares'!$C:$FA,7)</f>
        <v>9789</v>
      </c>
      <c r="C27" s="144">
        <f>VLOOKUP($A27,'Data shares'!$C:$FA,3)</f>
        <v>9821</v>
      </c>
      <c r="D27" s="144">
        <f>VLOOKUP($A27,'Data shares'!$C:$FA,23)</f>
        <v>32</v>
      </c>
      <c r="E27" s="145">
        <f>VLOOKUP($A27,'Data shares'!$C:$FA,26)*100</f>
        <v>0.33</v>
      </c>
      <c r="F27" s="144">
        <f>VLOOKUP($A27,'Data shares'!$C:$FA,24)</f>
        <v>2</v>
      </c>
      <c r="G27" s="144">
        <f>VLOOKUP($A27,'Data shares'!$C:$FA,25)</f>
        <v>30</v>
      </c>
    </row>
    <row r="28" spans="1:7" x14ac:dyDescent="0.25">
      <c r="A28" s="101" t="str">
        <f>'Data Vlaue (Cr)'!C24</f>
        <v>BAJFINANCE</v>
      </c>
      <c r="B28" s="144">
        <f>VLOOKUP($A28,'Data shares'!$C:$FA,7)</f>
        <v>863.1</v>
      </c>
      <c r="C28" s="144">
        <f>VLOOKUP($A28,'Data shares'!$C:$FA,3)</f>
        <v>866.6</v>
      </c>
      <c r="D28" s="144">
        <f>VLOOKUP($A28,'Data shares'!$C:$FA,23)</f>
        <v>3.5</v>
      </c>
      <c r="E28" s="145">
        <f>VLOOKUP($A28,'Data shares'!$C:$FA,26)*100</f>
        <v>0.41000000000000003</v>
      </c>
      <c r="F28" s="144">
        <f>VLOOKUP($A28,'Data shares'!$C:$FA,24)</f>
        <v>0.45</v>
      </c>
      <c r="G28" s="144">
        <f>VLOOKUP($A28,'Data shares'!$C:$FA,25)</f>
        <v>3.05</v>
      </c>
    </row>
    <row r="29" spans="1:7" x14ac:dyDescent="0.25">
      <c r="A29" s="101" t="str">
        <f>'Data Vlaue (Cr)'!C25</f>
        <v>BANDHANBNK</v>
      </c>
      <c r="B29" s="144">
        <f>VLOOKUP($A29,'Data shares'!$C:$FA,7)</f>
        <v>178.01</v>
      </c>
      <c r="C29" s="144">
        <f>VLOOKUP($A29,'Data shares'!$C:$FA,3)</f>
        <v>178.47</v>
      </c>
      <c r="D29" s="144">
        <f>VLOOKUP($A29,'Data shares'!$C:$FA,23)</f>
        <v>0.46</v>
      </c>
      <c r="E29" s="145">
        <f>VLOOKUP($A29,'Data shares'!$C:$FA,26)*100</f>
        <v>0.26</v>
      </c>
      <c r="F29" s="144">
        <f>VLOOKUP($A29,'Data shares'!$C:$FA,24)</f>
        <v>0.04</v>
      </c>
      <c r="G29" s="144">
        <f>VLOOKUP($A29,'Data shares'!$C:$FA,25)</f>
        <v>0.42</v>
      </c>
    </row>
    <row r="30" spans="1:7" x14ac:dyDescent="0.25">
      <c r="A30" s="101" t="str">
        <f>'Data Vlaue (Cr)'!C26</f>
        <v>BANKBARODA</v>
      </c>
      <c r="B30" s="144">
        <f>VLOOKUP($A30,'Data shares'!$C:$FA,7)</f>
        <v>289.2</v>
      </c>
      <c r="C30" s="144">
        <f>VLOOKUP($A30,'Data shares'!$C:$FA,3)</f>
        <v>290.2</v>
      </c>
      <c r="D30" s="144">
        <f>VLOOKUP($A30,'Data shares'!$C:$FA,23)</f>
        <v>1</v>
      </c>
      <c r="E30" s="145">
        <f>VLOOKUP($A30,'Data shares'!$C:$FA,26)*100</f>
        <v>0.35000000000000003</v>
      </c>
      <c r="F30" s="144">
        <f>VLOOKUP($A30,'Data shares'!$C:$FA,24)</f>
        <v>1.05</v>
      </c>
      <c r="G30" s="144">
        <f>VLOOKUP($A30,'Data shares'!$C:$FA,25)</f>
        <v>-0.05</v>
      </c>
    </row>
    <row r="31" spans="1:7" x14ac:dyDescent="0.25">
      <c r="A31" s="101" t="str">
        <f>'Data Vlaue (Cr)'!C27</f>
        <v>BANKINDIA</v>
      </c>
      <c r="B31" s="144">
        <f>VLOOKUP($A31,'Data shares'!$C:$FA,7)</f>
        <v>154.78</v>
      </c>
      <c r="C31" s="144">
        <f>VLOOKUP($A31,'Data shares'!$C:$FA,3)</f>
        <v>154.91999999999999</v>
      </c>
      <c r="D31" s="144">
        <f>VLOOKUP($A31,'Data shares'!$C:$FA,23)</f>
        <v>0.14000000000000001</v>
      </c>
      <c r="E31" s="145">
        <f>VLOOKUP($A31,'Data shares'!$C:$FA,26)*100</f>
        <v>0.09</v>
      </c>
      <c r="F31" s="144">
        <f>VLOOKUP($A31,'Data shares'!$C:$FA,24)</f>
        <v>0.31</v>
      </c>
      <c r="G31" s="144">
        <f>VLOOKUP($A31,'Data shares'!$C:$FA,25)</f>
        <v>-0.17</v>
      </c>
    </row>
    <row r="32" spans="1:7" x14ac:dyDescent="0.25">
      <c r="A32" s="101" t="str">
        <f>'Data Vlaue (Cr)'!C28</f>
        <v>BANKNIFTY</v>
      </c>
      <c r="B32" s="144">
        <f>VLOOKUP($A32,'Data shares'!$C:$FA,7)</f>
        <v>55100.95</v>
      </c>
      <c r="C32" s="144">
        <f>VLOOKUP($A32,'Data shares'!$C:$FA,3)</f>
        <v>55369.8</v>
      </c>
      <c r="D32" s="144">
        <f>VLOOKUP($A32,'Data shares'!$C:$FA,23)</f>
        <v>268.85000000000002</v>
      </c>
      <c r="E32" s="145">
        <f>VLOOKUP($A32,'Data shares'!$C:$FA,26)*100</f>
        <v>0.49</v>
      </c>
      <c r="F32" s="144">
        <f>VLOOKUP($A32,'Data shares'!$C:$FA,24)</f>
        <v>194.05</v>
      </c>
      <c r="G32" s="144">
        <f>VLOOKUP($A32,'Data shares'!$C:$FA,25)</f>
        <v>74.8</v>
      </c>
    </row>
    <row r="33" spans="1:7" x14ac:dyDescent="0.25">
      <c r="A33" s="101" t="str">
        <f>'Data Vlaue (Cr)'!C29</f>
        <v>BDL</v>
      </c>
      <c r="B33" s="144">
        <f>VLOOKUP($A33,'Data shares'!$C:$FA,7)</f>
        <v>1349.4</v>
      </c>
      <c r="C33" s="144">
        <f>VLOOKUP($A33,'Data shares'!$C:$FA,3)</f>
        <v>1352.1</v>
      </c>
      <c r="D33" s="144">
        <f>VLOOKUP($A33,'Data shares'!$C:$FA,23)</f>
        <v>2.7</v>
      </c>
      <c r="E33" s="145">
        <f>VLOOKUP($A33,'Data shares'!$C:$FA,26)*100</f>
        <v>0.2</v>
      </c>
      <c r="F33" s="144">
        <f>VLOOKUP($A33,'Data shares'!$C:$FA,24)</f>
        <v>-1.9</v>
      </c>
      <c r="G33" s="144">
        <f>VLOOKUP($A33,'Data shares'!$C:$FA,25)</f>
        <v>4.5999999999999996</v>
      </c>
    </row>
    <row r="34" spans="1:7" x14ac:dyDescent="0.25">
      <c r="A34" s="101" t="str">
        <f>'Data Vlaue (Cr)'!C30</f>
        <v>BEL</v>
      </c>
      <c r="B34" s="144">
        <f>VLOOKUP($A34,'Data shares'!$C:$FA,7)</f>
        <v>453.55</v>
      </c>
      <c r="C34" s="144">
        <f>VLOOKUP($A34,'Data shares'!$C:$FA,3)</f>
        <v>454.4</v>
      </c>
      <c r="D34" s="144">
        <f>VLOOKUP($A34,'Data shares'!$C:$FA,23)</f>
        <v>0.85</v>
      </c>
      <c r="E34" s="145">
        <f>VLOOKUP($A34,'Data shares'!$C:$FA,26)*100</f>
        <v>0.19</v>
      </c>
      <c r="F34" s="144">
        <f>VLOOKUP($A34,'Data shares'!$C:$FA,24)</f>
        <v>1.7</v>
      </c>
      <c r="G34" s="144">
        <f>VLOOKUP($A34,'Data shares'!$C:$FA,25)</f>
        <v>-0.85</v>
      </c>
    </row>
    <row r="35" spans="1:7" x14ac:dyDescent="0.25">
      <c r="A35" s="101" t="str">
        <f>'Data Vlaue (Cr)'!C31</f>
        <v>BHARATFORG</v>
      </c>
      <c r="B35" s="144">
        <f>VLOOKUP($A35,'Data shares'!$C:$FA,7)</f>
        <v>1779.6</v>
      </c>
      <c r="C35" s="144">
        <f>VLOOKUP($A35,'Data shares'!$C:$FA,3)</f>
        <v>1784.1</v>
      </c>
      <c r="D35" s="144">
        <f>VLOOKUP($A35,'Data shares'!$C:$FA,23)</f>
        <v>4.5</v>
      </c>
      <c r="E35" s="145">
        <f>VLOOKUP($A35,'Data shares'!$C:$FA,26)*100</f>
        <v>0.25</v>
      </c>
      <c r="F35" s="144">
        <f>VLOOKUP($A35,'Data shares'!$C:$FA,24)</f>
        <v>6.6</v>
      </c>
      <c r="G35" s="144">
        <f>VLOOKUP($A35,'Data shares'!$C:$FA,25)</f>
        <v>-2.1</v>
      </c>
    </row>
    <row r="36" spans="1:7" x14ac:dyDescent="0.25">
      <c r="A36" s="101" t="str">
        <f>'Data Vlaue (Cr)'!C32</f>
        <v>BHARTIARTL</v>
      </c>
      <c r="B36" s="144">
        <f>VLOOKUP($A36,'Data shares'!$C:$FA,7)</f>
        <v>1801.3</v>
      </c>
      <c r="C36" s="144">
        <f>VLOOKUP($A36,'Data shares'!$C:$FA,3)</f>
        <v>1807.3</v>
      </c>
      <c r="D36" s="144">
        <f>VLOOKUP($A36,'Data shares'!$C:$FA,23)</f>
        <v>6</v>
      </c>
      <c r="E36" s="145">
        <f>VLOOKUP($A36,'Data shares'!$C:$FA,26)*100</f>
        <v>0.33</v>
      </c>
      <c r="F36" s="144">
        <f>VLOOKUP($A36,'Data shares'!$C:$FA,24)</f>
        <v>4.3</v>
      </c>
      <c r="G36" s="144">
        <f>VLOOKUP($A36,'Data shares'!$C:$FA,25)</f>
        <v>1.7</v>
      </c>
    </row>
    <row r="37" spans="1:7" x14ac:dyDescent="0.25">
      <c r="A37" s="101" t="str">
        <f>'Data Vlaue (Cr)'!C33</f>
        <v>BHEL</v>
      </c>
      <c r="B37" s="144">
        <f>VLOOKUP($A37,'Data shares'!$C:$FA,7)</f>
        <v>267.85000000000002</v>
      </c>
      <c r="C37" s="144">
        <f>VLOOKUP($A37,'Data shares'!$C:$FA,3)</f>
        <v>268.85000000000002</v>
      </c>
      <c r="D37" s="144">
        <f>VLOOKUP($A37,'Data shares'!$C:$FA,23)</f>
        <v>1</v>
      </c>
      <c r="E37" s="145">
        <f>VLOOKUP($A37,'Data shares'!$C:$FA,26)*100</f>
        <v>0.37</v>
      </c>
      <c r="F37" s="144">
        <f>VLOOKUP($A37,'Data shares'!$C:$FA,24)</f>
        <v>0.3</v>
      </c>
      <c r="G37" s="144">
        <f>VLOOKUP($A37,'Data shares'!$C:$FA,25)</f>
        <v>0.7</v>
      </c>
    </row>
    <row r="38" spans="1:7" x14ac:dyDescent="0.25">
      <c r="A38" s="101" t="str">
        <f>'Data Vlaue (Cr)'!C34</f>
        <v>BIOCON</v>
      </c>
      <c r="B38" s="144">
        <f>VLOOKUP($A38,'Data shares'!$C:$FA,7)</f>
        <v>392.2</v>
      </c>
      <c r="C38" s="144">
        <f>VLOOKUP($A38,'Data shares'!$C:$FA,3)</f>
        <v>393.4</v>
      </c>
      <c r="D38" s="144">
        <f>VLOOKUP($A38,'Data shares'!$C:$FA,23)</f>
        <v>1.2</v>
      </c>
      <c r="E38" s="145">
        <f>VLOOKUP($A38,'Data shares'!$C:$FA,26)*100</f>
        <v>0.31</v>
      </c>
      <c r="F38" s="144">
        <f>VLOOKUP($A38,'Data shares'!$C:$FA,24)</f>
        <v>1.35</v>
      </c>
      <c r="G38" s="144">
        <f>VLOOKUP($A38,'Data shares'!$C:$FA,25)</f>
        <v>-0.15</v>
      </c>
    </row>
    <row r="39" spans="1:7" x14ac:dyDescent="0.25">
      <c r="A39" s="101" t="str">
        <f>'Data Vlaue (Cr)'!C35</f>
        <v>BLUESTARCO</v>
      </c>
      <c r="B39" s="144">
        <f>VLOOKUP($A39,'Data shares'!$C:$FA,7)</f>
        <v>1953.5</v>
      </c>
      <c r="C39" s="144">
        <f>VLOOKUP($A39,'Data shares'!$C:$FA,3)</f>
        <v>1945.5</v>
      </c>
      <c r="D39" s="144">
        <f>VLOOKUP($A39,'Data shares'!$C:$FA,23)</f>
        <v>-8</v>
      </c>
      <c r="E39" s="145">
        <f>VLOOKUP($A39,'Data shares'!$C:$FA,26)*100</f>
        <v>-0.41000000000000003</v>
      </c>
      <c r="F39" s="144">
        <f>VLOOKUP($A39,'Data shares'!$C:$FA,24)</f>
        <v>-0.3</v>
      </c>
      <c r="G39" s="144">
        <f>VLOOKUP($A39,'Data shares'!$C:$FA,25)</f>
        <v>-7.7</v>
      </c>
    </row>
    <row r="40" spans="1:7" x14ac:dyDescent="0.25">
      <c r="A40" s="101" t="str">
        <f>'Data Vlaue (Cr)'!C36</f>
        <v>BOSCHLTD</v>
      </c>
      <c r="B40" s="144">
        <f>VLOOKUP($A40,'Data shares'!$C:$FA,7)</f>
        <v>31305</v>
      </c>
      <c r="C40" s="144">
        <f>VLOOKUP($A40,'Data shares'!$C:$FA,3)</f>
        <v>31405</v>
      </c>
      <c r="D40" s="144">
        <f>VLOOKUP($A40,'Data shares'!$C:$FA,23)</f>
        <v>100</v>
      </c>
      <c r="E40" s="145">
        <f>VLOOKUP($A40,'Data shares'!$C:$FA,26)*100</f>
        <v>0.32</v>
      </c>
      <c r="F40" s="144">
        <f>VLOOKUP($A40,'Data shares'!$C:$FA,24)</f>
        <v>85</v>
      </c>
      <c r="G40" s="144">
        <f>VLOOKUP($A40,'Data shares'!$C:$FA,25)</f>
        <v>15</v>
      </c>
    </row>
    <row r="41" spans="1:7" x14ac:dyDescent="0.25">
      <c r="A41" s="101" t="str">
        <f>'Data Vlaue (Cr)'!C37</f>
        <v>BPCL</v>
      </c>
      <c r="B41" s="144">
        <f>VLOOKUP($A41,'Data shares'!$C:$FA,7)</f>
        <v>326.35000000000002</v>
      </c>
      <c r="C41" s="144">
        <f>VLOOKUP($A41,'Data shares'!$C:$FA,3)</f>
        <v>327.2</v>
      </c>
      <c r="D41" s="144">
        <f>VLOOKUP($A41,'Data shares'!$C:$FA,23)</f>
        <v>0.85</v>
      </c>
      <c r="E41" s="145">
        <f>VLOOKUP($A41,'Data shares'!$C:$FA,26)*100</f>
        <v>0.26</v>
      </c>
      <c r="F41" s="144">
        <f>VLOOKUP($A41,'Data shares'!$C:$FA,24)</f>
        <v>0.6</v>
      </c>
      <c r="G41" s="144">
        <f>VLOOKUP($A41,'Data shares'!$C:$FA,25)</f>
        <v>0.25</v>
      </c>
    </row>
    <row r="42" spans="1:7" x14ac:dyDescent="0.25">
      <c r="A42" s="101" t="str">
        <f>'Data Vlaue (Cr)'!C38</f>
        <v>BRITANNIA</v>
      </c>
      <c r="B42" s="144">
        <f>VLOOKUP($A42,'Data shares'!$C:$FA,7)</f>
        <v>5787</v>
      </c>
      <c r="C42" s="144">
        <f>VLOOKUP($A42,'Data shares'!$C:$FA,3)</f>
        <v>5793</v>
      </c>
      <c r="D42" s="144">
        <f>VLOOKUP($A42,'Data shares'!$C:$FA,23)</f>
        <v>6</v>
      </c>
      <c r="E42" s="145">
        <f>VLOOKUP($A42,'Data shares'!$C:$FA,26)*100</f>
        <v>0.1</v>
      </c>
      <c r="F42" s="144">
        <f>VLOOKUP($A42,'Data shares'!$C:$FA,24)</f>
        <v>5.5</v>
      </c>
      <c r="G42" s="144">
        <f>VLOOKUP($A42,'Data shares'!$C:$FA,25)</f>
        <v>0.5</v>
      </c>
    </row>
    <row r="43" spans="1:7" x14ac:dyDescent="0.25">
      <c r="A43" s="101" t="str">
        <f>'Data Vlaue (Cr)'!C39</f>
        <v>BSE</v>
      </c>
      <c r="B43" s="144">
        <f>VLOOKUP($A43,'Data shares'!$C:$FA,7)</f>
        <v>2850.6</v>
      </c>
      <c r="C43" s="144">
        <f>VLOOKUP($A43,'Data shares'!$C:$FA,3)</f>
        <v>2851.7</v>
      </c>
      <c r="D43" s="144">
        <f>VLOOKUP($A43,'Data shares'!$C:$FA,23)</f>
        <v>1.1000000000000001</v>
      </c>
      <c r="E43" s="145">
        <f>VLOOKUP($A43,'Data shares'!$C:$FA,26)*100</f>
        <v>0.04</v>
      </c>
      <c r="F43" s="144">
        <f>VLOOKUP($A43,'Data shares'!$C:$FA,24)</f>
        <v>-0.9</v>
      </c>
      <c r="G43" s="144">
        <f>VLOOKUP($A43,'Data shares'!$C:$FA,25)</f>
        <v>2</v>
      </c>
    </row>
    <row r="44" spans="1:7" x14ac:dyDescent="0.25">
      <c r="A44" s="101" t="str">
        <f>'Data Vlaue (Cr)'!C40</f>
        <v>CAMS</v>
      </c>
      <c r="B44" s="144">
        <f>VLOOKUP($A44,'Data shares'!$C:$FA,7)</f>
        <v>663.75</v>
      </c>
      <c r="C44" s="144">
        <f>VLOOKUP($A44,'Data shares'!$C:$FA,3)</f>
        <v>663.9</v>
      </c>
      <c r="D44" s="144">
        <f>VLOOKUP($A44,'Data shares'!$C:$FA,23)</f>
        <v>0.15</v>
      </c>
      <c r="E44" s="145">
        <f>VLOOKUP($A44,'Data shares'!$C:$FA,26)*100</f>
        <v>0.02</v>
      </c>
      <c r="F44" s="144">
        <f>VLOOKUP($A44,'Data shares'!$C:$FA,24)</f>
        <v>0.2</v>
      </c>
      <c r="G44" s="144">
        <f>VLOOKUP($A44,'Data shares'!$C:$FA,25)</f>
        <v>-0.05</v>
      </c>
    </row>
    <row r="45" spans="1:7" x14ac:dyDescent="0.25">
      <c r="A45" s="101" t="str">
        <f>'Data Vlaue (Cr)'!C41</f>
        <v>CANBK</v>
      </c>
      <c r="B45" s="144">
        <f>VLOOKUP($A45,'Data shares'!$C:$FA,7)</f>
        <v>140.34</v>
      </c>
      <c r="C45" s="144">
        <f>VLOOKUP($A45,'Data shares'!$C:$FA,3)</f>
        <v>140.59</v>
      </c>
      <c r="D45" s="144">
        <f>VLOOKUP($A45,'Data shares'!$C:$FA,23)</f>
        <v>0.25</v>
      </c>
      <c r="E45" s="145">
        <f>VLOOKUP($A45,'Data shares'!$C:$FA,26)*100</f>
        <v>0.18</v>
      </c>
      <c r="F45" s="144">
        <f>VLOOKUP($A45,'Data shares'!$C:$FA,24)</f>
        <v>0.27</v>
      </c>
      <c r="G45" s="144">
        <f>VLOOKUP($A45,'Data shares'!$C:$FA,25)</f>
        <v>-0.02</v>
      </c>
    </row>
    <row r="46" spans="1:7" x14ac:dyDescent="0.25">
      <c r="A46" s="101" t="str">
        <f>'Data Vlaue (Cr)'!C42</f>
        <v>CDSL</v>
      </c>
      <c r="B46" s="144">
        <f>VLOOKUP($A46,'Data shares'!$C:$FA,7)</f>
        <v>1210.8</v>
      </c>
      <c r="C46" s="144">
        <f>VLOOKUP($A46,'Data shares'!$C:$FA,3)</f>
        <v>1208.7</v>
      </c>
      <c r="D46" s="144">
        <f>VLOOKUP($A46,'Data shares'!$C:$FA,23)</f>
        <v>-2.1</v>
      </c>
      <c r="E46" s="145">
        <f>VLOOKUP($A46,'Data shares'!$C:$FA,26)*100</f>
        <v>-0.16999999999999998</v>
      </c>
      <c r="F46" s="144">
        <f>VLOOKUP($A46,'Data shares'!$C:$FA,24)</f>
        <v>-0.6</v>
      </c>
      <c r="G46" s="144">
        <f>VLOOKUP($A46,'Data shares'!$C:$FA,25)</f>
        <v>-1.5</v>
      </c>
    </row>
    <row r="47" spans="1:7" x14ac:dyDescent="0.25">
      <c r="A47" s="101" t="str">
        <f>'Data Vlaue (Cr)'!C43</f>
        <v>CGPOWER</v>
      </c>
      <c r="B47" s="144">
        <f>VLOOKUP($A47,'Data shares'!$C:$FA,7)</f>
        <v>737.3</v>
      </c>
      <c r="C47" s="144">
        <f>VLOOKUP($A47,'Data shares'!$C:$FA,3)</f>
        <v>740</v>
      </c>
      <c r="D47" s="144">
        <f>VLOOKUP($A47,'Data shares'!$C:$FA,23)</f>
        <v>2.7</v>
      </c>
      <c r="E47" s="145">
        <f>VLOOKUP($A47,'Data shares'!$C:$FA,26)*100</f>
        <v>0.37</v>
      </c>
      <c r="F47" s="144">
        <f>VLOOKUP($A47,'Data shares'!$C:$FA,24)</f>
        <v>1.3</v>
      </c>
      <c r="G47" s="144">
        <f>VLOOKUP($A47,'Data shares'!$C:$FA,25)</f>
        <v>1.4</v>
      </c>
    </row>
    <row r="48" spans="1:7" x14ac:dyDescent="0.25">
      <c r="A48" s="101" t="str">
        <f>'Data Vlaue (Cr)'!C44</f>
        <v>CHOLAFIN</v>
      </c>
      <c r="B48" s="144">
        <f>VLOOKUP($A48,'Data shares'!$C:$FA,7)</f>
        <v>1526.1</v>
      </c>
      <c r="C48" s="144">
        <f>VLOOKUP($A48,'Data shares'!$C:$FA,3)</f>
        <v>1532</v>
      </c>
      <c r="D48" s="144">
        <f>VLOOKUP($A48,'Data shares'!$C:$FA,23)</f>
        <v>5.9</v>
      </c>
      <c r="E48" s="145">
        <f>VLOOKUP($A48,'Data shares'!$C:$FA,26)*100</f>
        <v>0.38999999999999996</v>
      </c>
      <c r="F48" s="144">
        <f>VLOOKUP($A48,'Data shares'!$C:$FA,24)</f>
        <v>3.7</v>
      </c>
      <c r="G48" s="144">
        <f>VLOOKUP($A48,'Data shares'!$C:$FA,25)</f>
        <v>2.2000000000000002</v>
      </c>
    </row>
    <row r="49" spans="1:7" x14ac:dyDescent="0.25">
      <c r="A49" s="101" t="str">
        <f>'Data Vlaue (Cr)'!C45</f>
        <v>CIPLA</v>
      </c>
      <c r="B49" s="144">
        <f>VLOOKUP($A49,'Data shares'!$C:$FA,7)</f>
        <v>1324.3</v>
      </c>
      <c r="C49" s="144">
        <f>VLOOKUP($A49,'Data shares'!$C:$FA,3)</f>
        <v>1329.8</v>
      </c>
      <c r="D49" s="144">
        <f>VLOOKUP($A49,'Data shares'!$C:$FA,23)</f>
        <v>5.5</v>
      </c>
      <c r="E49" s="145">
        <f>VLOOKUP($A49,'Data shares'!$C:$FA,26)*100</f>
        <v>0.42</v>
      </c>
      <c r="F49" s="144">
        <f>VLOOKUP($A49,'Data shares'!$C:$FA,24)</f>
        <v>0.7</v>
      </c>
      <c r="G49" s="144">
        <f>VLOOKUP($A49,'Data shares'!$C:$FA,25)</f>
        <v>4.8</v>
      </c>
    </row>
    <row r="50" spans="1:7" x14ac:dyDescent="0.25">
      <c r="A50" s="101" t="str">
        <f>'Data Vlaue (Cr)'!C46</f>
        <v>COALINDIA</v>
      </c>
      <c r="B50" s="144">
        <f>VLOOKUP($A50,'Data shares'!$C:$FA,7)</f>
        <v>470.1</v>
      </c>
      <c r="C50" s="144">
        <f>VLOOKUP($A50,'Data shares'!$C:$FA,3)</f>
        <v>470.55</v>
      </c>
      <c r="D50" s="144">
        <f>VLOOKUP($A50,'Data shares'!$C:$FA,23)</f>
        <v>0.45</v>
      </c>
      <c r="E50" s="145">
        <f>VLOOKUP($A50,'Data shares'!$C:$FA,26)*100</f>
        <v>0.1</v>
      </c>
      <c r="F50" s="144">
        <f>VLOOKUP($A50,'Data shares'!$C:$FA,24)</f>
        <v>1.7</v>
      </c>
      <c r="G50" s="144">
        <f>VLOOKUP($A50,'Data shares'!$C:$FA,25)</f>
        <v>-1.25</v>
      </c>
    </row>
    <row r="51" spans="1:7" x14ac:dyDescent="0.25">
      <c r="A51" s="101" t="str">
        <f>'Data Vlaue (Cr)'!C47</f>
        <v>COFORGE</v>
      </c>
      <c r="B51" s="144">
        <f>VLOOKUP($A51,'Data shares'!$C:$FA,7)</f>
        <v>1107.9000000000001</v>
      </c>
      <c r="C51" s="144">
        <f>VLOOKUP($A51,'Data shares'!$C:$FA,3)</f>
        <v>1110.5999999999999</v>
      </c>
      <c r="D51" s="144">
        <f>VLOOKUP($A51,'Data shares'!$C:$FA,23)</f>
        <v>2.7</v>
      </c>
      <c r="E51" s="145">
        <f>VLOOKUP($A51,'Data shares'!$C:$FA,26)*100</f>
        <v>0.24</v>
      </c>
      <c r="F51" s="144">
        <f>VLOOKUP($A51,'Data shares'!$C:$FA,24)</f>
        <v>4.3</v>
      </c>
      <c r="G51" s="144">
        <f>VLOOKUP($A51,'Data shares'!$C:$FA,25)</f>
        <v>-1.6</v>
      </c>
    </row>
    <row r="52" spans="1:7" x14ac:dyDescent="0.25">
      <c r="A52" s="101" t="str">
        <f>'Data Vlaue (Cr)'!C48</f>
        <v>COLPAL</v>
      </c>
      <c r="B52" s="144">
        <f>VLOOKUP($A52,'Data shares'!$C:$FA,7)</f>
        <v>1975.8</v>
      </c>
      <c r="C52" s="144">
        <f>VLOOKUP($A52,'Data shares'!$C:$FA,3)</f>
        <v>1973.2</v>
      </c>
      <c r="D52" s="144">
        <f>VLOOKUP($A52,'Data shares'!$C:$FA,23)</f>
        <v>-2.6</v>
      </c>
      <c r="E52" s="145">
        <f>VLOOKUP($A52,'Data shares'!$C:$FA,26)*100</f>
        <v>-0.13</v>
      </c>
      <c r="F52" s="144">
        <f>VLOOKUP($A52,'Data shares'!$C:$FA,24)</f>
        <v>-5.9</v>
      </c>
      <c r="G52" s="144">
        <f>VLOOKUP($A52,'Data shares'!$C:$FA,25)</f>
        <v>3.3</v>
      </c>
    </row>
    <row r="53" spans="1:7" x14ac:dyDescent="0.25">
      <c r="A53" s="101" t="str">
        <f>'Data Vlaue (Cr)'!C49</f>
        <v>CONCOR</v>
      </c>
      <c r="B53" s="144">
        <f>VLOOKUP($A53,'Data shares'!$C:$FA,7)</f>
        <v>467.15</v>
      </c>
      <c r="C53" s="144">
        <f>VLOOKUP($A53,'Data shares'!$C:$FA,3)</f>
        <v>469.1</v>
      </c>
      <c r="D53" s="144">
        <f>VLOOKUP($A53,'Data shares'!$C:$FA,23)</f>
        <v>1.95</v>
      </c>
      <c r="E53" s="145">
        <f>VLOOKUP($A53,'Data shares'!$C:$FA,26)*100</f>
        <v>0.42</v>
      </c>
      <c r="F53" s="144">
        <f>VLOOKUP($A53,'Data shares'!$C:$FA,24)</f>
        <v>0.35</v>
      </c>
      <c r="G53" s="144">
        <f>VLOOKUP($A53,'Data shares'!$C:$FA,25)</f>
        <v>1.6</v>
      </c>
    </row>
    <row r="54" spans="1:7" x14ac:dyDescent="0.25">
      <c r="A54" s="101" t="str">
        <f>'Data Vlaue (Cr)'!C50</f>
        <v>CROMPTON</v>
      </c>
      <c r="B54" s="144">
        <f>VLOOKUP($A54,'Data shares'!$C:$FA,7)</f>
        <v>247.2</v>
      </c>
      <c r="C54" s="144">
        <f>VLOOKUP($A54,'Data shares'!$C:$FA,3)</f>
        <v>247.7</v>
      </c>
      <c r="D54" s="144">
        <f>VLOOKUP($A54,'Data shares'!$C:$FA,23)</f>
        <v>0.5</v>
      </c>
      <c r="E54" s="145">
        <f>VLOOKUP($A54,'Data shares'!$C:$FA,26)*100</f>
        <v>0.2</v>
      </c>
      <c r="F54" s="144">
        <f>VLOOKUP($A54,'Data shares'!$C:$FA,24)</f>
        <v>0.75</v>
      </c>
      <c r="G54" s="144">
        <f>VLOOKUP($A54,'Data shares'!$C:$FA,25)</f>
        <v>-0.25</v>
      </c>
    </row>
    <row r="55" spans="1:7" x14ac:dyDescent="0.25">
      <c r="A55" s="101" t="str">
        <f>'Data Vlaue (Cr)'!C51</f>
        <v>CUMMINSIND</v>
      </c>
      <c r="B55" s="144">
        <f>VLOOKUP($A55,'Data shares'!$C:$FA,7)</f>
        <v>4753.6000000000004</v>
      </c>
      <c r="C55" s="144">
        <f>VLOOKUP($A55,'Data shares'!$C:$FA,3)</f>
        <v>4759.5</v>
      </c>
      <c r="D55" s="144">
        <f>VLOOKUP($A55,'Data shares'!$C:$FA,23)</f>
        <v>5.9</v>
      </c>
      <c r="E55" s="145">
        <f>VLOOKUP($A55,'Data shares'!$C:$FA,26)*100</f>
        <v>0.12</v>
      </c>
      <c r="F55" s="144">
        <f>VLOOKUP($A55,'Data shares'!$C:$FA,24)</f>
        <v>4.0999999999999996</v>
      </c>
      <c r="G55" s="144">
        <f>VLOOKUP($A55,'Data shares'!$C:$FA,25)</f>
        <v>1.8</v>
      </c>
    </row>
    <row r="56" spans="1:7" x14ac:dyDescent="0.25">
      <c r="A56" s="101" t="str">
        <f>'Data Vlaue (Cr)'!C52</f>
        <v>DABUR</v>
      </c>
      <c r="B56" s="144">
        <f>VLOOKUP($A56,'Data shares'!$C:$FA,7)</f>
        <v>459.35</v>
      </c>
      <c r="C56" s="144">
        <f>VLOOKUP($A56,'Data shares'!$C:$FA,3)</f>
        <v>461.4</v>
      </c>
      <c r="D56" s="144">
        <f>VLOOKUP($A56,'Data shares'!$C:$FA,23)</f>
        <v>2.0499999999999998</v>
      </c>
      <c r="E56" s="145">
        <f>VLOOKUP($A56,'Data shares'!$C:$FA,26)*100</f>
        <v>0.44999999999999996</v>
      </c>
      <c r="F56" s="144">
        <f>VLOOKUP($A56,'Data shares'!$C:$FA,24)</f>
        <v>0.5</v>
      </c>
      <c r="G56" s="144">
        <f>VLOOKUP($A56,'Data shares'!$C:$FA,25)</f>
        <v>1.55</v>
      </c>
    </row>
    <row r="57" spans="1:7" x14ac:dyDescent="0.25">
      <c r="A57" s="101" t="str">
        <f>'Data Vlaue (Cr)'!C53</f>
        <v>DALBHARAT</v>
      </c>
      <c r="B57" s="144">
        <f>VLOOKUP($A57,'Data shares'!$C:$FA,7)</f>
        <v>1894.5</v>
      </c>
      <c r="C57" s="144">
        <f>VLOOKUP($A57,'Data shares'!$C:$FA,3)</f>
        <v>1896.3</v>
      </c>
      <c r="D57" s="144">
        <f>VLOOKUP($A57,'Data shares'!$C:$FA,23)</f>
        <v>1.8</v>
      </c>
      <c r="E57" s="145">
        <f>VLOOKUP($A57,'Data shares'!$C:$FA,26)*100</f>
        <v>0.1</v>
      </c>
      <c r="F57" s="144">
        <f>VLOOKUP($A57,'Data shares'!$C:$FA,24)</f>
        <v>1.9</v>
      </c>
      <c r="G57" s="144">
        <f>VLOOKUP($A57,'Data shares'!$C:$FA,25)</f>
        <v>-0.1</v>
      </c>
    </row>
    <row r="58" spans="1:7" x14ac:dyDescent="0.25">
      <c r="A58" s="101" t="str">
        <f>'Data Vlaue (Cr)'!C54</f>
        <v>DELHIVERY</v>
      </c>
      <c r="B58" s="144">
        <f>VLOOKUP($A58,'Data shares'!$C:$FA,7)</f>
        <v>408.2</v>
      </c>
      <c r="C58" s="144">
        <f>VLOOKUP($A58,'Data shares'!$C:$FA,3)</f>
        <v>409.9</v>
      </c>
      <c r="D58" s="144">
        <f>VLOOKUP($A58,'Data shares'!$C:$FA,23)</f>
        <v>1.7</v>
      </c>
      <c r="E58" s="145">
        <f>VLOOKUP($A58,'Data shares'!$C:$FA,26)*100</f>
        <v>0.42</v>
      </c>
      <c r="F58" s="144">
        <f>VLOOKUP($A58,'Data shares'!$C:$FA,24)</f>
        <v>0.7</v>
      </c>
      <c r="G58" s="144">
        <f>VLOOKUP($A58,'Data shares'!$C:$FA,25)</f>
        <v>1</v>
      </c>
    </row>
    <row r="59" spans="1:7" x14ac:dyDescent="0.25">
      <c r="A59" s="101" t="str">
        <f>'Data Vlaue (Cr)'!C55</f>
        <v>DIVISLAB</v>
      </c>
      <c r="B59" s="144">
        <f>VLOOKUP($A59,'Data shares'!$C:$FA,7)</f>
        <v>6282</v>
      </c>
      <c r="C59" s="144">
        <f>VLOOKUP($A59,'Data shares'!$C:$FA,3)</f>
        <v>6290.5</v>
      </c>
      <c r="D59" s="144">
        <f>VLOOKUP($A59,'Data shares'!$C:$FA,23)</f>
        <v>8.5</v>
      </c>
      <c r="E59" s="145">
        <f>VLOOKUP($A59,'Data shares'!$C:$FA,26)*100</f>
        <v>0.13999999999999999</v>
      </c>
      <c r="F59" s="144">
        <f>VLOOKUP($A59,'Data shares'!$C:$FA,24)</f>
        <v>14.5</v>
      </c>
      <c r="G59" s="144">
        <f>VLOOKUP($A59,'Data shares'!$C:$FA,25)</f>
        <v>-6</v>
      </c>
    </row>
    <row r="60" spans="1:7" x14ac:dyDescent="0.25">
      <c r="A60" s="101" t="str">
        <f>'Data Vlaue (Cr)'!C56</f>
        <v>DIXON</v>
      </c>
      <c r="B60" s="144">
        <f>VLOOKUP($A60,'Data shares'!$C:$FA,7)</f>
        <v>10803</v>
      </c>
      <c r="C60" s="144">
        <f>VLOOKUP($A60,'Data shares'!$C:$FA,3)</f>
        <v>10737</v>
      </c>
      <c r="D60" s="144">
        <f>VLOOKUP($A60,'Data shares'!$C:$FA,23)</f>
        <v>-66</v>
      </c>
      <c r="E60" s="145">
        <f>VLOOKUP($A60,'Data shares'!$C:$FA,26)*100</f>
        <v>-0.61</v>
      </c>
      <c r="F60" s="144">
        <f>VLOOKUP($A60,'Data shares'!$C:$FA,24)</f>
        <v>-46</v>
      </c>
      <c r="G60" s="144">
        <f>VLOOKUP($A60,'Data shares'!$C:$FA,25)</f>
        <v>-20</v>
      </c>
    </row>
    <row r="61" spans="1:7" x14ac:dyDescent="0.25">
      <c r="A61" s="101" t="str">
        <f>'Data Vlaue (Cr)'!C57</f>
        <v>DLF</v>
      </c>
      <c r="B61" s="144">
        <f>VLOOKUP($A61,'Data shares'!$C:$FA,7)</f>
        <v>558.1</v>
      </c>
      <c r="C61" s="144">
        <f>VLOOKUP($A61,'Data shares'!$C:$FA,3)</f>
        <v>560.15</v>
      </c>
      <c r="D61" s="144">
        <f>VLOOKUP($A61,'Data shares'!$C:$FA,23)</f>
        <v>2.0499999999999998</v>
      </c>
      <c r="E61" s="145">
        <f>VLOOKUP($A61,'Data shares'!$C:$FA,26)*100</f>
        <v>0.37</v>
      </c>
      <c r="F61" s="144">
        <f>VLOOKUP($A61,'Data shares'!$C:$FA,24)</f>
        <v>1</v>
      </c>
      <c r="G61" s="144">
        <f>VLOOKUP($A61,'Data shares'!$C:$FA,25)</f>
        <v>1.05</v>
      </c>
    </row>
    <row r="62" spans="1:7" x14ac:dyDescent="0.25">
      <c r="A62" s="101" t="str">
        <f>'Data Vlaue (Cr)'!C58</f>
        <v>DMART</v>
      </c>
      <c r="B62" s="144">
        <f>VLOOKUP($A62,'Data shares'!$C:$FA,7)</f>
        <v>3953.6</v>
      </c>
      <c r="C62" s="144">
        <f>VLOOKUP($A62,'Data shares'!$C:$FA,3)</f>
        <v>3965.4</v>
      </c>
      <c r="D62" s="144">
        <f>VLOOKUP($A62,'Data shares'!$C:$FA,23)</f>
        <v>11.8</v>
      </c>
      <c r="E62" s="145">
        <f>VLOOKUP($A62,'Data shares'!$C:$FA,26)*100</f>
        <v>0.3</v>
      </c>
      <c r="F62" s="144">
        <f>VLOOKUP($A62,'Data shares'!$C:$FA,24)</f>
        <v>-13.9</v>
      </c>
      <c r="G62" s="144">
        <f>VLOOKUP($A62,'Data shares'!$C:$FA,25)</f>
        <v>25.7</v>
      </c>
    </row>
    <row r="63" spans="1:7" x14ac:dyDescent="0.25">
      <c r="A63" s="101" t="str">
        <f>'Data Vlaue (Cr)'!C59</f>
        <v>DRREDDY</v>
      </c>
      <c r="B63" s="144">
        <f>VLOOKUP($A63,'Data shares'!$C:$FA,7)</f>
        <v>1319</v>
      </c>
      <c r="C63" s="144">
        <f>VLOOKUP($A63,'Data shares'!$C:$FA,3)</f>
        <v>1324.2</v>
      </c>
      <c r="D63" s="144">
        <f>VLOOKUP($A63,'Data shares'!$C:$FA,23)</f>
        <v>5.2</v>
      </c>
      <c r="E63" s="145">
        <f>VLOOKUP($A63,'Data shares'!$C:$FA,26)*100</f>
        <v>0.38999999999999996</v>
      </c>
      <c r="F63" s="144">
        <f>VLOOKUP($A63,'Data shares'!$C:$FA,24)</f>
        <v>1</v>
      </c>
      <c r="G63" s="144">
        <f>VLOOKUP($A63,'Data shares'!$C:$FA,25)</f>
        <v>4.2</v>
      </c>
    </row>
    <row r="64" spans="1:7" x14ac:dyDescent="0.25">
      <c r="A64" s="101" t="str">
        <f>'Data Vlaue (Cr)'!C60</f>
        <v>EICHERMOT</v>
      </c>
      <c r="B64" s="144">
        <f>VLOOKUP($A64,'Data shares'!$C:$FA,7)</f>
        <v>6975.5</v>
      </c>
      <c r="C64" s="144">
        <f>VLOOKUP($A64,'Data shares'!$C:$FA,3)</f>
        <v>7005</v>
      </c>
      <c r="D64" s="144">
        <f>VLOOKUP($A64,'Data shares'!$C:$FA,23)</f>
        <v>29.5</v>
      </c>
      <c r="E64" s="145">
        <f>VLOOKUP($A64,'Data shares'!$C:$FA,26)*100</f>
        <v>0.42</v>
      </c>
      <c r="F64" s="144">
        <f>VLOOKUP($A64,'Data shares'!$C:$FA,24)</f>
        <v>24</v>
      </c>
      <c r="G64" s="144">
        <f>VLOOKUP($A64,'Data shares'!$C:$FA,25)</f>
        <v>5.5</v>
      </c>
    </row>
    <row r="65" spans="1:7" x14ac:dyDescent="0.25">
      <c r="A65" s="101" t="str">
        <f>'Data Vlaue (Cr)'!C61</f>
        <v>ETERNAL</v>
      </c>
      <c r="B65" s="144">
        <f>VLOOKUP($A65,'Data shares'!$C:$FA,7)</f>
        <v>221.17</v>
      </c>
      <c r="C65" s="144">
        <f>VLOOKUP($A65,'Data shares'!$C:$FA,3)</f>
        <v>221.99</v>
      </c>
      <c r="D65" s="144">
        <f>VLOOKUP($A65,'Data shares'!$C:$FA,23)</f>
        <v>0.82</v>
      </c>
      <c r="E65" s="145">
        <f>VLOOKUP($A65,'Data shares'!$C:$FA,26)*100</f>
        <v>0.37</v>
      </c>
      <c r="F65" s="144">
        <f>VLOOKUP($A65,'Data shares'!$C:$FA,24)</f>
        <v>0.2</v>
      </c>
      <c r="G65" s="144">
        <f>VLOOKUP($A65,'Data shares'!$C:$FA,25)</f>
        <v>0.62</v>
      </c>
    </row>
    <row r="66" spans="1:7" x14ac:dyDescent="0.25">
      <c r="A66" s="101" t="str">
        <f>'Data Vlaue (Cr)'!C62</f>
        <v>EXIDEIND</v>
      </c>
      <c r="B66" s="144">
        <f>VLOOKUP($A66,'Data shares'!$C:$FA,7)</f>
        <v>310</v>
      </c>
      <c r="C66" s="144">
        <f>VLOOKUP($A66,'Data shares'!$C:$FA,3)</f>
        <v>310.3</v>
      </c>
      <c r="D66" s="144">
        <f>VLOOKUP($A66,'Data shares'!$C:$FA,23)</f>
        <v>0.3</v>
      </c>
      <c r="E66" s="145">
        <f>VLOOKUP($A66,'Data shares'!$C:$FA,26)*100</f>
        <v>0.1</v>
      </c>
      <c r="F66" s="144">
        <f>VLOOKUP($A66,'Data shares'!$C:$FA,24)</f>
        <v>0.2</v>
      </c>
      <c r="G66" s="144">
        <f>VLOOKUP($A66,'Data shares'!$C:$FA,25)</f>
        <v>0.1</v>
      </c>
    </row>
    <row r="67" spans="1:7" x14ac:dyDescent="0.25">
      <c r="A67" s="101" t="str">
        <f>'Data Vlaue (Cr)'!C63</f>
        <v>FEDERALBNK</v>
      </c>
      <c r="B67" s="144">
        <f>VLOOKUP($A67,'Data shares'!$C:$FA,7)</f>
        <v>270.25</v>
      </c>
      <c r="C67" s="144">
        <f>VLOOKUP($A67,'Data shares'!$C:$FA,3)</f>
        <v>271.10000000000002</v>
      </c>
      <c r="D67" s="144">
        <f>VLOOKUP($A67,'Data shares'!$C:$FA,23)</f>
        <v>0.85</v>
      </c>
      <c r="E67" s="145">
        <f>VLOOKUP($A67,'Data shares'!$C:$FA,26)*100</f>
        <v>0.31</v>
      </c>
      <c r="F67" s="144">
        <f>VLOOKUP($A67,'Data shares'!$C:$FA,24)</f>
        <v>1.05</v>
      </c>
      <c r="G67" s="144">
        <f>VLOOKUP($A67,'Data shares'!$C:$FA,25)</f>
        <v>-0.2</v>
      </c>
    </row>
    <row r="68" spans="1:7" x14ac:dyDescent="0.25">
      <c r="A68" s="101" t="str">
        <f>'Data Vlaue (Cr)'!C64</f>
        <v>FINNIFTY</v>
      </c>
      <c r="B68" s="144">
        <f>VLOOKUP($A68,'Data shares'!$C:$FA,7)</f>
        <v>25663.200000000001</v>
      </c>
      <c r="C68" s="144">
        <f>VLOOKUP($A68,'Data shares'!$C:$FA,3)</f>
        <v>25750</v>
      </c>
      <c r="D68" s="144">
        <f>VLOOKUP($A68,'Data shares'!$C:$FA,23)</f>
        <v>86.8</v>
      </c>
      <c r="E68" s="145">
        <f>VLOOKUP($A68,'Data shares'!$C:$FA,26)*100</f>
        <v>0.33999999999999997</v>
      </c>
      <c r="F68" s="144">
        <f>VLOOKUP($A68,'Data shares'!$C:$FA,24)</f>
        <v>83</v>
      </c>
      <c r="G68" s="144">
        <f>VLOOKUP($A68,'Data shares'!$C:$FA,25)</f>
        <v>3.8</v>
      </c>
    </row>
    <row r="69" spans="1:7" x14ac:dyDescent="0.25">
      <c r="A69" s="101" t="str">
        <f>'Data Vlaue (Cr)'!C65</f>
        <v>FORTIS</v>
      </c>
      <c r="B69" s="144">
        <f>VLOOKUP($A69,'Data shares'!$C:$FA,7)</f>
        <v>859.5</v>
      </c>
      <c r="C69" s="144">
        <f>VLOOKUP($A69,'Data shares'!$C:$FA,3)</f>
        <v>863.05</v>
      </c>
      <c r="D69" s="144">
        <f>VLOOKUP($A69,'Data shares'!$C:$FA,23)</f>
        <v>3.55</v>
      </c>
      <c r="E69" s="145">
        <f>VLOOKUP($A69,'Data shares'!$C:$FA,26)*100</f>
        <v>0.41000000000000003</v>
      </c>
      <c r="F69" s="144">
        <f>VLOOKUP($A69,'Data shares'!$C:$FA,24)</f>
        <v>1</v>
      </c>
      <c r="G69" s="144">
        <f>VLOOKUP($A69,'Data shares'!$C:$FA,25)</f>
        <v>2.5499999999999998</v>
      </c>
    </row>
    <row r="70" spans="1:7" x14ac:dyDescent="0.25">
      <c r="A70" s="101" t="str">
        <f>'Data Vlaue (Cr)'!C66</f>
        <v>GAIL</v>
      </c>
      <c r="B70" s="144">
        <f>VLOOKUP($A70,'Data shares'!$C:$FA,7)</f>
        <v>152.35</v>
      </c>
      <c r="C70" s="144">
        <f>VLOOKUP($A70,'Data shares'!$C:$FA,3)</f>
        <v>152.94</v>
      </c>
      <c r="D70" s="144">
        <f>VLOOKUP($A70,'Data shares'!$C:$FA,23)</f>
        <v>0.59</v>
      </c>
      <c r="E70" s="145">
        <f>VLOOKUP($A70,'Data shares'!$C:$FA,26)*100</f>
        <v>0.38999999999999996</v>
      </c>
      <c r="F70" s="144">
        <f>VLOOKUP($A70,'Data shares'!$C:$FA,24)</f>
        <v>0.55000000000000004</v>
      </c>
      <c r="G70" s="144">
        <f>VLOOKUP($A70,'Data shares'!$C:$FA,25)</f>
        <v>0.04</v>
      </c>
    </row>
    <row r="71" spans="1:7" x14ac:dyDescent="0.25">
      <c r="A71" s="101" t="str">
        <f>'Data Vlaue (Cr)'!C67</f>
        <v>GLENMARK</v>
      </c>
      <c r="B71" s="144">
        <f>VLOOKUP($A71,'Data shares'!$C:$FA,7)</f>
        <v>2256.4</v>
      </c>
      <c r="C71" s="144">
        <f>VLOOKUP($A71,'Data shares'!$C:$FA,3)</f>
        <v>2263.5</v>
      </c>
      <c r="D71" s="144">
        <f>VLOOKUP($A71,'Data shares'!$C:$FA,23)</f>
        <v>7.1</v>
      </c>
      <c r="E71" s="145">
        <f>VLOOKUP($A71,'Data shares'!$C:$FA,26)*100</f>
        <v>0.31</v>
      </c>
      <c r="F71" s="144">
        <f>VLOOKUP($A71,'Data shares'!$C:$FA,24)</f>
        <v>5.5</v>
      </c>
      <c r="G71" s="144">
        <f>VLOOKUP($A71,'Data shares'!$C:$FA,25)</f>
        <v>1.6</v>
      </c>
    </row>
    <row r="72" spans="1:7" x14ac:dyDescent="0.25">
      <c r="A72" s="101" t="str">
        <f>'Data Vlaue (Cr)'!C68</f>
        <v>GMRAIRPORT</v>
      </c>
      <c r="B72" s="144">
        <f>VLOOKUP($A72,'Data shares'!$C:$FA,7)</f>
        <v>93.29</v>
      </c>
      <c r="C72" s="144">
        <f>VLOOKUP($A72,'Data shares'!$C:$FA,3)</f>
        <v>93.69</v>
      </c>
      <c r="D72" s="144">
        <f>VLOOKUP($A72,'Data shares'!$C:$FA,23)</f>
        <v>0.4</v>
      </c>
      <c r="E72" s="145">
        <f>VLOOKUP($A72,'Data shares'!$C:$FA,26)*100</f>
        <v>0.43</v>
      </c>
      <c r="F72" s="144">
        <f>VLOOKUP($A72,'Data shares'!$C:$FA,24)</f>
        <v>0.16</v>
      </c>
      <c r="G72" s="144">
        <f>VLOOKUP($A72,'Data shares'!$C:$FA,25)</f>
        <v>0.24</v>
      </c>
    </row>
    <row r="73" spans="1:7" x14ac:dyDescent="0.25">
      <c r="A73" s="101" t="str">
        <f>'Data Vlaue (Cr)'!C69</f>
        <v>GODREJCP</v>
      </c>
      <c r="B73" s="144">
        <f>VLOOKUP($A73,'Data shares'!$C:$FA,7)</f>
        <v>1052.3</v>
      </c>
      <c r="C73" s="144">
        <f>VLOOKUP($A73,'Data shares'!$C:$FA,3)</f>
        <v>1056.2</v>
      </c>
      <c r="D73" s="144">
        <f>VLOOKUP($A73,'Data shares'!$C:$FA,23)</f>
        <v>3.9</v>
      </c>
      <c r="E73" s="145">
        <f>VLOOKUP($A73,'Data shares'!$C:$FA,26)*100</f>
        <v>0.37</v>
      </c>
      <c r="F73" s="144">
        <f>VLOOKUP($A73,'Data shares'!$C:$FA,24)</f>
        <v>1</v>
      </c>
      <c r="G73" s="144">
        <f>VLOOKUP($A73,'Data shares'!$C:$FA,25)</f>
        <v>2.9</v>
      </c>
    </row>
    <row r="74" spans="1:7" x14ac:dyDescent="0.25">
      <c r="A74" s="101" t="str">
        <f>'Data Vlaue (Cr)'!C70</f>
        <v>GODREJPROP</v>
      </c>
      <c r="B74" s="144">
        <f>VLOOKUP($A74,'Data shares'!$C:$FA,7)</f>
        <v>1616.3</v>
      </c>
      <c r="C74" s="144">
        <f>VLOOKUP($A74,'Data shares'!$C:$FA,3)</f>
        <v>1622.5</v>
      </c>
      <c r="D74" s="144">
        <f>VLOOKUP($A74,'Data shares'!$C:$FA,23)</f>
        <v>6.2</v>
      </c>
      <c r="E74" s="145">
        <f>VLOOKUP($A74,'Data shares'!$C:$FA,26)*100</f>
        <v>0.38</v>
      </c>
      <c r="F74" s="144">
        <f>VLOOKUP($A74,'Data shares'!$C:$FA,24)</f>
        <v>4.2</v>
      </c>
      <c r="G74" s="144">
        <f>VLOOKUP($A74,'Data shares'!$C:$FA,25)</f>
        <v>2</v>
      </c>
    </row>
    <row r="75" spans="1:7" x14ac:dyDescent="0.25">
      <c r="A75" s="101" t="str">
        <f>'Data Vlaue (Cr)'!C71</f>
        <v>GRASIM</v>
      </c>
      <c r="B75" s="144">
        <f>VLOOKUP($A75,'Data shares'!$C:$FA,7)</f>
        <v>2673.1</v>
      </c>
      <c r="C75" s="144">
        <f>VLOOKUP($A75,'Data shares'!$C:$FA,3)</f>
        <v>2675.6</v>
      </c>
      <c r="D75" s="144">
        <f>VLOOKUP($A75,'Data shares'!$C:$FA,23)</f>
        <v>2.5</v>
      </c>
      <c r="E75" s="145">
        <f>VLOOKUP($A75,'Data shares'!$C:$FA,26)*100</f>
        <v>0.09</v>
      </c>
      <c r="F75" s="144">
        <f>VLOOKUP($A75,'Data shares'!$C:$FA,24)</f>
        <v>-1.2</v>
      </c>
      <c r="G75" s="144">
        <f>VLOOKUP($A75,'Data shares'!$C:$FA,25)</f>
        <v>3.7</v>
      </c>
    </row>
    <row r="76" spans="1:7" x14ac:dyDescent="0.25">
      <c r="A76" s="101" t="str">
        <f>'Data Vlaue (Cr)'!C72</f>
        <v>HAL</v>
      </c>
      <c r="B76" s="144">
        <f>VLOOKUP($A76,'Data shares'!$C:$FA,7)</f>
        <v>4013.5</v>
      </c>
      <c r="C76" s="144">
        <f>VLOOKUP($A76,'Data shares'!$C:$FA,3)</f>
        <v>4017.5</v>
      </c>
      <c r="D76" s="144">
        <f>VLOOKUP($A76,'Data shares'!$C:$FA,23)</f>
        <v>4</v>
      </c>
      <c r="E76" s="145">
        <f>VLOOKUP($A76,'Data shares'!$C:$FA,26)*100</f>
        <v>0.1</v>
      </c>
      <c r="F76" s="144">
        <f>VLOOKUP($A76,'Data shares'!$C:$FA,24)</f>
        <v>2.9</v>
      </c>
      <c r="G76" s="144">
        <f>VLOOKUP($A76,'Data shares'!$C:$FA,25)</f>
        <v>1.1000000000000001</v>
      </c>
    </row>
    <row r="77" spans="1:7" x14ac:dyDescent="0.25">
      <c r="A77" s="101" t="str">
        <f>'Data Vlaue (Cr)'!C73</f>
        <v>HAVELLS</v>
      </c>
      <c r="B77" s="144">
        <f>VLOOKUP($A77,'Data shares'!$C:$FA,7)</f>
        <v>1354</v>
      </c>
      <c r="C77" s="144">
        <f>VLOOKUP($A77,'Data shares'!$C:$FA,3)</f>
        <v>1355.6</v>
      </c>
      <c r="D77" s="144">
        <f>VLOOKUP($A77,'Data shares'!$C:$FA,23)</f>
        <v>1.6</v>
      </c>
      <c r="E77" s="145">
        <f>VLOOKUP($A77,'Data shares'!$C:$FA,26)*100</f>
        <v>0.12</v>
      </c>
      <c r="F77" s="144">
        <f>VLOOKUP($A77,'Data shares'!$C:$FA,24)</f>
        <v>5.3</v>
      </c>
      <c r="G77" s="144">
        <f>VLOOKUP($A77,'Data shares'!$C:$FA,25)</f>
        <v>-3.7</v>
      </c>
    </row>
    <row r="78" spans="1:7" x14ac:dyDescent="0.25">
      <c r="A78" s="101" t="str">
        <f>'Data Vlaue (Cr)'!C74</f>
        <v>HCLTECH</v>
      </c>
      <c r="B78" s="144">
        <f>VLOOKUP($A78,'Data shares'!$C:$FA,7)</f>
        <v>1358.1</v>
      </c>
      <c r="C78" s="144">
        <f>VLOOKUP($A78,'Data shares'!$C:$FA,3)</f>
        <v>1352.4</v>
      </c>
      <c r="D78" s="144">
        <f>VLOOKUP($A78,'Data shares'!$C:$FA,23)</f>
        <v>-5.7</v>
      </c>
      <c r="E78" s="145">
        <f>VLOOKUP($A78,'Data shares'!$C:$FA,26)*100</f>
        <v>-0.42</v>
      </c>
      <c r="F78" s="144">
        <f>VLOOKUP($A78,'Data shares'!$C:$FA,24)</f>
        <v>-1.7</v>
      </c>
      <c r="G78" s="144">
        <f>VLOOKUP($A78,'Data shares'!$C:$FA,25)</f>
        <v>-4</v>
      </c>
    </row>
    <row r="79" spans="1:7" x14ac:dyDescent="0.25">
      <c r="A79" s="101" t="str">
        <f>'Data Vlaue (Cr)'!C75</f>
        <v>HDFCAMC</v>
      </c>
      <c r="B79" s="144">
        <f>VLOOKUP($A79,'Data shares'!$C:$FA,7)</f>
        <v>2429</v>
      </c>
      <c r="C79" s="144">
        <f>VLOOKUP($A79,'Data shares'!$C:$FA,3)</f>
        <v>2434.8000000000002</v>
      </c>
      <c r="D79" s="144">
        <f>VLOOKUP($A79,'Data shares'!$C:$FA,23)</f>
        <v>5.8</v>
      </c>
      <c r="E79" s="145">
        <f>VLOOKUP($A79,'Data shares'!$C:$FA,26)*100</f>
        <v>0.24</v>
      </c>
      <c r="F79" s="144">
        <f>VLOOKUP($A79,'Data shares'!$C:$FA,24)</f>
        <v>8.9</v>
      </c>
      <c r="G79" s="144">
        <f>VLOOKUP($A79,'Data shares'!$C:$FA,25)</f>
        <v>-3.1</v>
      </c>
    </row>
    <row r="80" spans="1:7" x14ac:dyDescent="0.25">
      <c r="A80" s="101" t="str">
        <f>'Data Vlaue (Cr)'!C76</f>
        <v>HDFCBANK</v>
      </c>
      <c r="B80" s="144">
        <f>VLOOKUP($A80,'Data shares'!$C:$FA,7)</f>
        <v>832.75</v>
      </c>
      <c r="C80" s="144">
        <f>VLOOKUP($A80,'Data shares'!$C:$FA,3)</f>
        <v>835.3</v>
      </c>
      <c r="D80" s="144">
        <f>VLOOKUP($A80,'Data shares'!$C:$FA,23)</f>
        <v>2.5499999999999998</v>
      </c>
      <c r="E80" s="145">
        <f>VLOOKUP($A80,'Data shares'!$C:$FA,26)*100</f>
        <v>0.31</v>
      </c>
      <c r="F80" s="144">
        <f>VLOOKUP($A80,'Data shares'!$C:$FA,24)</f>
        <v>4</v>
      </c>
      <c r="G80" s="144">
        <f>VLOOKUP($A80,'Data shares'!$C:$FA,25)</f>
        <v>-1.45</v>
      </c>
    </row>
    <row r="81" spans="1:7" x14ac:dyDescent="0.25">
      <c r="A81" s="101" t="str">
        <f>'Data Vlaue (Cr)'!C77</f>
        <v>HDFCLIFE</v>
      </c>
      <c r="B81" s="144">
        <f>VLOOKUP($A81,'Data shares'!$C:$FA,7)</f>
        <v>645.70000000000005</v>
      </c>
      <c r="C81" s="144">
        <f>VLOOKUP($A81,'Data shares'!$C:$FA,3)</f>
        <v>646.6</v>
      </c>
      <c r="D81" s="144">
        <f>VLOOKUP($A81,'Data shares'!$C:$FA,23)</f>
        <v>0.9</v>
      </c>
      <c r="E81" s="145">
        <f>VLOOKUP($A81,'Data shares'!$C:$FA,26)*100</f>
        <v>0.13999999999999999</v>
      </c>
      <c r="F81" s="144">
        <f>VLOOKUP($A81,'Data shares'!$C:$FA,24)</f>
        <v>1.1000000000000001</v>
      </c>
      <c r="G81" s="144">
        <f>VLOOKUP($A81,'Data shares'!$C:$FA,25)</f>
        <v>-0.2</v>
      </c>
    </row>
    <row r="82" spans="1:7" x14ac:dyDescent="0.25">
      <c r="A82" s="101" t="str">
        <f>'Data Vlaue (Cr)'!C78</f>
        <v>HEROMOTOCO</v>
      </c>
      <c r="B82" s="144">
        <f>VLOOKUP($A82,'Data shares'!$C:$FA,7)</f>
        <v>5394.5</v>
      </c>
      <c r="C82" s="144">
        <f>VLOOKUP($A82,'Data shares'!$C:$FA,3)</f>
        <v>5403</v>
      </c>
      <c r="D82" s="144">
        <f>VLOOKUP($A82,'Data shares'!$C:$FA,23)</f>
        <v>8.5</v>
      </c>
      <c r="E82" s="145">
        <f>VLOOKUP($A82,'Data shares'!$C:$FA,26)*100</f>
        <v>0.16</v>
      </c>
      <c r="F82" s="144">
        <f>VLOOKUP($A82,'Data shares'!$C:$FA,24)</f>
        <v>7.5</v>
      </c>
      <c r="G82" s="144">
        <f>VLOOKUP($A82,'Data shares'!$C:$FA,25)</f>
        <v>1</v>
      </c>
    </row>
    <row r="83" spans="1:7" x14ac:dyDescent="0.25">
      <c r="A83" s="101" t="str">
        <f>'Data Vlaue (Cr)'!C79</f>
        <v>HINDALCO</v>
      </c>
      <c r="B83" s="144">
        <f>VLOOKUP($A83,'Data shares'!$C:$FA,7)</f>
        <v>969.75</v>
      </c>
      <c r="C83" s="144">
        <f>VLOOKUP($A83,'Data shares'!$C:$FA,3)</f>
        <v>970.9</v>
      </c>
      <c r="D83" s="144">
        <f>VLOOKUP($A83,'Data shares'!$C:$FA,23)</f>
        <v>1.1499999999999999</v>
      </c>
      <c r="E83" s="145">
        <f>VLOOKUP($A83,'Data shares'!$C:$FA,26)*100</f>
        <v>0.12</v>
      </c>
      <c r="F83" s="144">
        <f>VLOOKUP($A83,'Data shares'!$C:$FA,24)</f>
        <v>1</v>
      </c>
      <c r="G83" s="144">
        <f>VLOOKUP($A83,'Data shares'!$C:$FA,25)</f>
        <v>0.15</v>
      </c>
    </row>
    <row r="84" spans="1:7" x14ac:dyDescent="0.25">
      <c r="A84" s="101" t="str">
        <f>'Data Vlaue (Cr)'!C80</f>
        <v>HINDPETRO</v>
      </c>
      <c r="B84" s="144">
        <f>VLOOKUP($A84,'Data shares'!$C:$FA,7)</f>
        <v>384.35</v>
      </c>
      <c r="C84" s="144">
        <f>VLOOKUP($A84,'Data shares'!$C:$FA,3)</f>
        <v>382.95</v>
      </c>
      <c r="D84" s="144">
        <f>VLOOKUP($A84,'Data shares'!$C:$FA,23)</f>
        <v>-1.4</v>
      </c>
      <c r="E84" s="145">
        <f>VLOOKUP($A84,'Data shares'!$C:$FA,26)*100</f>
        <v>-0.36</v>
      </c>
      <c r="F84" s="144">
        <f>VLOOKUP($A84,'Data shares'!$C:$FA,24)</f>
        <v>-0.85</v>
      </c>
      <c r="G84" s="144">
        <f>VLOOKUP($A84,'Data shares'!$C:$FA,25)</f>
        <v>-0.55000000000000004</v>
      </c>
    </row>
    <row r="85" spans="1:7" x14ac:dyDescent="0.25">
      <c r="A85" s="101" t="str">
        <f>'Data Vlaue (Cr)'!C81</f>
        <v>HINDUNILVR</v>
      </c>
      <c r="B85" s="144">
        <f>VLOOKUP($A85,'Data shares'!$C:$FA,7)</f>
        <v>2136.9</v>
      </c>
      <c r="C85" s="144">
        <f>VLOOKUP($A85,'Data shares'!$C:$FA,3)</f>
        <v>2139</v>
      </c>
      <c r="D85" s="144">
        <f>VLOOKUP($A85,'Data shares'!$C:$FA,23)</f>
        <v>2.1</v>
      </c>
      <c r="E85" s="145">
        <f>VLOOKUP($A85,'Data shares'!$C:$FA,26)*100</f>
        <v>0.1</v>
      </c>
      <c r="F85" s="144">
        <f>VLOOKUP($A85,'Data shares'!$C:$FA,24)</f>
        <v>7.4</v>
      </c>
      <c r="G85" s="144">
        <f>VLOOKUP($A85,'Data shares'!$C:$FA,25)</f>
        <v>-5.3</v>
      </c>
    </row>
    <row r="86" spans="1:7" x14ac:dyDescent="0.25">
      <c r="A86" s="101" t="str">
        <f>'Data Vlaue (Cr)'!C82</f>
        <v>HINDZINC</v>
      </c>
      <c r="B86" s="144">
        <f>VLOOKUP($A86,'Data shares'!$C:$FA,7)</f>
        <v>583</v>
      </c>
      <c r="C86" s="144">
        <f>VLOOKUP($A86,'Data shares'!$C:$FA,3)</f>
        <v>583.70000000000005</v>
      </c>
      <c r="D86" s="144">
        <f>VLOOKUP($A86,'Data shares'!$C:$FA,23)</f>
        <v>0.7</v>
      </c>
      <c r="E86" s="145">
        <f>VLOOKUP($A86,'Data shares'!$C:$FA,26)*100</f>
        <v>0.12</v>
      </c>
      <c r="F86" s="144">
        <f>VLOOKUP($A86,'Data shares'!$C:$FA,24)</f>
        <v>0.95</v>
      </c>
      <c r="G86" s="144">
        <f>VLOOKUP($A86,'Data shares'!$C:$FA,25)</f>
        <v>-0.25</v>
      </c>
    </row>
    <row r="87" spans="1:7" x14ac:dyDescent="0.25">
      <c r="A87" s="101" t="str">
        <f>'Data Vlaue (Cr)'!C83</f>
        <v>HUDCO</v>
      </c>
      <c r="B87" s="144">
        <f>VLOOKUP($A87,'Data shares'!$C:$FA,7)</f>
        <v>176.66</v>
      </c>
      <c r="C87" s="144">
        <f>VLOOKUP($A87,'Data shares'!$C:$FA,3)</f>
        <v>177.05</v>
      </c>
      <c r="D87" s="144">
        <f>VLOOKUP($A87,'Data shares'!$C:$FA,23)</f>
        <v>0.39</v>
      </c>
      <c r="E87" s="145">
        <f>VLOOKUP($A87,'Data shares'!$C:$FA,26)*100</f>
        <v>0.22</v>
      </c>
      <c r="F87" s="144">
        <f>VLOOKUP($A87,'Data shares'!$C:$FA,24)</f>
        <v>0.45</v>
      </c>
      <c r="G87" s="144">
        <f>VLOOKUP($A87,'Data shares'!$C:$FA,25)</f>
        <v>-0.06</v>
      </c>
    </row>
    <row r="88" spans="1:7" x14ac:dyDescent="0.25">
      <c r="A88" s="101" t="str">
        <f>'Data Vlaue (Cr)'!C84</f>
        <v>ICICIBANK</v>
      </c>
      <c r="B88" s="144">
        <f>VLOOKUP($A88,'Data shares'!$C:$FA,7)</f>
        <v>1266.5</v>
      </c>
      <c r="C88" s="144">
        <f>VLOOKUP($A88,'Data shares'!$C:$FA,3)</f>
        <v>1271.5999999999999</v>
      </c>
      <c r="D88" s="144">
        <f>VLOOKUP($A88,'Data shares'!$C:$FA,23)</f>
        <v>5.0999999999999996</v>
      </c>
      <c r="E88" s="145">
        <f>VLOOKUP($A88,'Data shares'!$C:$FA,26)*100</f>
        <v>0.4</v>
      </c>
      <c r="F88" s="144">
        <f>VLOOKUP($A88,'Data shares'!$C:$FA,24)</f>
        <v>1.6</v>
      </c>
      <c r="G88" s="144">
        <f>VLOOKUP($A88,'Data shares'!$C:$FA,25)</f>
        <v>3.5</v>
      </c>
    </row>
    <row r="89" spans="1:7" x14ac:dyDescent="0.25">
      <c r="A89" s="101" t="str">
        <f>'Data Vlaue (Cr)'!C85</f>
        <v>ICICIGI</v>
      </c>
      <c r="B89" s="144">
        <f>VLOOKUP($A89,'Data shares'!$C:$FA,7)</f>
        <v>1855.3</v>
      </c>
      <c r="C89" s="144">
        <f>VLOOKUP($A89,'Data shares'!$C:$FA,3)</f>
        <v>1856.2</v>
      </c>
      <c r="D89" s="144">
        <f>VLOOKUP($A89,'Data shares'!$C:$FA,23)</f>
        <v>0.9</v>
      </c>
      <c r="E89" s="145">
        <f>VLOOKUP($A89,'Data shares'!$C:$FA,26)*100</f>
        <v>0.05</v>
      </c>
      <c r="F89" s="144">
        <f>VLOOKUP($A89,'Data shares'!$C:$FA,24)</f>
        <v>7.5</v>
      </c>
      <c r="G89" s="144">
        <f>VLOOKUP($A89,'Data shares'!$C:$FA,25)</f>
        <v>-6.6</v>
      </c>
    </row>
    <row r="90" spans="1:7" x14ac:dyDescent="0.25">
      <c r="A90" s="101" t="str">
        <f>'Data Vlaue (Cr)'!C86</f>
        <v>ICICIPRULI</v>
      </c>
      <c r="B90" s="144">
        <f>VLOOKUP($A90,'Data shares'!$C:$FA,7)</f>
        <v>592.95000000000005</v>
      </c>
      <c r="C90" s="144">
        <f>VLOOKUP($A90,'Data shares'!$C:$FA,3)</f>
        <v>594.20000000000005</v>
      </c>
      <c r="D90" s="144">
        <f>VLOOKUP($A90,'Data shares'!$C:$FA,23)</f>
        <v>1.25</v>
      </c>
      <c r="E90" s="145">
        <f>VLOOKUP($A90,'Data shares'!$C:$FA,26)*100</f>
        <v>0.21</v>
      </c>
      <c r="F90" s="144">
        <f>VLOOKUP($A90,'Data shares'!$C:$FA,24)</f>
        <v>-0.45</v>
      </c>
      <c r="G90" s="144">
        <f>VLOOKUP($A90,'Data shares'!$C:$FA,25)</f>
        <v>1.7</v>
      </c>
    </row>
    <row r="91" spans="1:7" x14ac:dyDescent="0.25">
      <c r="A91" s="101" t="str">
        <f>'Data Vlaue (Cr)'!C87</f>
        <v>IDEA</v>
      </c>
      <c r="B91" s="144">
        <f>VLOOKUP($A91,'Data shares'!$C:$FA,7)</f>
        <v>9.56</v>
      </c>
      <c r="C91" s="144">
        <f>VLOOKUP($A91,'Data shares'!$C:$FA,3)</f>
        <v>9.6</v>
      </c>
      <c r="D91" s="144">
        <f>VLOOKUP($A91,'Data shares'!$C:$FA,23)</f>
        <v>0.04</v>
      </c>
      <c r="E91" s="145">
        <f>VLOOKUP($A91,'Data shares'!$C:$FA,26)*100</f>
        <v>0.42</v>
      </c>
      <c r="F91" s="144">
        <f>VLOOKUP($A91,'Data shares'!$C:$FA,24)</f>
        <v>0.01</v>
      </c>
      <c r="G91" s="144">
        <f>VLOOKUP($A91,'Data shares'!$C:$FA,25)</f>
        <v>0.03</v>
      </c>
    </row>
    <row r="92" spans="1:7" x14ac:dyDescent="0.25">
      <c r="A92" s="101" t="str">
        <f>'Data Vlaue (Cr)'!C88</f>
        <v>IDFCFIRSTB</v>
      </c>
      <c r="B92" s="144">
        <f>VLOOKUP($A92,'Data shares'!$C:$FA,7)</f>
        <v>64.78</v>
      </c>
      <c r="C92" s="144">
        <f>VLOOKUP($A92,'Data shares'!$C:$FA,3)</f>
        <v>64.98</v>
      </c>
      <c r="D92" s="144">
        <f>VLOOKUP($A92,'Data shares'!$C:$FA,23)</f>
        <v>0.2</v>
      </c>
      <c r="E92" s="145">
        <f>VLOOKUP($A92,'Data shares'!$C:$FA,26)*100</f>
        <v>0.31</v>
      </c>
      <c r="F92" s="144">
        <f>VLOOKUP($A92,'Data shares'!$C:$FA,24)</f>
        <v>0.1</v>
      </c>
      <c r="G92" s="144">
        <f>VLOOKUP($A92,'Data shares'!$C:$FA,25)</f>
        <v>0.1</v>
      </c>
    </row>
    <row r="93" spans="1:7" x14ac:dyDescent="0.25">
      <c r="A93" s="101" t="str">
        <f>'Data Vlaue (Cr)'!C89</f>
        <v>IEX</v>
      </c>
      <c r="B93" s="144">
        <f>VLOOKUP($A93,'Data shares'!$C:$FA,7)</f>
        <v>122.76</v>
      </c>
      <c r="C93" s="144">
        <f>VLOOKUP($A93,'Data shares'!$C:$FA,3)</f>
        <v>122.95</v>
      </c>
      <c r="D93" s="144">
        <f>VLOOKUP($A93,'Data shares'!$C:$FA,23)</f>
        <v>0.19</v>
      </c>
      <c r="E93" s="145">
        <f>VLOOKUP($A93,'Data shares'!$C:$FA,26)*100</f>
        <v>0.15</v>
      </c>
      <c r="F93" s="144">
        <f>VLOOKUP($A93,'Data shares'!$C:$FA,24)</f>
        <v>0.1</v>
      </c>
      <c r="G93" s="144">
        <f>VLOOKUP($A93,'Data shares'!$C:$FA,25)</f>
        <v>0.09</v>
      </c>
    </row>
    <row r="94" spans="1:7" x14ac:dyDescent="0.25">
      <c r="A94" s="101" t="str">
        <f>'Data Vlaue (Cr)'!C90</f>
        <v>INDHOTEL</v>
      </c>
      <c r="B94" s="144">
        <f>VLOOKUP($A94,'Data shares'!$C:$FA,7)</f>
        <v>624.95000000000005</v>
      </c>
      <c r="C94" s="144">
        <f>VLOOKUP($A94,'Data shares'!$C:$FA,3)</f>
        <v>625.65</v>
      </c>
      <c r="D94" s="144">
        <f>VLOOKUP($A94,'Data shares'!$C:$FA,23)</f>
        <v>0.7</v>
      </c>
      <c r="E94" s="145">
        <f>VLOOKUP($A94,'Data shares'!$C:$FA,26)*100</f>
        <v>0.11</v>
      </c>
      <c r="F94" s="144">
        <f>VLOOKUP($A94,'Data shares'!$C:$FA,24)</f>
        <v>0.4</v>
      </c>
      <c r="G94" s="144">
        <f>VLOOKUP($A94,'Data shares'!$C:$FA,25)</f>
        <v>0.3</v>
      </c>
    </row>
    <row r="95" spans="1:7" x14ac:dyDescent="0.25">
      <c r="A95" s="101" t="str">
        <f>'Data Vlaue (Cr)'!C91</f>
        <v>INDIANB</v>
      </c>
      <c r="B95" s="144">
        <f>VLOOKUP($A95,'Data shares'!$C:$FA,7)</f>
        <v>909.6</v>
      </c>
      <c r="C95" s="144">
        <f>VLOOKUP($A95,'Data shares'!$C:$FA,3)</f>
        <v>912.9</v>
      </c>
      <c r="D95" s="144">
        <f>VLOOKUP($A95,'Data shares'!$C:$FA,23)</f>
        <v>3.3</v>
      </c>
      <c r="E95" s="145">
        <f>VLOOKUP($A95,'Data shares'!$C:$FA,26)*100</f>
        <v>0.36</v>
      </c>
      <c r="F95" s="144">
        <f>VLOOKUP($A95,'Data shares'!$C:$FA,24)</f>
        <v>-2.4500000000000002</v>
      </c>
      <c r="G95" s="144">
        <f>VLOOKUP($A95,'Data shares'!$C:$FA,25)</f>
        <v>5.75</v>
      </c>
    </row>
    <row r="96" spans="1:7" x14ac:dyDescent="0.25">
      <c r="A96" s="101" t="str">
        <f>'Data Vlaue (Cr)'!C92</f>
        <v>INDIAVIX</v>
      </c>
      <c r="B96" s="144">
        <f>VLOOKUP($A96,'Data shares'!$C:$FA,7)</f>
        <v>21.52</v>
      </c>
      <c r="C96" s="144">
        <f>VLOOKUP($A96,'Data shares'!$C:$FA,3)</f>
        <v>21.52</v>
      </c>
      <c r="D96" s="144">
        <f>VLOOKUP($A96,'Data shares'!$C:$FA,23)</f>
        <v>0</v>
      </c>
      <c r="E96" s="145">
        <f>VLOOKUP($A96,'Data shares'!$C:$FA,26)*100</f>
        <v>0</v>
      </c>
      <c r="F96" s="144">
        <f>VLOOKUP($A96,'Data shares'!$C:$FA,24)</f>
        <v>0</v>
      </c>
      <c r="G96" s="144">
        <f>VLOOKUP($A96,'Data shares'!$C:$FA,25)</f>
        <v>0</v>
      </c>
    </row>
    <row r="97" spans="1:7" x14ac:dyDescent="0.25">
      <c r="A97" s="101" t="str">
        <f>'Data Vlaue (Cr)'!C93</f>
        <v>INDIGO</v>
      </c>
      <c r="B97" s="144">
        <f>VLOOKUP($A97,'Data shares'!$C:$FA,7)</f>
        <v>4251.7</v>
      </c>
      <c r="C97" s="144">
        <f>VLOOKUP($A97,'Data shares'!$C:$FA,3)</f>
        <v>4258.1000000000004</v>
      </c>
      <c r="D97" s="144">
        <f>VLOOKUP($A97,'Data shares'!$C:$FA,23)</f>
        <v>6.4</v>
      </c>
      <c r="E97" s="145">
        <f>VLOOKUP($A97,'Data shares'!$C:$FA,26)*100</f>
        <v>0.15</v>
      </c>
      <c r="F97" s="144">
        <f>VLOOKUP($A97,'Data shares'!$C:$FA,24)</f>
        <v>4.8</v>
      </c>
      <c r="G97" s="144">
        <f>VLOOKUP($A97,'Data shares'!$C:$FA,25)</f>
        <v>1.6</v>
      </c>
    </row>
    <row r="98" spans="1:7" x14ac:dyDescent="0.25">
      <c r="A98" s="101" t="str">
        <f>'Data Vlaue (Cr)'!C94</f>
        <v>INDUSINDBK</v>
      </c>
      <c r="B98" s="144">
        <f>VLOOKUP($A98,'Data shares'!$C:$FA,7)</f>
        <v>831.35</v>
      </c>
      <c r="C98" s="144">
        <f>VLOOKUP($A98,'Data shares'!$C:$FA,3)</f>
        <v>830.95</v>
      </c>
      <c r="D98" s="144">
        <f>VLOOKUP($A98,'Data shares'!$C:$FA,23)</f>
        <v>-0.4</v>
      </c>
      <c r="E98" s="145">
        <f>VLOOKUP($A98,'Data shares'!$C:$FA,26)*100</f>
        <v>-0.05</v>
      </c>
      <c r="F98" s="144">
        <f>VLOOKUP($A98,'Data shares'!$C:$FA,24)</f>
        <v>-0.75</v>
      </c>
      <c r="G98" s="144">
        <f>VLOOKUP($A98,'Data shares'!$C:$FA,25)</f>
        <v>0.35</v>
      </c>
    </row>
    <row r="99" spans="1:7" x14ac:dyDescent="0.25">
      <c r="A99" s="101" t="str">
        <f>'Data Vlaue (Cr)'!C95</f>
        <v>INDUSTOWER</v>
      </c>
      <c r="B99" s="144">
        <f>VLOOKUP($A99,'Data shares'!$C:$FA,7)</f>
        <v>442.05</v>
      </c>
      <c r="C99" s="144">
        <f>VLOOKUP($A99,'Data shares'!$C:$FA,3)</f>
        <v>442.45</v>
      </c>
      <c r="D99" s="144">
        <f>VLOOKUP($A99,'Data shares'!$C:$FA,23)</f>
        <v>0.4</v>
      </c>
      <c r="E99" s="145">
        <f>VLOOKUP($A99,'Data shares'!$C:$FA,26)*100</f>
        <v>0.09</v>
      </c>
      <c r="F99" s="144">
        <f>VLOOKUP($A99,'Data shares'!$C:$FA,24)</f>
        <v>0.55000000000000004</v>
      </c>
      <c r="G99" s="144">
        <f>VLOOKUP($A99,'Data shares'!$C:$FA,25)</f>
        <v>-0.15</v>
      </c>
    </row>
    <row r="100" spans="1:7" x14ac:dyDescent="0.25">
      <c r="A100" s="101" t="str">
        <f>'Data Vlaue (Cr)'!C96</f>
        <v>INFY</v>
      </c>
      <c r="B100" s="144">
        <f>VLOOKUP($A100,'Data shares'!$C:$FA,7)</f>
        <v>1265.8</v>
      </c>
      <c r="C100" s="144">
        <f>VLOOKUP($A100,'Data shares'!$C:$FA,3)</f>
        <v>1270.2</v>
      </c>
      <c r="D100" s="144">
        <f>VLOOKUP($A100,'Data shares'!$C:$FA,23)</f>
        <v>4.4000000000000004</v>
      </c>
      <c r="E100" s="145">
        <f>VLOOKUP($A100,'Data shares'!$C:$FA,26)*100</f>
        <v>0.35000000000000003</v>
      </c>
      <c r="F100" s="144">
        <f>VLOOKUP($A100,'Data shares'!$C:$FA,24)</f>
        <v>2</v>
      </c>
      <c r="G100" s="144">
        <f>VLOOKUP($A100,'Data shares'!$C:$FA,25)</f>
        <v>2.4</v>
      </c>
    </row>
    <row r="101" spans="1:7" x14ac:dyDescent="0.25">
      <c r="A101" s="101" t="str">
        <f>'Data Vlaue (Cr)'!C97</f>
        <v>INOXWIND</v>
      </c>
      <c r="B101" s="144">
        <f>VLOOKUP($A101,'Data shares'!$C:$FA,7)</f>
        <v>83.68</v>
      </c>
      <c r="C101" s="144">
        <f>VLOOKUP($A101,'Data shares'!$C:$FA,3)</f>
        <v>83.99</v>
      </c>
      <c r="D101" s="144">
        <f>VLOOKUP($A101,'Data shares'!$C:$FA,23)</f>
        <v>0.31</v>
      </c>
      <c r="E101" s="145">
        <f>VLOOKUP($A101,'Data shares'!$C:$FA,26)*100</f>
        <v>0.37</v>
      </c>
      <c r="F101" s="144">
        <f>VLOOKUP($A101,'Data shares'!$C:$FA,24)</f>
        <v>0.12</v>
      </c>
      <c r="G101" s="144">
        <f>VLOOKUP($A101,'Data shares'!$C:$FA,25)</f>
        <v>0.19</v>
      </c>
    </row>
    <row r="102" spans="1:7" x14ac:dyDescent="0.25">
      <c r="A102" s="101" t="str">
        <f>'Data Vlaue (Cr)'!C98</f>
        <v>IOC</v>
      </c>
      <c r="B102" s="144">
        <f>VLOOKUP($A102,'Data shares'!$C:$FA,7)</f>
        <v>160.16</v>
      </c>
      <c r="C102" s="144">
        <f>VLOOKUP($A102,'Data shares'!$C:$FA,3)</f>
        <v>160.74</v>
      </c>
      <c r="D102" s="144">
        <f>VLOOKUP($A102,'Data shares'!$C:$FA,23)</f>
        <v>0.57999999999999996</v>
      </c>
      <c r="E102" s="145">
        <f>VLOOKUP($A102,'Data shares'!$C:$FA,26)*100</f>
        <v>0.36</v>
      </c>
      <c r="F102" s="144">
        <f>VLOOKUP($A102,'Data shares'!$C:$FA,24)</f>
        <v>-1.59</v>
      </c>
      <c r="G102" s="144">
        <f>VLOOKUP($A102,'Data shares'!$C:$FA,25)</f>
        <v>2.17</v>
      </c>
    </row>
    <row r="103" spans="1:7" x14ac:dyDescent="0.25">
      <c r="A103" s="101" t="str">
        <f>'Data Vlaue (Cr)'!C99</f>
        <v>IREDA</v>
      </c>
      <c r="B103" s="144">
        <f>VLOOKUP($A103,'Data shares'!$C:$FA,7)</f>
        <v>117.03</v>
      </c>
      <c r="C103" s="144">
        <f>VLOOKUP($A103,'Data shares'!$C:$FA,3)</f>
        <v>116.78</v>
      </c>
      <c r="D103" s="144">
        <f>VLOOKUP($A103,'Data shares'!$C:$FA,23)</f>
        <v>-0.25</v>
      </c>
      <c r="E103" s="145">
        <f>VLOOKUP($A103,'Data shares'!$C:$FA,26)*100</f>
        <v>-0.21</v>
      </c>
      <c r="F103" s="144">
        <f>VLOOKUP($A103,'Data shares'!$C:$FA,24)</f>
        <v>-0.04</v>
      </c>
      <c r="G103" s="144">
        <f>VLOOKUP($A103,'Data shares'!$C:$FA,25)</f>
        <v>-0.21</v>
      </c>
    </row>
    <row r="104" spans="1:7" x14ac:dyDescent="0.25">
      <c r="A104" s="101" t="str">
        <f>'Data Vlaue (Cr)'!C100</f>
        <v>IRFC</v>
      </c>
      <c r="B104" s="144">
        <f>VLOOKUP($A104,'Data shares'!$C:$FA,7)</f>
        <v>99.92</v>
      </c>
      <c r="C104" s="144">
        <f>VLOOKUP($A104,'Data shares'!$C:$FA,3)</f>
        <v>98.87</v>
      </c>
      <c r="D104" s="144">
        <f>VLOOKUP($A104,'Data shares'!$C:$FA,23)</f>
        <v>-1.05</v>
      </c>
      <c r="E104" s="145">
        <f>VLOOKUP($A104,'Data shares'!$C:$FA,26)*100</f>
        <v>-1.05</v>
      </c>
      <c r="F104" s="144">
        <f>VLOOKUP($A104,'Data shares'!$C:$FA,24)</f>
        <v>-1.53</v>
      </c>
      <c r="G104" s="144">
        <f>VLOOKUP($A104,'Data shares'!$C:$FA,25)</f>
        <v>0.48</v>
      </c>
    </row>
    <row r="105" spans="1:7" x14ac:dyDescent="0.25">
      <c r="A105" s="101" t="str">
        <f>'Data Vlaue (Cr)'!C101</f>
        <v>ITC</v>
      </c>
      <c r="B105" s="144">
        <f>VLOOKUP($A105,'Data shares'!$C:$FA,7)</f>
        <v>304.10000000000002</v>
      </c>
      <c r="C105" s="144">
        <f>VLOOKUP($A105,'Data shares'!$C:$FA,3)</f>
        <v>304.95</v>
      </c>
      <c r="D105" s="144">
        <f>VLOOKUP($A105,'Data shares'!$C:$FA,23)</f>
        <v>0.85</v>
      </c>
      <c r="E105" s="145">
        <f>VLOOKUP($A105,'Data shares'!$C:$FA,26)*100</f>
        <v>0.27999999999999997</v>
      </c>
      <c r="F105" s="144">
        <f>VLOOKUP($A105,'Data shares'!$C:$FA,24)</f>
        <v>0.35</v>
      </c>
      <c r="G105" s="144">
        <f>VLOOKUP($A105,'Data shares'!$C:$FA,25)</f>
        <v>0.5</v>
      </c>
    </row>
    <row r="106" spans="1:7" x14ac:dyDescent="0.25">
      <c r="A106" s="101" t="str">
        <f>'Data Vlaue (Cr)'!C102</f>
        <v>JINDALSTEL</v>
      </c>
      <c r="B106" s="144">
        <f>VLOOKUP($A106,'Data shares'!$C:$FA,7)</f>
        <v>1225</v>
      </c>
      <c r="C106" s="144">
        <f>VLOOKUP($A106,'Data shares'!$C:$FA,3)</f>
        <v>1227.9000000000001</v>
      </c>
      <c r="D106" s="144">
        <f>VLOOKUP($A106,'Data shares'!$C:$FA,23)</f>
        <v>2.9</v>
      </c>
      <c r="E106" s="145">
        <f>VLOOKUP($A106,'Data shares'!$C:$FA,26)*100</f>
        <v>0.24</v>
      </c>
      <c r="F106" s="144">
        <f>VLOOKUP($A106,'Data shares'!$C:$FA,24)</f>
        <v>0.9</v>
      </c>
      <c r="G106" s="144">
        <f>VLOOKUP($A106,'Data shares'!$C:$FA,25)</f>
        <v>2</v>
      </c>
    </row>
    <row r="107" spans="1:7" x14ac:dyDescent="0.25">
      <c r="A107" s="101" t="str">
        <f>'Data Vlaue (Cr)'!C103</f>
        <v>JIOFIN</v>
      </c>
      <c r="B107" s="144">
        <f>VLOOKUP($A107,'Data shares'!$C:$FA,7)</f>
        <v>242.2</v>
      </c>
      <c r="C107" s="144">
        <f>VLOOKUP($A107,'Data shares'!$C:$FA,3)</f>
        <v>242.65</v>
      </c>
      <c r="D107" s="144">
        <f>VLOOKUP($A107,'Data shares'!$C:$FA,23)</f>
        <v>0.45</v>
      </c>
      <c r="E107" s="145">
        <f>VLOOKUP($A107,'Data shares'!$C:$FA,26)*100</f>
        <v>0.19</v>
      </c>
      <c r="F107" s="144">
        <f>VLOOKUP($A107,'Data shares'!$C:$FA,24)</f>
        <v>0.2</v>
      </c>
      <c r="G107" s="144">
        <f>VLOOKUP($A107,'Data shares'!$C:$FA,25)</f>
        <v>0.25</v>
      </c>
    </row>
    <row r="108" spans="1:7" x14ac:dyDescent="0.25">
      <c r="A108" s="101" t="str">
        <f>'Data Vlaue (Cr)'!C104</f>
        <v>JSWENERGY</v>
      </c>
      <c r="B108" s="144">
        <f>VLOOKUP($A108,'Data shares'!$C:$FA,7)</f>
        <v>518.29999999999995</v>
      </c>
      <c r="C108" s="144">
        <f>VLOOKUP($A108,'Data shares'!$C:$FA,3)</f>
        <v>520</v>
      </c>
      <c r="D108" s="144">
        <f>VLOOKUP($A108,'Data shares'!$C:$FA,23)</f>
        <v>1.7</v>
      </c>
      <c r="E108" s="145">
        <f>VLOOKUP($A108,'Data shares'!$C:$FA,26)*100</f>
        <v>0.33</v>
      </c>
      <c r="F108" s="144">
        <f>VLOOKUP($A108,'Data shares'!$C:$FA,24)</f>
        <v>0.45</v>
      </c>
      <c r="G108" s="144">
        <f>VLOOKUP($A108,'Data shares'!$C:$FA,25)</f>
        <v>1.25</v>
      </c>
    </row>
    <row r="109" spans="1:7" x14ac:dyDescent="0.25">
      <c r="A109" s="101" t="str">
        <f>'Data Vlaue (Cr)'!C105</f>
        <v>JSWSTEEL</v>
      </c>
      <c r="B109" s="144">
        <f>VLOOKUP($A109,'Data shares'!$C:$FA,7)</f>
        <v>1172.5999999999999</v>
      </c>
      <c r="C109" s="144">
        <f>VLOOKUP($A109,'Data shares'!$C:$FA,3)</f>
        <v>1174.4000000000001</v>
      </c>
      <c r="D109" s="144">
        <f>VLOOKUP($A109,'Data shares'!$C:$FA,23)</f>
        <v>1.8</v>
      </c>
      <c r="E109" s="145">
        <f>VLOOKUP($A109,'Data shares'!$C:$FA,26)*100</f>
        <v>0.15</v>
      </c>
      <c r="F109" s="144">
        <f>VLOOKUP($A109,'Data shares'!$C:$FA,24)</f>
        <v>0.4</v>
      </c>
      <c r="G109" s="144">
        <f>VLOOKUP($A109,'Data shares'!$C:$FA,25)</f>
        <v>1.4</v>
      </c>
    </row>
    <row r="110" spans="1:7" x14ac:dyDescent="0.25">
      <c r="A110" s="101" t="str">
        <f>'Data Vlaue (Cr)'!C106</f>
        <v>JUBLFOOD</v>
      </c>
      <c r="B110" s="144">
        <f>VLOOKUP($A110,'Data shares'!$C:$FA,7)</f>
        <v>461.75</v>
      </c>
      <c r="C110" s="144">
        <f>VLOOKUP($A110,'Data shares'!$C:$FA,3)</f>
        <v>462.05</v>
      </c>
      <c r="D110" s="144">
        <f>VLOOKUP($A110,'Data shares'!$C:$FA,23)</f>
        <v>0.3</v>
      </c>
      <c r="E110" s="145">
        <f>VLOOKUP($A110,'Data shares'!$C:$FA,26)*100</f>
        <v>0.06</v>
      </c>
      <c r="F110" s="144">
        <f>VLOOKUP($A110,'Data shares'!$C:$FA,24)</f>
        <v>0.4</v>
      </c>
      <c r="G110" s="144">
        <f>VLOOKUP($A110,'Data shares'!$C:$FA,25)</f>
        <v>-0.1</v>
      </c>
    </row>
    <row r="111" spans="1:7" x14ac:dyDescent="0.25">
      <c r="A111" s="101" t="str">
        <f>'Data Vlaue (Cr)'!C107</f>
        <v>KALYANKJIL</v>
      </c>
      <c r="B111" s="144">
        <f>VLOOKUP($A111,'Data shares'!$C:$FA,7)</f>
        <v>389.95</v>
      </c>
      <c r="C111" s="144">
        <f>VLOOKUP($A111,'Data shares'!$C:$FA,3)</f>
        <v>390.4</v>
      </c>
      <c r="D111" s="144">
        <f>VLOOKUP($A111,'Data shares'!$C:$FA,23)</f>
        <v>0.45</v>
      </c>
      <c r="E111" s="145">
        <f>VLOOKUP($A111,'Data shares'!$C:$FA,26)*100</f>
        <v>0.12</v>
      </c>
      <c r="F111" s="144">
        <f>VLOOKUP($A111,'Data shares'!$C:$FA,24)</f>
        <v>0.6</v>
      </c>
      <c r="G111" s="144">
        <f>VLOOKUP($A111,'Data shares'!$C:$FA,25)</f>
        <v>-0.15</v>
      </c>
    </row>
    <row r="112" spans="1:7" x14ac:dyDescent="0.25">
      <c r="A112" s="101" t="str">
        <f>'Data Vlaue (Cr)'!C108</f>
        <v>KAYNES</v>
      </c>
      <c r="B112" s="144">
        <f>VLOOKUP($A112,'Data shares'!$C:$FA,7)</f>
        <v>3700.3</v>
      </c>
      <c r="C112" s="144">
        <f>VLOOKUP($A112,'Data shares'!$C:$FA,3)</f>
        <v>3711.1</v>
      </c>
      <c r="D112" s="144">
        <f>VLOOKUP($A112,'Data shares'!$C:$FA,23)</f>
        <v>10.8</v>
      </c>
      <c r="E112" s="145">
        <f>VLOOKUP($A112,'Data shares'!$C:$FA,26)*100</f>
        <v>0.28999999999999998</v>
      </c>
      <c r="F112" s="144">
        <f>VLOOKUP($A112,'Data shares'!$C:$FA,24)</f>
        <v>5.3</v>
      </c>
      <c r="G112" s="144">
        <f>VLOOKUP($A112,'Data shares'!$C:$FA,25)</f>
        <v>5.5</v>
      </c>
    </row>
    <row r="113" spans="1:7" x14ac:dyDescent="0.25">
      <c r="A113" s="101" t="str">
        <f>'Data Vlaue (Cr)'!C109</f>
        <v>KEI</v>
      </c>
      <c r="B113" s="144">
        <f>VLOOKUP($A113,'Data shares'!$C:$FA,7)</f>
        <v>4330</v>
      </c>
      <c r="C113" s="144">
        <f>VLOOKUP($A113,'Data shares'!$C:$FA,3)</f>
        <v>4335.5</v>
      </c>
      <c r="D113" s="144">
        <f>VLOOKUP($A113,'Data shares'!$C:$FA,23)</f>
        <v>5.5</v>
      </c>
      <c r="E113" s="145">
        <f>VLOOKUP($A113,'Data shares'!$C:$FA,26)*100</f>
        <v>0.13</v>
      </c>
      <c r="F113" s="144">
        <f>VLOOKUP($A113,'Data shares'!$C:$FA,24)</f>
        <v>15.5</v>
      </c>
      <c r="G113" s="144">
        <f>VLOOKUP($A113,'Data shares'!$C:$FA,25)</f>
        <v>-10</v>
      </c>
    </row>
    <row r="114" spans="1:7" x14ac:dyDescent="0.25">
      <c r="A114" s="101" t="str">
        <f>'Data Vlaue (Cr)'!C110</f>
        <v>KFINTECH</v>
      </c>
      <c r="B114" s="144">
        <f>VLOOKUP($A114,'Data shares'!$C:$FA,7)</f>
        <v>907.6</v>
      </c>
      <c r="C114" s="144">
        <f>VLOOKUP($A114,'Data shares'!$C:$FA,3)</f>
        <v>910.6</v>
      </c>
      <c r="D114" s="144">
        <f>VLOOKUP($A114,'Data shares'!$C:$FA,23)</f>
        <v>3</v>
      </c>
      <c r="E114" s="145">
        <f>VLOOKUP($A114,'Data shares'!$C:$FA,26)*100</f>
        <v>0.33</v>
      </c>
      <c r="F114" s="144">
        <f>VLOOKUP($A114,'Data shares'!$C:$FA,24)</f>
        <v>1.85</v>
      </c>
      <c r="G114" s="144">
        <f>VLOOKUP($A114,'Data shares'!$C:$FA,25)</f>
        <v>1.1499999999999999</v>
      </c>
    </row>
    <row r="115" spans="1:7" x14ac:dyDescent="0.25">
      <c r="A115" s="101" t="str">
        <f>'Data Vlaue (Cr)'!C111</f>
        <v>KOTAKBANK</v>
      </c>
      <c r="B115" s="144">
        <f>VLOOKUP($A115,'Data shares'!$C:$FA,7)</f>
        <v>375.3</v>
      </c>
      <c r="C115" s="144">
        <f>VLOOKUP($A115,'Data shares'!$C:$FA,3)</f>
        <v>376.75</v>
      </c>
      <c r="D115" s="144">
        <f>VLOOKUP($A115,'Data shares'!$C:$FA,23)</f>
        <v>1.45</v>
      </c>
      <c r="E115" s="145">
        <f>VLOOKUP($A115,'Data shares'!$C:$FA,26)*100</f>
        <v>0.38999999999999996</v>
      </c>
      <c r="F115" s="144">
        <f>VLOOKUP($A115,'Data shares'!$C:$FA,24)</f>
        <v>1</v>
      </c>
      <c r="G115" s="144">
        <f>VLOOKUP($A115,'Data shares'!$C:$FA,25)</f>
        <v>0.45</v>
      </c>
    </row>
    <row r="116" spans="1:7" x14ac:dyDescent="0.25">
      <c r="A116" s="101" t="str">
        <f>'Data Vlaue (Cr)'!C112</f>
        <v>KPITTECH</v>
      </c>
      <c r="B116" s="144">
        <f>VLOOKUP($A116,'Data shares'!$C:$FA,7)</f>
        <v>671.25</v>
      </c>
      <c r="C116" s="144">
        <f>VLOOKUP($A116,'Data shares'!$C:$FA,3)</f>
        <v>671.85</v>
      </c>
      <c r="D116" s="144">
        <f>VLOOKUP($A116,'Data shares'!$C:$FA,23)</f>
        <v>0.6</v>
      </c>
      <c r="E116" s="145">
        <f>VLOOKUP($A116,'Data shares'!$C:$FA,26)*100</f>
        <v>0.09</v>
      </c>
      <c r="F116" s="144">
        <f>VLOOKUP($A116,'Data shares'!$C:$FA,24)</f>
        <v>1.6</v>
      </c>
      <c r="G116" s="144">
        <f>VLOOKUP($A116,'Data shares'!$C:$FA,25)</f>
        <v>-1</v>
      </c>
    </row>
    <row r="117" spans="1:7" x14ac:dyDescent="0.25">
      <c r="A117" s="101" t="str">
        <f>'Data Vlaue (Cr)'!C113</f>
        <v>LAURUSLABS</v>
      </c>
      <c r="B117" s="144">
        <f>VLOOKUP($A117,'Data shares'!$C:$FA,7)</f>
        <v>1046.8</v>
      </c>
      <c r="C117" s="144">
        <f>VLOOKUP($A117,'Data shares'!$C:$FA,3)</f>
        <v>1048.5</v>
      </c>
      <c r="D117" s="144">
        <f>VLOOKUP($A117,'Data shares'!$C:$FA,23)</f>
        <v>1.7</v>
      </c>
      <c r="E117" s="145">
        <f>VLOOKUP($A117,'Data shares'!$C:$FA,26)*100</f>
        <v>0.16</v>
      </c>
      <c r="F117" s="144">
        <f>VLOOKUP($A117,'Data shares'!$C:$FA,24)</f>
        <v>0.3</v>
      </c>
      <c r="G117" s="144">
        <f>VLOOKUP($A117,'Data shares'!$C:$FA,25)</f>
        <v>1.4</v>
      </c>
    </row>
    <row r="118" spans="1:7" x14ac:dyDescent="0.25">
      <c r="A118" s="101" t="str">
        <f>'Data Vlaue (Cr)'!C114</f>
        <v>LICHSGFIN</v>
      </c>
      <c r="B118" s="144">
        <f>VLOOKUP($A118,'Data shares'!$C:$FA,7)</f>
        <v>498.5</v>
      </c>
      <c r="C118" s="144">
        <f>VLOOKUP($A118,'Data shares'!$C:$FA,3)</f>
        <v>500.65</v>
      </c>
      <c r="D118" s="144">
        <f>VLOOKUP($A118,'Data shares'!$C:$FA,23)</f>
        <v>2.15</v>
      </c>
      <c r="E118" s="145">
        <f>VLOOKUP($A118,'Data shares'!$C:$FA,26)*100</f>
        <v>0.43</v>
      </c>
      <c r="F118" s="144">
        <f>VLOOKUP($A118,'Data shares'!$C:$FA,24)</f>
        <v>0.85</v>
      </c>
      <c r="G118" s="144">
        <f>VLOOKUP($A118,'Data shares'!$C:$FA,25)</f>
        <v>1.3</v>
      </c>
    </row>
    <row r="119" spans="1:7" x14ac:dyDescent="0.25">
      <c r="A119" s="101" t="str">
        <f>'Data Vlaue (Cr)'!C115</f>
        <v>LICI</v>
      </c>
      <c r="B119" s="144">
        <f>VLOOKUP($A119,'Data shares'!$C:$FA,7)</f>
        <v>796.65</v>
      </c>
      <c r="C119" s="144">
        <f>VLOOKUP($A119,'Data shares'!$C:$FA,3)</f>
        <v>798.2</v>
      </c>
      <c r="D119" s="144">
        <f>VLOOKUP($A119,'Data shares'!$C:$FA,23)</f>
        <v>1.55</v>
      </c>
      <c r="E119" s="145">
        <f>VLOOKUP($A119,'Data shares'!$C:$FA,26)*100</f>
        <v>0.19</v>
      </c>
      <c r="F119" s="144">
        <f>VLOOKUP($A119,'Data shares'!$C:$FA,24)</f>
        <v>-0.9</v>
      </c>
      <c r="G119" s="144">
        <f>VLOOKUP($A119,'Data shares'!$C:$FA,25)</f>
        <v>2.4500000000000002</v>
      </c>
    </row>
    <row r="120" spans="1:7" x14ac:dyDescent="0.25">
      <c r="A120" s="101" t="str">
        <f>'Data Vlaue (Cr)'!C116</f>
        <v>LODHA</v>
      </c>
      <c r="B120" s="144">
        <f>VLOOKUP($A120,'Data shares'!$C:$FA,7)</f>
        <v>869.05</v>
      </c>
      <c r="C120" s="144">
        <f>VLOOKUP($A120,'Data shares'!$C:$FA,3)</f>
        <v>871.3</v>
      </c>
      <c r="D120" s="144">
        <f>VLOOKUP($A120,'Data shares'!$C:$FA,23)</f>
        <v>2.25</v>
      </c>
      <c r="E120" s="145">
        <f>VLOOKUP($A120,'Data shares'!$C:$FA,26)*100</f>
        <v>0.26</v>
      </c>
      <c r="F120" s="144">
        <f>VLOOKUP($A120,'Data shares'!$C:$FA,24)</f>
        <v>0.95</v>
      </c>
      <c r="G120" s="144">
        <f>VLOOKUP($A120,'Data shares'!$C:$FA,25)</f>
        <v>1.3</v>
      </c>
    </row>
    <row r="121" spans="1:7" x14ac:dyDescent="0.25">
      <c r="A121" s="101" t="str">
        <f>'Data Vlaue (Cr)'!C117</f>
        <v>LT</v>
      </c>
      <c r="B121" s="144">
        <f>VLOOKUP($A121,'Data shares'!$C:$FA,7)</f>
        <v>3719.5</v>
      </c>
      <c r="C121" s="144">
        <f>VLOOKUP($A121,'Data shares'!$C:$FA,3)</f>
        <v>3730.9</v>
      </c>
      <c r="D121" s="144">
        <f>VLOOKUP($A121,'Data shares'!$C:$FA,23)</f>
        <v>11.4</v>
      </c>
      <c r="E121" s="145">
        <f>VLOOKUP($A121,'Data shares'!$C:$FA,26)*100</f>
        <v>0.31</v>
      </c>
      <c r="F121" s="144">
        <f>VLOOKUP($A121,'Data shares'!$C:$FA,24)</f>
        <v>4.4000000000000004</v>
      </c>
      <c r="G121" s="144">
        <f>VLOOKUP($A121,'Data shares'!$C:$FA,25)</f>
        <v>7</v>
      </c>
    </row>
    <row r="122" spans="1:7" x14ac:dyDescent="0.25">
      <c r="A122" s="101" t="str">
        <f>'Data Vlaue (Cr)'!C118</f>
        <v>LTF</v>
      </c>
      <c r="B122" s="144">
        <f>VLOOKUP($A122,'Data shares'!$C:$FA,7)</f>
        <v>265.5</v>
      </c>
      <c r="C122" s="144">
        <f>VLOOKUP($A122,'Data shares'!$C:$FA,3)</f>
        <v>265.45</v>
      </c>
      <c r="D122" s="144">
        <f>VLOOKUP($A122,'Data shares'!$C:$FA,23)</f>
        <v>-0.05</v>
      </c>
      <c r="E122" s="145">
        <f>VLOOKUP($A122,'Data shares'!$C:$FA,26)*100</f>
        <v>-0.02</v>
      </c>
      <c r="F122" s="144">
        <f>VLOOKUP($A122,'Data shares'!$C:$FA,24)</f>
        <v>-1.1000000000000001</v>
      </c>
      <c r="G122" s="144">
        <f>VLOOKUP($A122,'Data shares'!$C:$FA,25)</f>
        <v>1.05</v>
      </c>
    </row>
    <row r="123" spans="1:7" x14ac:dyDescent="0.25">
      <c r="A123" s="101" t="str">
        <f>'Data Vlaue (Cr)'!C119</f>
        <v>LTM</v>
      </c>
      <c r="B123" s="144">
        <f>VLOOKUP($A123,'Data shares'!$C:$FA,7)</f>
        <v>4323.6000000000004</v>
      </c>
      <c r="C123" s="144">
        <f>VLOOKUP($A123,'Data shares'!$C:$FA,3)</f>
        <v>4287.6000000000004</v>
      </c>
      <c r="D123" s="144">
        <f>VLOOKUP($A123,'Data shares'!$C:$FA,23)</f>
        <v>-36</v>
      </c>
      <c r="E123" s="145">
        <f>VLOOKUP($A123,'Data shares'!$C:$FA,26)*100</f>
        <v>-0.83</v>
      </c>
      <c r="F123" s="144">
        <f>VLOOKUP($A123,'Data shares'!$C:$FA,24)</f>
        <v>-23.7</v>
      </c>
      <c r="G123" s="144">
        <f>VLOOKUP($A123,'Data shares'!$C:$FA,25)</f>
        <v>-12.3</v>
      </c>
    </row>
    <row r="124" spans="1:7" x14ac:dyDescent="0.25">
      <c r="A124" s="101" t="str">
        <f>'Data Vlaue (Cr)'!C120</f>
        <v>LUPIN</v>
      </c>
      <c r="B124" s="144">
        <f>VLOOKUP($A124,'Data shares'!$C:$FA,7)</f>
        <v>2357.3000000000002</v>
      </c>
      <c r="C124" s="144">
        <f>VLOOKUP($A124,'Data shares'!$C:$FA,3)</f>
        <v>2359</v>
      </c>
      <c r="D124" s="144">
        <f>VLOOKUP($A124,'Data shares'!$C:$FA,23)</f>
        <v>1.7</v>
      </c>
      <c r="E124" s="145">
        <f>VLOOKUP($A124,'Data shares'!$C:$FA,26)*100</f>
        <v>6.9999999999999993E-2</v>
      </c>
      <c r="F124" s="144">
        <f>VLOOKUP($A124,'Data shares'!$C:$FA,24)</f>
        <v>4.2</v>
      </c>
      <c r="G124" s="144">
        <f>VLOOKUP($A124,'Data shares'!$C:$FA,25)</f>
        <v>-2.5</v>
      </c>
    </row>
    <row r="125" spans="1:7" x14ac:dyDescent="0.25">
      <c r="A125" s="101" t="str">
        <f>'Data Vlaue (Cr)'!C121</f>
        <v>M&amp;M</v>
      </c>
      <c r="B125" s="144">
        <f>VLOOKUP($A125,'Data shares'!$C:$FA,7)</f>
        <v>3031.2</v>
      </c>
      <c r="C125" s="144">
        <f>VLOOKUP($A125,'Data shares'!$C:$FA,3)</f>
        <v>3043.3</v>
      </c>
      <c r="D125" s="144">
        <f>VLOOKUP($A125,'Data shares'!$C:$FA,23)</f>
        <v>12.1</v>
      </c>
      <c r="E125" s="145">
        <f>VLOOKUP($A125,'Data shares'!$C:$FA,26)*100</f>
        <v>0.4</v>
      </c>
      <c r="F125" s="144">
        <f>VLOOKUP($A125,'Data shares'!$C:$FA,24)</f>
        <v>6.4</v>
      </c>
      <c r="G125" s="144">
        <f>VLOOKUP($A125,'Data shares'!$C:$FA,25)</f>
        <v>5.7</v>
      </c>
    </row>
    <row r="126" spans="1:7" x14ac:dyDescent="0.25">
      <c r="A126" s="101" t="str">
        <f>'Data Vlaue (Cr)'!C122</f>
        <v>MANAPPURAM</v>
      </c>
      <c r="B126" s="144">
        <f>VLOOKUP($A126,'Data shares'!$C:$FA,7)</f>
        <v>255.55</v>
      </c>
      <c r="C126" s="144">
        <f>VLOOKUP($A126,'Data shares'!$C:$FA,3)</f>
        <v>256.39999999999998</v>
      </c>
      <c r="D126" s="144">
        <f>VLOOKUP($A126,'Data shares'!$C:$FA,23)</f>
        <v>0.85</v>
      </c>
      <c r="E126" s="145">
        <f>VLOOKUP($A126,'Data shares'!$C:$FA,26)*100</f>
        <v>0.33</v>
      </c>
      <c r="F126" s="144">
        <f>VLOOKUP($A126,'Data shares'!$C:$FA,24)</f>
        <v>0.2</v>
      </c>
      <c r="G126" s="144">
        <f>VLOOKUP($A126,'Data shares'!$C:$FA,25)</f>
        <v>0.65</v>
      </c>
    </row>
    <row r="127" spans="1:7" x14ac:dyDescent="0.25">
      <c r="A127" s="101" t="str">
        <f>'Data Vlaue (Cr)'!C123</f>
        <v>MANKIND</v>
      </c>
      <c r="B127" s="144">
        <f>VLOOKUP($A127,'Data shares'!$C:$FA,7)</f>
        <v>2207.9</v>
      </c>
      <c r="C127" s="144">
        <f>VLOOKUP($A127,'Data shares'!$C:$FA,3)</f>
        <v>2216.9</v>
      </c>
      <c r="D127" s="144">
        <f>VLOOKUP($A127,'Data shares'!$C:$FA,23)</f>
        <v>9</v>
      </c>
      <c r="E127" s="145">
        <f>VLOOKUP($A127,'Data shares'!$C:$FA,26)*100</f>
        <v>0.41000000000000003</v>
      </c>
      <c r="F127" s="144">
        <f>VLOOKUP($A127,'Data shares'!$C:$FA,24)</f>
        <v>-0.6</v>
      </c>
      <c r="G127" s="144">
        <f>VLOOKUP($A127,'Data shares'!$C:$FA,25)</f>
        <v>9.6</v>
      </c>
    </row>
    <row r="128" spans="1:7" x14ac:dyDescent="0.25">
      <c r="A128" s="101" t="str">
        <f>'Data Vlaue (Cr)'!C124</f>
        <v>MARICO</v>
      </c>
      <c r="B128" s="144">
        <f>VLOOKUP($A128,'Data shares'!$C:$FA,7)</f>
        <v>757.15</v>
      </c>
      <c r="C128" s="144">
        <f>VLOOKUP($A128,'Data shares'!$C:$FA,3)</f>
        <v>756</v>
      </c>
      <c r="D128" s="144">
        <f>VLOOKUP($A128,'Data shares'!$C:$FA,23)</f>
        <v>-1.1499999999999999</v>
      </c>
      <c r="E128" s="145">
        <f>VLOOKUP($A128,'Data shares'!$C:$FA,26)*100</f>
        <v>-0.15</v>
      </c>
      <c r="F128" s="144">
        <f>VLOOKUP($A128,'Data shares'!$C:$FA,24)</f>
        <v>2.5</v>
      </c>
      <c r="G128" s="144">
        <f>VLOOKUP($A128,'Data shares'!$C:$FA,25)</f>
        <v>-3.65</v>
      </c>
    </row>
    <row r="129" spans="1:7" x14ac:dyDescent="0.25">
      <c r="A129" s="101" t="str">
        <f>'Data Vlaue (Cr)'!C125</f>
        <v>MARUTI</v>
      </c>
      <c r="B129" s="144">
        <f>VLOOKUP($A129,'Data shares'!$C:$FA,7)</f>
        <v>13011</v>
      </c>
      <c r="C129" s="144">
        <f>VLOOKUP($A129,'Data shares'!$C:$FA,3)</f>
        <v>13059</v>
      </c>
      <c r="D129" s="144">
        <f>VLOOKUP($A129,'Data shares'!$C:$FA,23)</f>
        <v>48</v>
      </c>
      <c r="E129" s="145">
        <f>VLOOKUP($A129,'Data shares'!$C:$FA,26)*100</f>
        <v>0.37</v>
      </c>
      <c r="F129" s="144">
        <f>VLOOKUP($A129,'Data shares'!$C:$FA,24)</f>
        <v>12</v>
      </c>
      <c r="G129" s="144">
        <f>VLOOKUP($A129,'Data shares'!$C:$FA,25)</f>
        <v>36</v>
      </c>
    </row>
    <row r="130" spans="1:7" x14ac:dyDescent="0.25">
      <c r="A130" s="101" t="str">
        <f>'Data Vlaue (Cr)'!C126</f>
        <v>MAXHEALTH</v>
      </c>
      <c r="B130" s="144">
        <f>VLOOKUP($A130,'Data shares'!$C:$FA,7)</f>
        <v>1020.4</v>
      </c>
      <c r="C130" s="144">
        <f>VLOOKUP($A130,'Data shares'!$C:$FA,3)</f>
        <v>1022.7</v>
      </c>
      <c r="D130" s="144">
        <f>VLOOKUP($A130,'Data shares'!$C:$FA,23)</f>
        <v>2.2999999999999998</v>
      </c>
      <c r="E130" s="145">
        <f>VLOOKUP($A130,'Data shares'!$C:$FA,26)*100</f>
        <v>0.22999999999999998</v>
      </c>
      <c r="F130" s="144">
        <f>VLOOKUP($A130,'Data shares'!$C:$FA,24)</f>
        <v>1</v>
      </c>
      <c r="G130" s="144">
        <f>VLOOKUP($A130,'Data shares'!$C:$FA,25)</f>
        <v>1.3</v>
      </c>
    </row>
    <row r="131" spans="1:7" x14ac:dyDescent="0.25">
      <c r="A131" s="101" t="str">
        <f>'Data Vlaue (Cr)'!C127</f>
        <v>MAZDOCK</v>
      </c>
      <c r="B131" s="144">
        <f>VLOOKUP($A131,'Data shares'!$C:$FA,7)</f>
        <v>2443.3000000000002</v>
      </c>
      <c r="C131" s="144">
        <f>VLOOKUP($A131,'Data shares'!$C:$FA,3)</f>
        <v>2460.1999999999998</v>
      </c>
      <c r="D131" s="144">
        <f>VLOOKUP($A131,'Data shares'!$C:$FA,23)</f>
        <v>16.899999999999999</v>
      </c>
      <c r="E131" s="145">
        <f>VLOOKUP($A131,'Data shares'!$C:$FA,26)*100</f>
        <v>0.69</v>
      </c>
      <c r="F131" s="144">
        <f>VLOOKUP($A131,'Data shares'!$C:$FA,24)</f>
        <v>1.7</v>
      </c>
      <c r="G131" s="144">
        <f>VLOOKUP($A131,'Data shares'!$C:$FA,25)</f>
        <v>15.2</v>
      </c>
    </row>
    <row r="132" spans="1:7" x14ac:dyDescent="0.25">
      <c r="A132" s="101" t="str">
        <f>'Data Vlaue (Cr)'!C128</f>
        <v>MCX</v>
      </c>
      <c r="B132" s="144">
        <f>VLOOKUP($A132,'Data shares'!$C:$FA,7)</f>
        <v>2526.1</v>
      </c>
      <c r="C132" s="144">
        <f>VLOOKUP($A132,'Data shares'!$C:$FA,3)</f>
        <v>2534.6999999999998</v>
      </c>
      <c r="D132" s="144">
        <f>VLOOKUP($A132,'Data shares'!$C:$FA,23)</f>
        <v>8.6</v>
      </c>
      <c r="E132" s="145">
        <f>VLOOKUP($A132,'Data shares'!$C:$FA,26)*100</f>
        <v>0.33999999999999997</v>
      </c>
      <c r="F132" s="144">
        <f>VLOOKUP($A132,'Data shares'!$C:$FA,24)</f>
        <v>6.3</v>
      </c>
      <c r="G132" s="144">
        <f>VLOOKUP($A132,'Data shares'!$C:$FA,25)</f>
        <v>2.2999999999999998</v>
      </c>
    </row>
    <row r="133" spans="1:7" x14ac:dyDescent="0.25">
      <c r="A133" s="101" t="str">
        <f>'Data Vlaue (Cr)'!C129</f>
        <v>MFSL</v>
      </c>
      <c r="B133" s="144">
        <f>VLOOKUP($A133,'Data shares'!$C:$FA,7)</f>
        <v>1696.2</v>
      </c>
      <c r="C133" s="144">
        <f>VLOOKUP($A133,'Data shares'!$C:$FA,3)</f>
        <v>1699.1</v>
      </c>
      <c r="D133" s="144">
        <f>VLOOKUP($A133,'Data shares'!$C:$FA,23)</f>
        <v>2.9</v>
      </c>
      <c r="E133" s="145">
        <f>VLOOKUP($A133,'Data shares'!$C:$FA,26)*100</f>
        <v>0.16999999999999998</v>
      </c>
      <c r="F133" s="144">
        <f>VLOOKUP($A133,'Data shares'!$C:$FA,24)</f>
        <v>5.3</v>
      </c>
      <c r="G133" s="144">
        <f>VLOOKUP($A133,'Data shares'!$C:$FA,25)</f>
        <v>-2.4</v>
      </c>
    </row>
    <row r="134" spans="1:7" x14ac:dyDescent="0.25">
      <c r="A134" s="101" t="str">
        <f>'Data Vlaue (Cr)'!C130</f>
        <v>MIDCPNIFTY</v>
      </c>
      <c r="B134" s="144">
        <f>VLOOKUP($A134,'Data shares'!$C:$FA,7)</f>
        <v>12961.15</v>
      </c>
      <c r="C134" s="144">
        <f>VLOOKUP($A134,'Data shares'!$C:$FA,3)</f>
        <v>12962.8</v>
      </c>
      <c r="D134" s="144">
        <f>VLOOKUP($A134,'Data shares'!$C:$FA,23)</f>
        <v>1.65</v>
      </c>
      <c r="E134" s="145">
        <f>VLOOKUP($A134,'Data shares'!$C:$FA,26)*100</f>
        <v>0.01</v>
      </c>
      <c r="F134" s="144">
        <f>VLOOKUP($A134,'Data shares'!$C:$FA,24)</f>
        <v>1.3</v>
      </c>
      <c r="G134" s="144">
        <f>VLOOKUP($A134,'Data shares'!$C:$FA,25)</f>
        <v>0.35</v>
      </c>
    </row>
    <row r="135" spans="1:7" x14ac:dyDescent="0.25">
      <c r="A135" s="101" t="str">
        <f>'Data Vlaue (Cr)'!C131</f>
        <v>MOTHERSON</v>
      </c>
      <c r="B135" s="144">
        <f>VLOOKUP($A135,'Data shares'!$C:$FA,7)</f>
        <v>120.17</v>
      </c>
      <c r="C135" s="144">
        <f>VLOOKUP($A135,'Data shares'!$C:$FA,3)</f>
        <v>119.63</v>
      </c>
      <c r="D135" s="144">
        <f>VLOOKUP($A135,'Data shares'!$C:$FA,23)</f>
        <v>-0.54</v>
      </c>
      <c r="E135" s="145">
        <f>VLOOKUP($A135,'Data shares'!$C:$FA,26)*100</f>
        <v>-0.44999999999999996</v>
      </c>
      <c r="F135" s="144">
        <f>VLOOKUP($A135,'Data shares'!$C:$FA,24)</f>
        <v>-0.39</v>
      </c>
      <c r="G135" s="144">
        <f>VLOOKUP($A135,'Data shares'!$C:$FA,25)</f>
        <v>-0.15</v>
      </c>
    </row>
    <row r="136" spans="1:7" x14ac:dyDescent="0.25">
      <c r="A136" s="101" t="str">
        <f>'Data Vlaue (Cr)'!C132</f>
        <v>MPHASIS</v>
      </c>
      <c r="B136" s="144">
        <f>VLOOKUP($A136,'Data shares'!$C:$FA,7)</f>
        <v>2185.1999999999998</v>
      </c>
      <c r="C136" s="144">
        <f>VLOOKUP($A136,'Data shares'!$C:$FA,3)</f>
        <v>2194</v>
      </c>
      <c r="D136" s="144">
        <f>VLOOKUP($A136,'Data shares'!$C:$FA,23)</f>
        <v>8.8000000000000007</v>
      </c>
      <c r="E136" s="145">
        <f>VLOOKUP($A136,'Data shares'!$C:$FA,26)*100</f>
        <v>0.4</v>
      </c>
      <c r="F136" s="144">
        <f>VLOOKUP($A136,'Data shares'!$C:$FA,24)</f>
        <v>1.8</v>
      </c>
      <c r="G136" s="144">
        <f>VLOOKUP($A136,'Data shares'!$C:$FA,25)</f>
        <v>7</v>
      </c>
    </row>
    <row r="137" spans="1:7" x14ac:dyDescent="0.25">
      <c r="A137" s="101" t="str">
        <f>'Data Vlaue (Cr)'!C133</f>
        <v>MUTHOOTFIN</v>
      </c>
      <c r="B137" s="144">
        <f>VLOOKUP($A137,'Data shares'!$C:$FA,7)</f>
        <v>3244</v>
      </c>
      <c r="C137" s="144">
        <f>VLOOKUP($A137,'Data shares'!$C:$FA,3)</f>
        <v>3255.7</v>
      </c>
      <c r="D137" s="144">
        <f>VLOOKUP($A137,'Data shares'!$C:$FA,23)</f>
        <v>11.7</v>
      </c>
      <c r="E137" s="145">
        <f>VLOOKUP($A137,'Data shares'!$C:$FA,26)*100</f>
        <v>0.36</v>
      </c>
      <c r="F137" s="144">
        <f>VLOOKUP($A137,'Data shares'!$C:$FA,24)</f>
        <v>7.2</v>
      </c>
      <c r="G137" s="144">
        <f>VLOOKUP($A137,'Data shares'!$C:$FA,25)</f>
        <v>4.5</v>
      </c>
    </row>
    <row r="138" spans="1:7" x14ac:dyDescent="0.25">
      <c r="A138" s="101" t="str">
        <f>'Data Vlaue (Cr)'!C134</f>
        <v>NATIONALUM</v>
      </c>
      <c r="B138" s="144">
        <f>VLOOKUP($A138,'Data shares'!$C:$FA,7)</f>
        <v>409.15</v>
      </c>
      <c r="C138" s="144">
        <f>VLOOKUP($A138,'Data shares'!$C:$FA,3)</f>
        <v>409.35</v>
      </c>
      <c r="D138" s="144">
        <f>VLOOKUP($A138,'Data shares'!$C:$FA,23)</f>
        <v>0.2</v>
      </c>
      <c r="E138" s="145">
        <f>VLOOKUP($A138,'Data shares'!$C:$FA,26)*100</f>
        <v>0.05</v>
      </c>
      <c r="F138" s="144">
        <f>VLOOKUP($A138,'Data shares'!$C:$FA,24)</f>
        <v>0.5</v>
      </c>
      <c r="G138" s="144">
        <f>VLOOKUP($A138,'Data shares'!$C:$FA,25)</f>
        <v>-0.3</v>
      </c>
    </row>
    <row r="139" spans="1:7" x14ac:dyDescent="0.25">
      <c r="A139" s="101" t="str">
        <f>'Data Vlaue (Cr)'!C135</f>
        <v>NAUKRI</v>
      </c>
      <c r="B139" s="144">
        <f>VLOOKUP($A139,'Data shares'!$C:$FA,7)</f>
        <v>955.4</v>
      </c>
      <c r="C139" s="144">
        <f>VLOOKUP($A139,'Data shares'!$C:$FA,3)</f>
        <v>956.9</v>
      </c>
      <c r="D139" s="144">
        <f>VLOOKUP($A139,'Data shares'!$C:$FA,23)</f>
        <v>1.5</v>
      </c>
      <c r="E139" s="145">
        <f>VLOOKUP($A139,'Data shares'!$C:$FA,26)*100</f>
        <v>0.16</v>
      </c>
      <c r="F139" s="144">
        <f>VLOOKUP($A139,'Data shares'!$C:$FA,24)</f>
        <v>1.6</v>
      </c>
      <c r="G139" s="144">
        <f>VLOOKUP($A139,'Data shares'!$C:$FA,25)</f>
        <v>-0.1</v>
      </c>
    </row>
    <row r="140" spans="1:7" x14ac:dyDescent="0.25">
      <c r="A140" s="101" t="str">
        <f>'Data Vlaue (Cr)'!C136</f>
        <v>NBCC</v>
      </c>
      <c r="B140" s="144">
        <f>VLOOKUP($A140,'Data shares'!$C:$FA,7)</f>
        <v>86.58</v>
      </c>
      <c r="C140" s="144">
        <f>VLOOKUP($A140,'Data shares'!$C:$FA,3)</f>
        <v>86.79</v>
      </c>
      <c r="D140" s="144">
        <f>VLOOKUP($A140,'Data shares'!$C:$FA,23)</f>
        <v>0.21</v>
      </c>
      <c r="E140" s="145">
        <f>VLOOKUP($A140,'Data shares'!$C:$FA,26)*100</f>
        <v>0.24</v>
      </c>
      <c r="F140" s="144">
        <f>VLOOKUP($A140,'Data shares'!$C:$FA,24)</f>
        <v>0.28000000000000003</v>
      </c>
      <c r="G140" s="144">
        <f>VLOOKUP($A140,'Data shares'!$C:$FA,25)</f>
        <v>-7.0000000000000007E-2</v>
      </c>
    </row>
    <row r="141" spans="1:7" x14ac:dyDescent="0.25">
      <c r="A141" s="101" t="str">
        <f>'Data Vlaue (Cr)'!C137</f>
        <v>NESTLEIND</v>
      </c>
      <c r="B141" s="144">
        <f>VLOOKUP($A141,'Data shares'!$C:$FA,7)</f>
        <v>1220.8</v>
      </c>
      <c r="C141" s="144">
        <f>VLOOKUP($A141,'Data shares'!$C:$FA,3)</f>
        <v>1223.0999999999999</v>
      </c>
      <c r="D141" s="144">
        <f>VLOOKUP($A141,'Data shares'!$C:$FA,23)</f>
        <v>2.2999999999999998</v>
      </c>
      <c r="E141" s="145">
        <f>VLOOKUP($A141,'Data shares'!$C:$FA,26)*100</f>
        <v>0.19</v>
      </c>
      <c r="F141" s="144">
        <f>VLOOKUP($A141,'Data shares'!$C:$FA,24)</f>
        <v>0.3</v>
      </c>
      <c r="G141" s="144">
        <f>VLOOKUP($A141,'Data shares'!$C:$FA,25)</f>
        <v>2</v>
      </c>
    </row>
    <row r="142" spans="1:7" x14ac:dyDescent="0.25">
      <c r="A142" s="101" t="str">
        <f>'Data Vlaue (Cr)'!C138</f>
        <v>NHPC</v>
      </c>
      <c r="B142" s="144">
        <f>VLOOKUP($A142,'Data shares'!$C:$FA,7)</f>
        <v>74.78</v>
      </c>
      <c r="C142" s="144">
        <f>VLOOKUP($A142,'Data shares'!$C:$FA,3)</f>
        <v>75.010000000000005</v>
      </c>
      <c r="D142" s="144">
        <f>VLOOKUP($A142,'Data shares'!$C:$FA,23)</f>
        <v>0.23</v>
      </c>
      <c r="E142" s="145">
        <f>VLOOKUP($A142,'Data shares'!$C:$FA,26)*100</f>
        <v>0.31</v>
      </c>
      <c r="F142" s="144">
        <f>VLOOKUP($A142,'Data shares'!$C:$FA,24)</f>
        <v>0.22</v>
      </c>
      <c r="G142" s="144">
        <f>VLOOKUP($A142,'Data shares'!$C:$FA,25)</f>
        <v>0.01</v>
      </c>
    </row>
    <row r="143" spans="1:7" x14ac:dyDescent="0.25">
      <c r="A143" s="101" t="str">
        <f>'Data Vlaue (Cr)'!C139</f>
        <v>NIFTY</v>
      </c>
      <c r="B143" s="144">
        <f>VLOOKUP($A143,'Data shares'!$C:$FA,7)</f>
        <v>23639.15</v>
      </c>
      <c r="C143" s="144">
        <f>VLOOKUP($A143,'Data shares'!$C:$FA,3)</f>
        <v>23728.5</v>
      </c>
      <c r="D143" s="144">
        <f>VLOOKUP($A143,'Data shares'!$C:$FA,23)</f>
        <v>89.35</v>
      </c>
      <c r="E143" s="145">
        <f>VLOOKUP($A143,'Data shares'!$C:$FA,26)*100</f>
        <v>0.38</v>
      </c>
      <c r="F143" s="144">
        <f>VLOOKUP($A143,'Data shares'!$C:$FA,24)</f>
        <v>72.25</v>
      </c>
      <c r="G143" s="144">
        <f>VLOOKUP($A143,'Data shares'!$C:$FA,25)</f>
        <v>17.100000000000001</v>
      </c>
    </row>
    <row r="144" spans="1:7" x14ac:dyDescent="0.25">
      <c r="A144" s="101" t="str">
        <f>'Data Vlaue (Cr)'!C140</f>
        <v>NIFTYNXT50</v>
      </c>
      <c r="B144" s="144">
        <f>VLOOKUP($A144,'Data shares'!$C:$FA,7)</f>
        <v>66424.55</v>
      </c>
      <c r="C144" s="144">
        <f>VLOOKUP($A144,'Data shares'!$C:$FA,3)</f>
        <v>66510.2</v>
      </c>
      <c r="D144" s="144">
        <f>VLOOKUP($A144,'Data shares'!$C:$FA,23)</f>
        <v>85.65</v>
      </c>
      <c r="E144" s="145">
        <f>VLOOKUP($A144,'Data shares'!$C:$FA,26)*100</f>
        <v>0.13</v>
      </c>
      <c r="F144" s="144">
        <f>VLOOKUP($A144,'Data shares'!$C:$FA,24)</f>
        <v>9.15</v>
      </c>
      <c r="G144" s="144">
        <f>VLOOKUP($A144,'Data shares'!$C:$FA,25)</f>
        <v>76.5</v>
      </c>
    </row>
    <row r="145" spans="1:7" x14ac:dyDescent="0.25">
      <c r="A145" s="101" t="str">
        <f>'Data Vlaue (Cr)'!C141</f>
        <v>NMDC</v>
      </c>
      <c r="B145" s="144">
        <f>VLOOKUP($A145,'Data shares'!$C:$FA,7)</f>
        <v>80.87</v>
      </c>
      <c r="C145" s="144">
        <f>VLOOKUP($A145,'Data shares'!$C:$FA,3)</f>
        <v>81.2</v>
      </c>
      <c r="D145" s="144">
        <f>VLOOKUP($A145,'Data shares'!$C:$FA,23)</f>
        <v>0.33</v>
      </c>
      <c r="E145" s="145">
        <f>VLOOKUP($A145,'Data shares'!$C:$FA,26)*100</f>
        <v>0.41000000000000003</v>
      </c>
      <c r="F145" s="144">
        <f>VLOOKUP($A145,'Data shares'!$C:$FA,24)</f>
        <v>0.1</v>
      </c>
      <c r="G145" s="144">
        <f>VLOOKUP($A145,'Data shares'!$C:$FA,25)</f>
        <v>0.23</v>
      </c>
    </row>
    <row r="146" spans="1:7" x14ac:dyDescent="0.25">
      <c r="A146" s="101" t="str">
        <f>'Data Vlaue (Cr)'!C142</f>
        <v>NTPC</v>
      </c>
      <c r="B146" s="144">
        <f>VLOOKUP($A146,'Data shares'!$C:$FA,7)</f>
        <v>390.55</v>
      </c>
      <c r="C146" s="144">
        <f>VLOOKUP($A146,'Data shares'!$C:$FA,3)</f>
        <v>390.9</v>
      </c>
      <c r="D146" s="144">
        <f>VLOOKUP($A146,'Data shares'!$C:$FA,23)</f>
        <v>0.35</v>
      </c>
      <c r="E146" s="145">
        <f>VLOOKUP($A146,'Data shares'!$C:$FA,26)*100</f>
        <v>0.09</v>
      </c>
      <c r="F146" s="144">
        <f>VLOOKUP($A146,'Data shares'!$C:$FA,24)</f>
        <v>0.35</v>
      </c>
      <c r="G146" s="144">
        <f>VLOOKUP($A146,'Data shares'!$C:$FA,25)</f>
        <v>0</v>
      </c>
    </row>
    <row r="147" spans="1:7" x14ac:dyDescent="0.25">
      <c r="A147" s="101" t="str">
        <f>'Data Vlaue (Cr)'!C143</f>
        <v>NUVAMA</v>
      </c>
      <c r="B147" s="144">
        <f>VLOOKUP($A147,'Data shares'!$C:$FA,7)</f>
        <v>1183.8</v>
      </c>
      <c r="C147" s="144">
        <f>VLOOKUP($A147,'Data shares'!$C:$FA,3)</f>
        <v>1188.4000000000001</v>
      </c>
      <c r="D147" s="144">
        <f>VLOOKUP($A147,'Data shares'!$C:$FA,23)</f>
        <v>4.5999999999999996</v>
      </c>
      <c r="E147" s="145">
        <f>VLOOKUP($A147,'Data shares'!$C:$FA,26)*100</f>
        <v>0.38999999999999996</v>
      </c>
      <c r="F147" s="144">
        <f>VLOOKUP($A147,'Data shares'!$C:$FA,24)</f>
        <v>-1.4</v>
      </c>
      <c r="G147" s="144">
        <f>VLOOKUP($A147,'Data shares'!$C:$FA,25)</f>
        <v>6</v>
      </c>
    </row>
    <row r="148" spans="1:7" x14ac:dyDescent="0.25">
      <c r="A148" s="101" t="str">
        <f>'Data Vlaue (Cr)'!C144</f>
        <v>NYKAA</v>
      </c>
      <c r="B148" s="144">
        <f>VLOOKUP($A148,'Data shares'!$C:$FA,7)</f>
        <v>244.95</v>
      </c>
      <c r="C148" s="144">
        <f>VLOOKUP($A148,'Data shares'!$C:$FA,3)</f>
        <v>245.85</v>
      </c>
      <c r="D148" s="144">
        <f>VLOOKUP($A148,'Data shares'!$C:$FA,23)</f>
        <v>0.9</v>
      </c>
      <c r="E148" s="145">
        <f>VLOOKUP($A148,'Data shares'!$C:$FA,26)*100</f>
        <v>0.37</v>
      </c>
      <c r="F148" s="144">
        <f>VLOOKUP($A148,'Data shares'!$C:$FA,24)</f>
        <v>1.1499999999999999</v>
      </c>
      <c r="G148" s="144">
        <f>VLOOKUP($A148,'Data shares'!$C:$FA,25)</f>
        <v>-0.25</v>
      </c>
    </row>
    <row r="149" spans="1:7" x14ac:dyDescent="0.25">
      <c r="A149" s="101" t="str">
        <f>'Data Vlaue (Cr)'!C145</f>
        <v>OBEROIRLTY</v>
      </c>
      <c r="B149" s="144">
        <f>VLOOKUP($A149,'Data shares'!$C:$FA,7)</f>
        <v>1470.3</v>
      </c>
      <c r="C149" s="144">
        <f>VLOOKUP($A149,'Data shares'!$C:$FA,3)</f>
        <v>1456.6</v>
      </c>
      <c r="D149" s="144">
        <f>VLOOKUP($A149,'Data shares'!$C:$FA,23)</f>
        <v>-13.7</v>
      </c>
      <c r="E149" s="145">
        <f>VLOOKUP($A149,'Data shares'!$C:$FA,26)*100</f>
        <v>-0.92999999999999994</v>
      </c>
      <c r="F149" s="144">
        <f>VLOOKUP($A149,'Data shares'!$C:$FA,24)</f>
        <v>-14.5</v>
      </c>
      <c r="G149" s="144">
        <f>VLOOKUP($A149,'Data shares'!$C:$FA,25)</f>
        <v>0.8</v>
      </c>
    </row>
    <row r="150" spans="1:7" x14ac:dyDescent="0.25">
      <c r="A150" s="101" t="str">
        <f>'Data Vlaue (Cr)'!C146</f>
        <v>OFSS</v>
      </c>
      <c r="B150" s="144">
        <f>VLOOKUP($A150,'Data shares'!$C:$FA,7)</f>
        <v>6694.5</v>
      </c>
      <c r="C150" s="144">
        <f>VLOOKUP($A150,'Data shares'!$C:$FA,3)</f>
        <v>6679</v>
      </c>
      <c r="D150" s="144">
        <f>VLOOKUP($A150,'Data shares'!$C:$FA,23)</f>
        <v>-15.5</v>
      </c>
      <c r="E150" s="145">
        <f>VLOOKUP($A150,'Data shares'!$C:$FA,26)*100</f>
        <v>-0.22999999999999998</v>
      </c>
      <c r="F150" s="144">
        <f>VLOOKUP($A150,'Data shares'!$C:$FA,24)</f>
        <v>-23</v>
      </c>
      <c r="G150" s="144">
        <f>VLOOKUP($A150,'Data shares'!$C:$FA,25)</f>
        <v>7.5</v>
      </c>
    </row>
    <row r="151" spans="1:7" x14ac:dyDescent="0.25">
      <c r="A151" s="101" t="str">
        <f>'Data Vlaue (Cr)'!C147</f>
        <v>OIL</v>
      </c>
      <c r="B151" s="144">
        <f>VLOOKUP($A151,'Data shares'!$C:$FA,7)</f>
        <v>479.3</v>
      </c>
      <c r="C151" s="144">
        <f>VLOOKUP($A151,'Data shares'!$C:$FA,3)</f>
        <v>478.1</v>
      </c>
      <c r="D151" s="144">
        <f>VLOOKUP($A151,'Data shares'!$C:$FA,23)</f>
        <v>-1.2</v>
      </c>
      <c r="E151" s="145">
        <f>VLOOKUP($A151,'Data shares'!$C:$FA,26)*100</f>
        <v>-0.25</v>
      </c>
      <c r="F151" s="144">
        <f>VLOOKUP($A151,'Data shares'!$C:$FA,24)</f>
        <v>-1.6</v>
      </c>
      <c r="G151" s="144">
        <f>VLOOKUP($A151,'Data shares'!$C:$FA,25)</f>
        <v>0.4</v>
      </c>
    </row>
    <row r="152" spans="1:7" x14ac:dyDescent="0.25">
      <c r="A152" s="101" t="str">
        <f>'Data Vlaue (Cr)'!C148</f>
        <v>ONGC</v>
      </c>
      <c r="B152" s="144">
        <f>VLOOKUP($A152,'Data shares'!$C:$FA,7)</f>
        <v>270.55</v>
      </c>
      <c r="C152" s="144">
        <f>VLOOKUP($A152,'Data shares'!$C:$FA,3)</f>
        <v>271.5</v>
      </c>
      <c r="D152" s="144">
        <f>VLOOKUP($A152,'Data shares'!$C:$FA,23)</f>
        <v>0.95</v>
      </c>
      <c r="E152" s="145">
        <f>VLOOKUP($A152,'Data shares'!$C:$FA,26)*100</f>
        <v>0.35000000000000003</v>
      </c>
      <c r="F152" s="144">
        <f>VLOOKUP($A152,'Data shares'!$C:$FA,24)</f>
        <v>0.2</v>
      </c>
      <c r="G152" s="144">
        <f>VLOOKUP($A152,'Data shares'!$C:$FA,25)</f>
        <v>0.75</v>
      </c>
    </row>
    <row r="153" spans="1:7" x14ac:dyDescent="0.25">
      <c r="A153" s="101" t="str">
        <f>'Data Vlaue (Cr)'!C149</f>
        <v>PAGEIND</v>
      </c>
      <c r="B153" s="144">
        <f>VLOOKUP($A153,'Data shares'!$C:$FA,7)</f>
        <v>30860</v>
      </c>
      <c r="C153" s="144">
        <f>VLOOKUP($A153,'Data shares'!$C:$FA,3)</f>
        <v>30915</v>
      </c>
      <c r="D153" s="144">
        <f>VLOOKUP($A153,'Data shares'!$C:$FA,23)</f>
        <v>55</v>
      </c>
      <c r="E153" s="145">
        <f>VLOOKUP($A153,'Data shares'!$C:$FA,26)*100</f>
        <v>0.18</v>
      </c>
      <c r="F153" s="144">
        <f>VLOOKUP($A153,'Data shares'!$C:$FA,24)</f>
        <v>155</v>
      </c>
      <c r="G153" s="144">
        <f>VLOOKUP($A153,'Data shares'!$C:$FA,25)</f>
        <v>-100</v>
      </c>
    </row>
    <row r="154" spans="1:7" x14ac:dyDescent="0.25">
      <c r="A154" s="101" t="str">
        <f>'Data Vlaue (Cr)'!C150</f>
        <v>PATANJALI</v>
      </c>
      <c r="B154" s="144">
        <f>VLOOKUP($A154,'Data shares'!$C:$FA,7)</f>
        <v>490.6</v>
      </c>
      <c r="C154" s="144">
        <f>VLOOKUP($A154,'Data shares'!$C:$FA,3)</f>
        <v>490.4</v>
      </c>
      <c r="D154" s="144">
        <f>VLOOKUP($A154,'Data shares'!$C:$FA,23)</f>
        <v>-0.2</v>
      </c>
      <c r="E154" s="145">
        <f>VLOOKUP($A154,'Data shares'!$C:$FA,26)*100</f>
        <v>-0.04</v>
      </c>
      <c r="F154" s="144">
        <f>VLOOKUP($A154,'Data shares'!$C:$FA,24)</f>
        <v>-0.8</v>
      </c>
      <c r="G154" s="144">
        <f>VLOOKUP($A154,'Data shares'!$C:$FA,25)</f>
        <v>0.6</v>
      </c>
    </row>
    <row r="155" spans="1:7" x14ac:dyDescent="0.25">
      <c r="A155" s="101" t="str">
        <f>'Data Vlaue (Cr)'!C151</f>
        <v>PAYTM</v>
      </c>
      <c r="B155" s="144">
        <f>VLOOKUP($A155,'Data shares'!$C:$FA,7)</f>
        <v>1009.1</v>
      </c>
      <c r="C155" s="144">
        <f>VLOOKUP($A155,'Data shares'!$C:$FA,3)</f>
        <v>1012.9</v>
      </c>
      <c r="D155" s="144">
        <f>VLOOKUP($A155,'Data shares'!$C:$FA,23)</f>
        <v>3.8</v>
      </c>
      <c r="E155" s="145">
        <f>VLOOKUP($A155,'Data shares'!$C:$FA,26)*100</f>
        <v>0.38</v>
      </c>
      <c r="F155" s="144">
        <f>VLOOKUP($A155,'Data shares'!$C:$FA,24)</f>
        <v>0.6</v>
      </c>
      <c r="G155" s="144">
        <f>VLOOKUP($A155,'Data shares'!$C:$FA,25)</f>
        <v>3.2</v>
      </c>
    </row>
    <row r="156" spans="1:7" x14ac:dyDescent="0.25">
      <c r="A156" s="101" t="str">
        <f>'Data Vlaue (Cr)'!C152</f>
        <v>PERSISTENT</v>
      </c>
      <c r="B156" s="144">
        <f>VLOOKUP($A156,'Data shares'!$C:$FA,7)</f>
        <v>4714.3999999999996</v>
      </c>
      <c r="C156" s="144">
        <f>VLOOKUP($A156,'Data shares'!$C:$FA,3)</f>
        <v>4691.3</v>
      </c>
      <c r="D156" s="144">
        <f>VLOOKUP($A156,'Data shares'!$C:$FA,23)</f>
        <v>-23.1</v>
      </c>
      <c r="E156" s="145">
        <f>VLOOKUP($A156,'Data shares'!$C:$FA,26)*100</f>
        <v>-0.49</v>
      </c>
      <c r="F156" s="144">
        <f>VLOOKUP($A156,'Data shares'!$C:$FA,24)</f>
        <v>-19.7</v>
      </c>
      <c r="G156" s="144">
        <f>VLOOKUP($A156,'Data shares'!$C:$FA,25)</f>
        <v>-3.4</v>
      </c>
    </row>
    <row r="157" spans="1:7" x14ac:dyDescent="0.25">
      <c r="A157" s="101" t="str">
        <f>'Data Vlaue (Cr)'!C153</f>
        <v>PETRONET</v>
      </c>
      <c r="B157" s="144">
        <f>VLOOKUP($A157,'Data shares'!$C:$FA,7)</f>
        <v>296.7</v>
      </c>
      <c r="C157" s="144">
        <f>VLOOKUP($A157,'Data shares'!$C:$FA,3)</f>
        <v>296.35000000000002</v>
      </c>
      <c r="D157" s="144">
        <f>VLOOKUP($A157,'Data shares'!$C:$FA,23)</f>
        <v>-0.35</v>
      </c>
      <c r="E157" s="145">
        <f>VLOOKUP($A157,'Data shares'!$C:$FA,26)*100</f>
        <v>-0.12</v>
      </c>
      <c r="F157" s="144">
        <f>VLOOKUP($A157,'Data shares'!$C:$FA,24)</f>
        <v>0.1</v>
      </c>
      <c r="G157" s="144">
        <f>VLOOKUP($A157,'Data shares'!$C:$FA,25)</f>
        <v>-0.45</v>
      </c>
    </row>
    <row r="158" spans="1:7" x14ac:dyDescent="0.25">
      <c r="A158" s="101" t="str">
        <f>'Data Vlaue (Cr)'!C154</f>
        <v>PFC</v>
      </c>
      <c r="B158" s="144">
        <f>VLOOKUP($A158,'Data shares'!$C:$FA,7)</f>
        <v>415.9</v>
      </c>
      <c r="C158" s="144">
        <f>VLOOKUP($A158,'Data shares'!$C:$FA,3)</f>
        <v>415.1</v>
      </c>
      <c r="D158" s="144">
        <f>VLOOKUP($A158,'Data shares'!$C:$FA,23)</f>
        <v>-0.8</v>
      </c>
      <c r="E158" s="145">
        <f>VLOOKUP($A158,'Data shares'!$C:$FA,26)*100</f>
        <v>-0.19</v>
      </c>
      <c r="F158" s="144">
        <f>VLOOKUP($A158,'Data shares'!$C:$FA,24)</f>
        <v>-0.25</v>
      </c>
      <c r="G158" s="144">
        <f>VLOOKUP($A158,'Data shares'!$C:$FA,25)</f>
        <v>-0.55000000000000004</v>
      </c>
    </row>
    <row r="159" spans="1:7" x14ac:dyDescent="0.25">
      <c r="A159" s="101" t="str">
        <f>'Data Vlaue (Cr)'!C155</f>
        <v>PGEL</v>
      </c>
      <c r="B159" s="144">
        <f>VLOOKUP($A159,'Data shares'!$C:$FA,7)</f>
        <v>532.20000000000005</v>
      </c>
      <c r="C159" s="144">
        <f>VLOOKUP($A159,'Data shares'!$C:$FA,3)</f>
        <v>531.79999999999995</v>
      </c>
      <c r="D159" s="144">
        <f>VLOOKUP($A159,'Data shares'!$C:$FA,23)</f>
        <v>-0.4</v>
      </c>
      <c r="E159" s="145">
        <f>VLOOKUP($A159,'Data shares'!$C:$FA,26)*100</f>
        <v>-0.08</v>
      </c>
      <c r="F159" s="144">
        <f>VLOOKUP($A159,'Data shares'!$C:$FA,24)</f>
        <v>1.25</v>
      </c>
      <c r="G159" s="144">
        <f>VLOOKUP($A159,'Data shares'!$C:$FA,25)</f>
        <v>-1.65</v>
      </c>
    </row>
    <row r="160" spans="1:7" x14ac:dyDescent="0.25">
      <c r="A160" s="101" t="str">
        <f>'Data Vlaue (Cr)'!C156</f>
        <v>PHOENIXLTD</v>
      </c>
      <c r="B160" s="144">
        <f>VLOOKUP($A160,'Data shares'!$C:$FA,7)</f>
        <v>1560.2</v>
      </c>
      <c r="C160" s="144">
        <f>VLOOKUP($A160,'Data shares'!$C:$FA,3)</f>
        <v>1562</v>
      </c>
      <c r="D160" s="144">
        <f>VLOOKUP($A160,'Data shares'!$C:$FA,23)</f>
        <v>1.8</v>
      </c>
      <c r="E160" s="145">
        <f>VLOOKUP($A160,'Data shares'!$C:$FA,26)*100</f>
        <v>0.12</v>
      </c>
      <c r="F160" s="144">
        <f>VLOOKUP($A160,'Data shares'!$C:$FA,24)</f>
        <v>4.5</v>
      </c>
      <c r="G160" s="144">
        <f>VLOOKUP($A160,'Data shares'!$C:$FA,25)</f>
        <v>-2.7</v>
      </c>
    </row>
    <row r="161" spans="1:7" x14ac:dyDescent="0.25">
      <c r="A161" s="101" t="str">
        <f>'Data Vlaue (Cr)'!C157</f>
        <v>PIDILITIND</v>
      </c>
      <c r="B161" s="144">
        <f>VLOOKUP($A161,'Data shares'!$C:$FA,7)</f>
        <v>1387.4</v>
      </c>
      <c r="C161" s="144">
        <f>VLOOKUP($A161,'Data shares'!$C:$FA,3)</f>
        <v>1387</v>
      </c>
      <c r="D161" s="144">
        <f>VLOOKUP($A161,'Data shares'!$C:$FA,23)</f>
        <v>-0.4</v>
      </c>
      <c r="E161" s="145">
        <f>VLOOKUP($A161,'Data shares'!$C:$FA,26)*100</f>
        <v>-0.03</v>
      </c>
      <c r="F161" s="144">
        <f>VLOOKUP($A161,'Data shares'!$C:$FA,24)</f>
        <v>-2</v>
      </c>
      <c r="G161" s="144">
        <f>VLOOKUP($A161,'Data shares'!$C:$FA,25)</f>
        <v>1.6</v>
      </c>
    </row>
    <row r="162" spans="1:7" x14ac:dyDescent="0.25">
      <c r="A162" s="101" t="str">
        <f>'Data Vlaue (Cr)'!C158</f>
        <v>PIIND</v>
      </c>
      <c r="B162" s="144">
        <f>VLOOKUP($A162,'Data shares'!$C:$FA,7)</f>
        <v>2952.4</v>
      </c>
      <c r="C162" s="144">
        <f>VLOOKUP($A162,'Data shares'!$C:$FA,3)</f>
        <v>2958.8</v>
      </c>
      <c r="D162" s="144">
        <f>VLOOKUP($A162,'Data shares'!$C:$FA,23)</f>
        <v>6.4</v>
      </c>
      <c r="E162" s="145">
        <f>VLOOKUP($A162,'Data shares'!$C:$FA,26)*100</f>
        <v>0.22</v>
      </c>
      <c r="F162" s="144">
        <f>VLOOKUP($A162,'Data shares'!$C:$FA,24)</f>
        <v>-2.5</v>
      </c>
      <c r="G162" s="144">
        <f>VLOOKUP($A162,'Data shares'!$C:$FA,25)</f>
        <v>8.9</v>
      </c>
    </row>
    <row r="163" spans="1:7" x14ac:dyDescent="0.25">
      <c r="A163" s="101" t="str">
        <f>'Data Vlaue (Cr)'!C159</f>
        <v>PNB</v>
      </c>
      <c r="B163" s="144">
        <f>VLOOKUP($A163,'Data shares'!$C:$FA,7)</f>
        <v>116.61</v>
      </c>
      <c r="C163" s="144">
        <f>VLOOKUP($A163,'Data shares'!$C:$FA,3)</f>
        <v>116.96</v>
      </c>
      <c r="D163" s="144">
        <f>VLOOKUP($A163,'Data shares'!$C:$FA,23)</f>
        <v>0.35</v>
      </c>
      <c r="E163" s="145">
        <f>VLOOKUP($A163,'Data shares'!$C:$FA,26)*100</f>
        <v>0.3</v>
      </c>
      <c r="F163" s="144">
        <f>VLOOKUP($A163,'Data shares'!$C:$FA,24)</f>
        <v>0.17</v>
      </c>
      <c r="G163" s="144">
        <f>VLOOKUP($A163,'Data shares'!$C:$FA,25)</f>
        <v>0.18</v>
      </c>
    </row>
    <row r="164" spans="1:7" x14ac:dyDescent="0.25">
      <c r="A164" s="101" t="str">
        <f>'Data Vlaue (Cr)'!C160</f>
        <v>PNBHOUSING</v>
      </c>
      <c r="B164" s="144">
        <f>VLOOKUP($A164,'Data shares'!$C:$FA,7)</f>
        <v>780.15</v>
      </c>
      <c r="C164" s="144">
        <f>VLOOKUP($A164,'Data shares'!$C:$FA,3)</f>
        <v>781.2</v>
      </c>
      <c r="D164" s="144">
        <f>VLOOKUP($A164,'Data shares'!$C:$FA,23)</f>
        <v>1.05</v>
      </c>
      <c r="E164" s="145">
        <f>VLOOKUP($A164,'Data shares'!$C:$FA,26)*100</f>
        <v>0.13</v>
      </c>
      <c r="F164" s="144">
        <f>VLOOKUP($A164,'Data shares'!$C:$FA,24)</f>
        <v>0.85</v>
      </c>
      <c r="G164" s="144">
        <f>VLOOKUP($A164,'Data shares'!$C:$FA,25)</f>
        <v>0.2</v>
      </c>
    </row>
    <row r="165" spans="1:7" x14ac:dyDescent="0.25">
      <c r="A165" s="101" t="str">
        <f>'Data Vlaue (Cr)'!C161</f>
        <v>POLICYBZR</v>
      </c>
      <c r="B165" s="144">
        <f>VLOOKUP($A165,'Data shares'!$C:$FA,7)</f>
        <v>1462.7</v>
      </c>
      <c r="C165" s="144">
        <f>VLOOKUP($A165,'Data shares'!$C:$FA,3)</f>
        <v>1463.9</v>
      </c>
      <c r="D165" s="144">
        <f>VLOOKUP($A165,'Data shares'!$C:$FA,23)</f>
        <v>1.2</v>
      </c>
      <c r="E165" s="145">
        <f>VLOOKUP($A165,'Data shares'!$C:$FA,26)*100</f>
        <v>0.08</v>
      </c>
      <c r="F165" s="144">
        <f>VLOOKUP($A165,'Data shares'!$C:$FA,24)</f>
        <v>2.6</v>
      </c>
      <c r="G165" s="144">
        <f>VLOOKUP($A165,'Data shares'!$C:$FA,25)</f>
        <v>-1.4</v>
      </c>
    </row>
    <row r="166" spans="1:7" x14ac:dyDescent="0.25">
      <c r="A166" s="101" t="str">
        <f>'Data Vlaue (Cr)'!C162</f>
        <v>POLYCAB</v>
      </c>
      <c r="B166" s="144">
        <f>VLOOKUP($A166,'Data shares'!$C:$FA,7)</f>
        <v>7455</v>
      </c>
      <c r="C166" s="144">
        <f>VLOOKUP($A166,'Data shares'!$C:$FA,3)</f>
        <v>7458</v>
      </c>
      <c r="D166" s="144">
        <f>VLOOKUP($A166,'Data shares'!$C:$FA,23)</f>
        <v>3</v>
      </c>
      <c r="E166" s="145">
        <f>VLOOKUP($A166,'Data shares'!$C:$FA,26)*100</f>
        <v>0.04</v>
      </c>
      <c r="F166" s="144">
        <f>VLOOKUP($A166,'Data shares'!$C:$FA,24)</f>
        <v>20</v>
      </c>
      <c r="G166" s="144">
        <f>VLOOKUP($A166,'Data shares'!$C:$FA,25)</f>
        <v>-17</v>
      </c>
    </row>
    <row r="167" spans="1:7" x14ac:dyDescent="0.25">
      <c r="A167" s="101" t="str">
        <f>'Data Vlaue (Cr)'!C163</f>
        <v>POWERGRID</v>
      </c>
      <c r="B167" s="144">
        <f>VLOOKUP($A167,'Data shares'!$C:$FA,7)</f>
        <v>303.60000000000002</v>
      </c>
      <c r="C167" s="144">
        <f>VLOOKUP($A167,'Data shares'!$C:$FA,3)</f>
        <v>304.60000000000002</v>
      </c>
      <c r="D167" s="144">
        <f>VLOOKUP($A167,'Data shares'!$C:$FA,23)</f>
        <v>1</v>
      </c>
      <c r="E167" s="145">
        <f>VLOOKUP($A167,'Data shares'!$C:$FA,26)*100</f>
        <v>0.33</v>
      </c>
      <c r="F167" s="144">
        <f>VLOOKUP($A167,'Data shares'!$C:$FA,24)</f>
        <v>0.4</v>
      </c>
      <c r="G167" s="144">
        <f>VLOOKUP($A167,'Data shares'!$C:$FA,25)</f>
        <v>0.6</v>
      </c>
    </row>
    <row r="168" spans="1:7" s="175" customFormat="1" x14ac:dyDescent="0.25">
      <c r="A168" s="101" t="str">
        <f>'Data Vlaue (Cr)'!C164</f>
        <v>POWERINDIA</v>
      </c>
      <c r="B168" s="144">
        <f>VLOOKUP($A168,'Data shares'!$C:$FA,7)</f>
        <v>24880</v>
      </c>
      <c r="C168" s="144">
        <f>VLOOKUP($A168,'Data shares'!$C:$FA,3)</f>
        <v>24980</v>
      </c>
      <c r="D168" s="144">
        <f>VLOOKUP($A168,'Data shares'!$C:$FA,23)</f>
        <v>100</v>
      </c>
      <c r="E168" s="145">
        <f>VLOOKUP($A168,'Data shares'!$C:$FA,26)*100</f>
        <v>0.4</v>
      </c>
      <c r="F168" s="144">
        <f>VLOOKUP($A168,'Data shares'!$C:$FA,24)</f>
        <v>50</v>
      </c>
      <c r="G168" s="144">
        <f>VLOOKUP($A168,'Data shares'!$C:$FA,25)</f>
        <v>50</v>
      </c>
    </row>
    <row r="169" spans="1:7" x14ac:dyDescent="0.25">
      <c r="A169" s="101" t="str">
        <f>'Data Vlaue (Cr)'!C165</f>
        <v>PPLPHARMA</v>
      </c>
      <c r="B169" s="144">
        <f>VLOOKUP($A169,'Data shares'!$C:$FA,7)</f>
        <v>145.54</v>
      </c>
      <c r="C169" s="144">
        <f>VLOOKUP($A169,'Data shares'!$C:$FA,3)</f>
        <v>146.11000000000001</v>
      </c>
      <c r="D169" s="144">
        <f>VLOOKUP($A169,'Data shares'!$C:$FA,23)</f>
        <v>0.56999999999999995</v>
      </c>
      <c r="E169" s="145">
        <f>VLOOKUP($A169,'Data shares'!$C:$FA,26)*100</f>
        <v>0.38999999999999996</v>
      </c>
      <c r="F169" s="144">
        <f>VLOOKUP($A169,'Data shares'!$C:$FA,24)</f>
        <v>0.49</v>
      </c>
      <c r="G169" s="144">
        <f>VLOOKUP($A169,'Data shares'!$C:$FA,25)</f>
        <v>0.08</v>
      </c>
    </row>
    <row r="170" spans="1:7" x14ac:dyDescent="0.25">
      <c r="A170" s="101" t="str">
        <f>'Data Vlaue (Cr)'!C166</f>
        <v>PREMIERENE</v>
      </c>
      <c r="B170" s="144">
        <f>VLOOKUP($A170,'Data shares'!$C:$FA,7)</f>
        <v>789.35</v>
      </c>
      <c r="C170" s="144">
        <f>VLOOKUP($A170,'Data shares'!$C:$FA,3)</f>
        <v>776.35</v>
      </c>
      <c r="D170" s="144">
        <f>VLOOKUP($A170,'Data shares'!$C:$FA,23)</f>
        <v>-13</v>
      </c>
      <c r="E170" s="145">
        <f>VLOOKUP($A170,'Data shares'!$C:$FA,26)*100</f>
        <v>-1.6500000000000001</v>
      </c>
      <c r="F170" s="144">
        <f>VLOOKUP($A170,'Data shares'!$C:$FA,24)</f>
        <v>-18.7</v>
      </c>
      <c r="G170" s="144">
        <f>VLOOKUP($A170,'Data shares'!$C:$FA,25)</f>
        <v>5.7</v>
      </c>
    </row>
    <row r="171" spans="1:7" x14ac:dyDescent="0.25">
      <c r="A171" s="101" t="str">
        <f>'Data Vlaue (Cr)'!C167</f>
        <v>PRESTIGE</v>
      </c>
      <c r="B171" s="144">
        <f>VLOOKUP($A171,'Data shares'!$C:$FA,7)</f>
        <v>1252.7</v>
      </c>
      <c r="C171" s="144">
        <f>VLOOKUP($A171,'Data shares'!$C:$FA,3)</f>
        <v>1256.4000000000001</v>
      </c>
      <c r="D171" s="144">
        <f>VLOOKUP($A171,'Data shares'!$C:$FA,23)</f>
        <v>3.7</v>
      </c>
      <c r="E171" s="145">
        <f>VLOOKUP($A171,'Data shares'!$C:$FA,26)*100</f>
        <v>0.3</v>
      </c>
      <c r="F171" s="144">
        <f>VLOOKUP($A171,'Data shares'!$C:$FA,24)</f>
        <v>4.5</v>
      </c>
      <c r="G171" s="144">
        <f>VLOOKUP($A171,'Data shares'!$C:$FA,25)</f>
        <v>-0.8</v>
      </c>
    </row>
    <row r="172" spans="1:7" x14ac:dyDescent="0.25">
      <c r="A172" s="101" t="str">
        <f>'Data Vlaue (Cr)'!C168</f>
        <v>RBLBANK</v>
      </c>
      <c r="B172" s="144">
        <f>VLOOKUP($A172,'Data shares'!$C:$FA,7)</f>
        <v>299.8</v>
      </c>
      <c r="C172" s="144">
        <f>VLOOKUP($A172,'Data shares'!$C:$FA,3)</f>
        <v>300.39999999999998</v>
      </c>
      <c r="D172" s="144">
        <f>VLOOKUP($A172,'Data shares'!$C:$FA,23)</f>
        <v>0.6</v>
      </c>
      <c r="E172" s="145">
        <f>VLOOKUP($A172,'Data shares'!$C:$FA,26)*100</f>
        <v>0.2</v>
      </c>
      <c r="F172" s="144">
        <f>VLOOKUP($A172,'Data shares'!$C:$FA,24)</f>
        <v>1.5</v>
      </c>
      <c r="G172" s="144">
        <f>VLOOKUP($A172,'Data shares'!$C:$FA,25)</f>
        <v>-0.9</v>
      </c>
    </row>
    <row r="173" spans="1:7" x14ac:dyDescent="0.25">
      <c r="A173" s="101" t="str">
        <f>'Data Vlaue (Cr)'!C169</f>
        <v>RECLTD</v>
      </c>
      <c r="B173" s="144">
        <f>VLOOKUP($A173,'Data shares'!$C:$FA,7)</f>
        <v>343.5</v>
      </c>
      <c r="C173" s="144">
        <f>VLOOKUP($A173,'Data shares'!$C:$FA,3)</f>
        <v>341.15</v>
      </c>
      <c r="D173" s="144">
        <f>VLOOKUP($A173,'Data shares'!$C:$FA,23)</f>
        <v>-2.35</v>
      </c>
      <c r="E173" s="145">
        <f>VLOOKUP($A173,'Data shares'!$C:$FA,26)*100</f>
        <v>-0.67999999999999994</v>
      </c>
      <c r="F173" s="144">
        <f>VLOOKUP($A173,'Data shares'!$C:$FA,24)</f>
        <v>-0.85</v>
      </c>
      <c r="G173" s="144">
        <f>VLOOKUP($A173,'Data shares'!$C:$FA,25)</f>
        <v>-1.5</v>
      </c>
    </row>
    <row r="174" spans="1:7" x14ac:dyDescent="0.25">
      <c r="A174" s="101" t="str">
        <f>'Data Vlaue (Cr)'!C170</f>
        <v>RELIANCE</v>
      </c>
      <c r="B174" s="144">
        <f>VLOOKUP($A174,'Data shares'!$C:$FA,7)</f>
        <v>1392.2</v>
      </c>
      <c r="C174" s="144">
        <f>VLOOKUP($A174,'Data shares'!$C:$FA,3)</f>
        <v>1397</v>
      </c>
      <c r="D174" s="144">
        <f>VLOOKUP($A174,'Data shares'!$C:$FA,23)</f>
        <v>4.8</v>
      </c>
      <c r="E174" s="145">
        <f>VLOOKUP($A174,'Data shares'!$C:$FA,26)*100</f>
        <v>0.33999999999999997</v>
      </c>
      <c r="F174" s="144">
        <f>VLOOKUP($A174,'Data shares'!$C:$FA,24)</f>
        <v>1</v>
      </c>
      <c r="G174" s="144">
        <f>VLOOKUP($A174,'Data shares'!$C:$FA,25)</f>
        <v>3.8</v>
      </c>
    </row>
    <row r="175" spans="1:7" x14ac:dyDescent="0.25">
      <c r="A175" s="101" t="str">
        <f>'Data Vlaue (Cr)'!C171</f>
        <v>RVNL</v>
      </c>
      <c r="B175" s="144">
        <f>VLOOKUP($A175,'Data shares'!$C:$FA,7)</f>
        <v>279.60000000000002</v>
      </c>
      <c r="C175" s="144">
        <f>VLOOKUP($A175,'Data shares'!$C:$FA,3)</f>
        <v>278.7</v>
      </c>
      <c r="D175" s="144">
        <f>VLOOKUP($A175,'Data shares'!$C:$FA,23)</f>
        <v>-0.9</v>
      </c>
      <c r="E175" s="145">
        <f>VLOOKUP($A175,'Data shares'!$C:$FA,26)*100</f>
        <v>-0.32</v>
      </c>
      <c r="F175" s="144">
        <f>VLOOKUP($A175,'Data shares'!$C:$FA,24)</f>
        <v>-3.05</v>
      </c>
      <c r="G175" s="144">
        <f>VLOOKUP($A175,'Data shares'!$C:$FA,25)</f>
        <v>2.15</v>
      </c>
    </row>
    <row r="176" spans="1:7" x14ac:dyDescent="0.25">
      <c r="A176" s="101" t="str">
        <f>'Data Vlaue (Cr)'!C172</f>
        <v>SAIL</v>
      </c>
      <c r="B176" s="144">
        <f>VLOOKUP($A176,'Data shares'!$C:$FA,7)</f>
        <v>153.65</v>
      </c>
      <c r="C176" s="144">
        <f>VLOOKUP($A176,'Data shares'!$C:$FA,3)</f>
        <v>153.85</v>
      </c>
      <c r="D176" s="144">
        <f>VLOOKUP($A176,'Data shares'!$C:$FA,23)</f>
        <v>0.2</v>
      </c>
      <c r="E176" s="145">
        <f>VLOOKUP($A176,'Data shares'!$C:$FA,26)*100</f>
        <v>0.13</v>
      </c>
      <c r="F176" s="144">
        <f>VLOOKUP($A176,'Data shares'!$C:$FA,24)</f>
        <v>1.17</v>
      </c>
      <c r="G176" s="144">
        <f>VLOOKUP($A176,'Data shares'!$C:$FA,25)</f>
        <v>-0.97</v>
      </c>
    </row>
    <row r="177" spans="1:7" x14ac:dyDescent="0.25">
      <c r="A177" s="101" t="str">
        <f>'Data Vlaue (Cr)'!C173</f>
        <v>SAMMAANCAP</v>
      </c>
      <c r="B177" s="144">
        <f>VLOOKUP($A177,'Data shares'!$C:$FA,7)</f>
        <v>142.41999999999999</v>
      </c>
      <c r="C177" s="144">
        <f>VLOOKUP($A177,'Data shares'!$C:$FA,3)</f>
        <v>143.08000000000001</v>
      </c>
      <c r="D177" s="144">
        <f>VLOOKUP($A177,'Data shares'!$C:$FA,23)</f>
        <v>0.66</v>
      </c>
      <c r="E177" s="145">
        <f>VLOOKUP($A177,'Data shares'!$C:$FA,26)*100</f>
        <v>0.45999999999999996</v>
      </c>
      <c r="F177" s="144">
        <f>VLOOKUP($A177,'Data shares'!$C:$FA,24)</f>
        <v>0.31</v>
      </c>
      <c r="G177" s="144">
        <f>VLOOKUP($A177,'Data shares'!$C:$FA,25)</f>
        <v>0.35</v>
      </c>
    </row>
    <row r="178" spans="1:7" x14ac:dyDescent="0.25">
      <c r="A178" s="101" t="str">
        <f>'Data Vlaue (Cr)'!C174</f>
        <v>SBICARD</v>
      </c>
      <c r="B178" s="144">
        <f>VLOOKUP($A178,'Data shares'!$C:$FA,7)</f>
        <v>710.25</v>
      </c>
      <c r="C178" s="144">
        <f>VLOOKUP($A178,'Data shares'!$C:$FA,3)</f>
        <v>685.7</v>
      </c>
      <c r="D178" s="144">
        <f>VLOOKUP($A178,'Data shares'!$C:$FA,23)</f>
        <v>-24.55</v>
      </c>
      <c r="E178" s="145">
        <f>VLOOKUP($A178,'Data shares'!$C:$FA,26)*100</f>
        <v>-3.46</v>
      </c>
      <c r="F178" s="144">
        <f>VLOOKUP($A178,'Data shares'!$C:$FA,24)</f>
        <v>-21.8</v>
      </c>
      <c r="G178" s="144">
        <f>VLOOKUP($A178,'Data shares'!$C:$FA,25)</f>
        <v>-2.75</v>
      </c>
    </row>
    <row r="179" spans="1:7" x14ac:dyDescent="0.25">
      <c r="A179" s="101" t="str">
        <f>'Data Vlaue (Cr)'!C175</f>
        <v>SBILIFE</v>
      </c>
      <c r="B179" s="144">
        <f>VLOOKUP($A179,'Data shares'!$C:$FA,7)</f>
        <v>1939.4</v>
      </c>
      <c r="C179" s="144">
        <f>VLOOKUP($A179,'Data shares'!$C:$FA,3)</f>
        <v>1941.9</v>
      </c>
      <c r="D179" s="144">
        <f>VLOOKUP($A179,'Data shares'!$C:$FA,23)</f>
        <v>2.5</v>
      </c>
      <c r="E179" s="145">
        <f>VLOOKUP($A179,'Data shares'!$C:$FA,26)*100</f>
        <v>0.13</v>
      </c>
      <c r="F179" s="144">
        <f>VLOOKUP($A179,'Data shares'!$C:$FA,24)</f>
        <v>1.2</v>
      </c>
      <c r="G179" s="144">
        <f>VLOOKUP($A179,'Data shares'!$C:$FA,25)</f>
        <v>1.3</v>
      </c>
    </row>
    <row r="180" spans="1:7" x14ac:dyDescent="0.25">
      <c r="A180" s="101" t="str">
        <f>'Data Vlaue (Cr)'!C176</f>
        <v>SBIN</v>
      </c>
      <c r="B180" s="144">
        <f>VLOOKUP($A180,'Data shares'!$C:$FA,7)</f>
        <v>1085.2</v>
      </c>
      <c r="C180" s="144">
        <f>VLOOKUP($A180,'Data shares'!$C:$FA,3)</f>
        <v>1088.9000000000001</v>
      </c>
      <c r="D180" s="144">
        <f>VLOOKUP($A180,'Data shares'!$C:$FA,23)</f>
        <v>3.7</v>
      </c>
      <c r="E180" s="145">
        <f>VLOOKUP($A180,'Data shares'!$C:$FA,26)*100</f>
        <v>0.33999999999999997</v>
      </c>
      <c r="F180" s="144">
        <f>VLOOKUP($A180,'Data shares'!$C:$FA,24)</f>
        <v>2.1</v>
      </c>
      <c r="G180" s="144">
        <f>VLOOKUP($A180,'Data shares'!$C:$FA,25)</f>
        <v>1.6</v>
      </c>
    </row>
    <row r="181" spans="1:7" x14ac:dyDescent="0.25">
      <c r="A181" s="101" t="str">
        <f>'Data Vlaue (Cr)'!C177</f>
        <v>SHREECEM</v>
      </c>
      <c r="B181" s="144">
        <f>VLOOKUP($A181,'Data shares'!$C:$FA,7)</f>
        <v>23500</v>
      </c>
      <c r="C181" s="144">
        <f>VLOOKUP($A181,'Data shares'!$C:$FA,3)</f>
        <v>23515</v>
      </c>
      <c r="D181" s="144">
        <f>VLOOKUP($A181,'Data shares'!$C:$FA,23)</f>
        <v>15</v>
      </c>
      <c r="E181" s="145">
        <f>VLOOKUP($A181,'Data shares'!$C:$FA,26)*100</f>
        <v>0.06</v>
      </c>
      <c r="F181" s="144">
        <f>VLOOKUP($A181,'Data shares'!$C:$FA,24)</f>
        <v>-80</v>
      </c>
      <c r="G181" s="144">
        <f>VLOOKUP($A181,'Data shares'!$C:$FA,25)</f>
        <v>95</v>
      </c>
    </row>
    <row r="182" spans="1:7" x14ac:dyDescent="0.25">
      <c r="A182" s="101" t="str">
        <f>'Data Vlaue (Cr)'!C178</f>
        <v>SHRIRAMFIN</v>
      </c>
      <c r="B182" s="144">
        <f>VLOOKUP($A182,'Data shares'!$C:$FA,7)</f>
        <v>1031.7</v>
      </c>
      <c r="C182" s="144">
        <f>VLOOKUP($A182,'Data shares'!$C:$FA,3)</f>
        <v>1035.5</v>
      </c>
      <c r="D182" s="144">
        <f>VLOOKUP($A182,'Data shares'!$C:$FA,23)</f>
        <v>3.8</v>
      </c>
      <c r="E182" s="145">
        <f>VLOOKUP($A182,'Data shares'!$C:$FA,26)*100</f>
        <v>0.37</v>
      </c>
      <c r="F182" s="144">
        <f>VLOOKUP($A182,'Data shares'!$C:$FA,24)</f>
        <v>4.2</v>
      </c>
      <c r="G182" s="144">
        <f>VLOOKUP($A182,'Data shares'!$C:$FA,25)</f>
        <v>-0.4</v>
      </c>
    </row>
    <row r="183" spans="1:7" x14ac:dyDescent="0.25">
      <c r="A183" s="101" t="str">
        <f>'Data Vlaue (Cr)'!C179</f>
        <v>SIEMENS</v>
      </c>
      <c r="B183" s="144">
        <f>VLOOKUP($A183,'Data shares'!$C:$FA,7)</f>
        <v>3324.7</v>
      </c>
      <c r="C183" s="144">
        <f>VLOOKUP($A183,'Data shares'!$C:$FA,3)</f>
        <v>3319.3</v>
      </c>
      <c r="D183" s="144">
        <f>VLOOKUP($A183,'Data shares'!$C:$FA,23)</f>
        <v>-5.4</v>
      </c>
      <c r="E183" s="145">
        <f>VLOOKUP($A183,'Data shares'!$C:$FA,26)*100</f>
        <v>-0.16</v>
      </c>
      <c r="F183" s="144">
        <f>VLOOKUP($A183,'Data shares'!$C:$FA,24)</f>
        <v>-1.1000000000000001</v>
      </c>
      <c r="G183" s="144">
        <f>VLOOKUP($A183,'Data shares'!$C:$FA,25)</f>
        <v>-4.3</v>
      </c>
    </row>
    <row r="184" spans="1:7" x14ac:dyDescent="0.25">
      <c r="A184" s="101" t="str">
        <f>'Data Vlaue (Cr)'!C180</f>
        <v>SOLARINDS</v>
      </c>
      <c r="B184" s="144">
        <f>VLOOKUP($A184,'Data shares'!$C:$FA,7)</f>
        <v>14525</v>
      </c>
      <c r="C184" s="144">
        <f>VLOOKUP($A184,'Data shares'!$C:$FA,3)</f>
        <v>14547</v>
      </c>
      <c r="D184" s="144">
        <f>VLOOKUP($A184,'Data shares'!$C:$FA,23)</f>
        <v>22</v>
      </c>
      <c r="E184" s="145">
        <f>VLOOKUP($A184,'Data shares'!$C:$FA,26)*100</f>
        <v>0.15</v>
      </c>
      <c r="F184" s="144">
        <f>VLOOKUP($A184,'Data shares'!$C:$FA,24)</f>
        <v>48</v>
      </c>
      <c r="G184" s="144">
        <f>VLOOKUP($A184,'Data shares'!$C:$FA,25)</f>
        <v>-26</v>
      </c>
    </row>
    <row r="185" spans="1:7" x14ac:dyDescent="0.25">
      <c r="A185" s="101" t="str">
        <f>'Data Vlaue (Cr)'!C181</f>
        <v>SONACOMS</v>
      </c>
      <c r="B185" s="144">
        <f>VLOOKUP($A185,'Data shares'!$C:$FA,7)</f>
        <v>510.3</v>
      </c>
      <c r="C185" s="144">
        <f>VLOOKUP($A185,'Data shares'!$C:$FA,3)</f>
        <v>511.35</v>
      </c>
      <c r="D185" s="144">
        <f>VLOOKUP($A185,'Data shares'!$C:$FA,23)</f>
        <v>1.05</v>
      </c>
      <c r="E185" s="145">
        <f>VLOOKUP($A185,'Data shares'!$C:$FA,26)*100</f>
        <v>0.21</v>
      </c>
      <c r="F185" s="144">
        <f>VLOOKUP($A185,'Data shares'!$C:$FA,24)</f>
        <v>1.05</v>
      </c>
      <c r="G185" s="144">
        <f>VLOOKUP($A185,'Data shares'!$C:$FA,25)</f>
        <v>0</v>
      </c>
    </row>
    <row r="186" spans="1:7" x14ac:dyDescent="0.25">
      <c r="A186" s="101" t="str">
        <f>'Data Vlaue (Cr)'!C182</f>
        <v>SRF</v>
      </c>
      <c r="B186" s="144">
        <f>VLOOKUP($A186,'Data shares'!$C:$FA,7)</f>
        <v>2626.3</v>
      </c>
      <c r="C186" s="144">
        <f>VLOOKUP($A186,'Data shares'!$C:$FA,3)</f>
        <v>2626.9</v>
      </c>
      <c r="D186" s="144">
        <f>VLOOKUP($A186,'Data shares'!$C:$FA,23)</f>
        <v>0.6</v>
      </c>
      <c r="E186" s="145">
        <f>VLOOKUP($A186,'Data shares'!$C:$FA,26)*100</f>
        <v>0.02</v>
      </c>
      <c r="F186" s="144">
        <f>VLOOKUP($A186,'Data shares'!$C:$FA,24)</f>
        <v>0.3</v>
      </c>
      <c r="G186" s="144">
        <f>VLOOKUP($A186,'Data shares'!$C:$FA,25)</f>
        <v>0.3</v>
      </c>
    </row>
    <row r="187" spans="1:7" x14ac:dyDescent="0.25">
      <c r="A187" s="101" t="str">
        <f>'Data Vlaue (Cr)'!C183</f>
        <v>SUNPHARMA</v>
      </c>
      <c r="B187" s="144">
        <f>VLOOKUP($A187,'Data shares'!$C:$FA,7)</f>
        <v>1825.3</v>
      </c>
      <c r="C187" s="144">
        <f>VLOOKUP($A187,'Data shares'!$C:$FA,3)</f>
        <v>1827.7</v>
      </c>
      <c r="D187" s="144">
        <f>VLOOKUP($A187,'Data shares'!$C:$FA,23)</f>
        <v>2.4</v>
      </c>
      <c r="E187" s="145">
        <f>VLOOKUP($A187,'Data shares'!$C:$FA,26)*100</f>
        <v>0.13</v>
      </c>
      <c r="F187" s="144">
        <f>VLOOKUP($A187,'Data shares'!$C:$FA,24)</f>
        <v>1.7</v>
      </c>
      <c r="G187" s="144">
        <f>VLOOKUP($A187,'Data shares'!$C:$FA,25)</f>
        <v>0.7</v>
      </c>
    </row>
    <row r="188" spans="1:7" x14ac:dyDescent="0.25">
      <c r="A188" s="101" t="str">
        <f>'Data Vlaue (Cr)'!C184</f>
        <v>SUPREMEIND</v>
      </c>
      <c r="B188" s="144">
        <f>VLOOKUP($A188,'Data shares'!$C:$FA,7)</f>
        <v>4043.7</v>
      </c>
      <c r="C188" s="144">
        <f>VLOOKUP($A188,'Data shares'!$C:$FA,3)</f>
        <v>4029.8</v>
      </c>
      <c r="D188" s="144">
        <f>VLOOKUP($A188,'Data shares'!$C:$FA,23)</f>
        <v>-13.9</v>
      </c>
      <c r="E188" s="145">
        <f>VLOOKUP($A188,'Data shares'!$C:$FA,26)*100</f>
        <v>-0.33999999999999997</v>
      </c>
      <c r="F188" s="144">
        <f>VLOOKUP($A188,'Data shares'!$C:$FA,24)</f>
        <v>-0.7</v>
      </c>
      <c r="G188" s="144">
        <f>VLOOKUP($A188,'Data shares'!$C:$FA,25)</f>
        <v>-13.2</v>
      </c>
    </row>
    <row r="189" spans="1:7" x14ac:dyDescent="0.25">
      <c r="A189" s="101" t="str">
        <f>'Data Vlaue (Cr)'!C185</f>
        <v>SUZLON</v>
      </c>
      <c r="B189" s="144">
        <f>VLOOKUP($A189,'Data shares'!$C:$FA,7)</f>
        <v>42.43</v>
      </c>
      <c r="C189" s="144">
        <f>VLOOKUP($A189,'Data shares'!$C:$FA,3)</f>
        <v>42.5</v>
      </c>
      <c r="D189" s="144">
        <f>VLOOKUP($A189,'Data shares'!$C:$FA,23)</f>
        <v>7.0000000000000007E-2</v>
      </c>
      <c r="E189" s="145">
        <f>VLOOKUP($A189,'Data shares'!$C:$FA,26)*100</f>
        <v>0.16</v>
      </c>
      <c r="F189" s="144">
        <f>VLOOKUP($A189,'Data shares'!$C:$FA,24)</f>
        <v>0.05</v>
      </c>
      <c r="G189" s="144">
        <f>VLOOKUP($A189,'Data shares'!$C:$FA,25)</f>
        <v>0.02</v>
      </c>
    </row>
    <row r="190" spans="1:7" x14ac:dyDescent="0.25">
      <c r="A190" s="101" t="str">
        <f>'Data Vlaue (Cr)'!C186</f>
        <v>SWIGGY</v>
      </c>
      <c r="B190" s="144">
        <f>VLOOKUP($A190,'Data shares'!$C:$FA,7)</f>
        <v>280.89999999999998</v>
      </c>
      <c r="C190" s="144">
        <f>VLOOKUP($A190,'Data shares'!$C:$FA,3)</f>
        <v>280.75</v>
      </c>
      <c r="D190" s="144">
        <f>VLOOKUP($A190,'Data shares'!$C:$FA,23)</f>
        <v>-0.15</v>
      </c>
      <c r="E190" s="145">
        <f>VLOOKUP($A190,'Data shares'!$C:$FA,26)*100</f>
        <v>-0.05</v>
      </c>
      <c r="F190" s="144">
        <f>VLOOKUP($A190,'Data shares'!$C:$FA,24)</f>
        <v>-0.05</v>
      </c>
      <c r="G190" s="144">
        <f>VLOOKUP($A190,'Data shares'!$C:$FA,25)</f>
        <v>-0.1</v>
      </c>
    </row>
    <row r="191" spans="1:7" x14ac:dyDescent="0.25">
      <c r="A191" s="101" t="str">
        <f>'Data Vlaue (Cr)'!C187</f>
        <v>SYNGENE</v>
      </c>
      <c r="B191" s="144">
        <f>VLOOKUP($A191,'Data shares'!$C:$FA,7)</f>
        <v>404.1</v>
      </c>
      <c r="C191" s="144">
        <f>VLOOKUP($A191,'Data shares'!$C:$FA,3)</f>
        <v>404.75</v>
      </c>
      <c r="D191" s="144">
        <f>VLOOKUP($A191,'Data shares'!$C:$FA,23)</f>
        <v>0.65</v>
      </c>
      <c r="E191" s="145">
        <f>VLOOKUP($A191,'Data shares'!$C:$FA,26)*100</f>
        <v>0.16</v>
      </c>
      <c r="F191" s="144">
        <f>VLOOKUP($A191,'Data shares'!$C:$FA,24)</f>
        <v>-0.25</v>
      </c>
      <c r="G191" s="144">
        <f>VLOOKUP($A191,'Data shares'!$C:$FA,25)</f>
        <v>0.9</v>
      </c>
    </row>
    <row r="192" spans="1:7" x14ac:dyDescent="0.25">
      <c r="A192" s="101" t="str">
        <f>'Data Vlaue (Cr)'!C188</f>
        <v>TATACONSUM</v>
      </c>
      <c r="B192" s="144">
        <f>VLOOKUP($A192,'Data shares'!$C:$FA,7)</f>
        <v>1057.8</v>
      </c>
      <c r="C192" s="144">
        <f>VLOOKUP($A192,'Data shares'!$C:$FA,3)</f>
        <v>1061.5</v>
      </c>
      <c r="D192" s="144">
        <f>VLOOKUP($A192,'Data shares'!$C:$FA,23)</f>
        <v>3.7</v>
      </c>
      <c r="E192" s="145">
        <f>VLOOKUP($A192,'Data shares'!$C:$FA,26)*100</f>
        <v>0.35000000000000003</v>
      </c>
      <c r="F192" s="144">
        <f>VLOOKUP($A192,'Data shares'!$C:$FA,24)</f>
        <v>3.2</v>
      </c>
      <c r="G192" s="144">
        <f>VLOOKUP($A192,'Data shares'!$C:$FA,25)</f>
        <v>0.5</v>
      </c>
    </row>
    <row r="193" spans="1:7" x14ac:dyDescent="0.25">
      <c r="A193" s="101" t="str">
        <f>'Data Vlaue (Cr)'!C189</f>
        <v>TATAELXSI</v>
      </c>
      <c r="B193" s="144">
        <f>VLOOKUP($A193,'Data shares'!$C:$FA,7)</f>
        <v>4330</v>
      </c>
      <c r="C193" s="144">
        <f>VLOOKUP($A193,'Data shares'!$C:$FA,3)</f>
        <v>4312.3999999999996</v>
      </c>
      <c r="D193" s="144">
        <f>VLOOKUP($A193,'Data shares'!$C:$FA,23)</f>
        <v>-17.600000000000001</v>
      </c>
      <c r="E193" s="145">
        <f>VLOOKUP($A193,'Data shares'!$C:$FA,26)*100</f>
        <v>-0.41000000000000003</v>
      </c>
      <c r="F193" s="144">
        <f>VLOOKUP($A193,'Data shares'!$C:$FA,24)</f>
        <v>-8.6999999999999993</v>
      </c>
      <c r="G193" s="144">
        <f>VLOOKUP($A193,'Data shares'!$C:$FA,25)</f>
        <v>-8.9</v>
      </c>
    </row>
    <row r="194" spans="1:7" x14ac:dyDescent="0.25">
      <c r="A194" s="101" t="str">
        <f>'Data Vlaue (Cr)'!C190</f>
        <v>TATAPOWER</v>
      </c>
      <c r="B194" s="144">
        <f>VLOOKUP($A194,'Data shares'!$C:$FA,7)</f>
        <v>402.15</v>
      </c>
      <c r="C194" s="144">
        <f>VLOOKUP($A194,'Data shares'!$C:$FA,3)</f>
        <v>403.6</v>
      </c>
      <c r="D194" s="144">
        <f>VLOOKUP($A194,'Data shares'!$C:$FA,23)</f>
        <v>1.45</v>
      </c>
      <c r="E194" s="145">
        <f>VLOOKUP($A194,'Data shares'!$C:$FA,26)*100</f>
        <v>0.36</v>
      </c>
      <c r="F194" s="144">
        <f>VLOOKUP($A194,'Data shares'!$C:$FA,24)</f>
        <v>1.1499999999999999</v>
      </c>
      <c r="G194" s="144">
        <f>VLOOKUP($A194,'Data shares'!$C:$FA,25)</f>
        <v>0.3</v>
      </c>
    </row>
    <row r="195" spans="1:7" x14ac:dyDescent="0.25">
      <c r="A195" s="101" t="str">
        <f>'Data Vlaue (Cr)'!C191</f>
        <v>TATASTEEL</v>
      </c>
      <c r="B195" s="144">
        <f>VLOOKUP($A195,'Data shares'!$C:$FA,7)</f>
        <v>193.47</v>
      </c>
      <c r="C195" s="144">
        <f>VLOOKUP($A195,'Data shares'!$C:$FA,3)</f>
        <v>193.92</v>
      </c>
      <c r="D195" s="144">
        <f>VLOOKUP($A195,'Data shares'!$C:$FA,23)</f>
        <v>0.45</v>
      </c>
      <c r="E195" s="145">
        <f>VLOOKUP($A195,'Data shares'!$C:$FA,26)*100</f>
        <v>0.22999999999999998</v>
      </c>
      <c r="F195" s="144">
        <f>VLOOKUP($A195,'Data shares'!$C:$FA,24)</f>
        <v>0.25</v>
      </c>
      <c r="G195" s="144">
        <f>VLOOKUP($A195,'Data shares'!$C:$FA,25)</f>
        <v>0.2</v>
      </c>
    </row>
    <row r="196" spans="1:7" x14ac:dyDescent="0.25">
      <c r="A196" s="101" t="str">
        <f>'Data Vlaue (Cr)'!C192</f>
        <v>TATATECH</v>
      </c>
      <c r="B196" s="144">
        <f>VLOOKUP($A196,'Data shares'!$C:$FA,7)</f>
        <v>551.85</v>
      </c>
      <c r="C196" s="144">
        <f>VLOOKUP($A196,'Data shares'!$C:$FA,3)</f>
        <v>554.29999999999995</v>
      </c>
      <c r="D196" s="144">
        <f>VLOOKUP($A196,'Data shares'!$C:$FA,23)</f>
        <v>2.4500000000000002</v>
      </c>
      <c r="E196" s="145">
        <f>VLOOKUP($A196,'Data shares'!$C:$FA,26)*100</f>
        <v>0.44</v>
      </c>
      <c r="F196" s="144">
        <f>VLOOKUP($A196,'Data shares'!$C:$FA,24)</f>
        <v>0.75</v>
      </c>
      <c r="G196" s="144">
        <f>VLOOKUP($A196,'Data shares'!$C:$FA,25)</f>
        <v>1.7</v>
      </c>
    </row>
    <row r="197" spans="1:7" x14ac:dyDescent="0.25">
      <c r="A197" s="101" t="str">
        <f>'Data Vlaue (Cr)'!C193</f>
        <v>TCS</v>
      </c>
      <c r="B197" s="144">
        <f>VLOOKUP($A197,'Data shares'!$C:$FA,7)</f>
        <v>2442.4</v>
      </c>
      <c r="C197" s="144">
        <f>VLOOKUP($A197,'Data shares'!$C:$FA,3)</f>
        <v>2453</v>
      </c>
      <c r="D197" s="144">
        <f>VLOOKUP($A197,'Data shares'!$C:$FA,23)</f>
        <v>10.6</v>
      </c>
      <c r="E197" s="145">
        <f>VLOOKUP($A197,'Data shares'!$C:$FA,26)*100</f>
        <v>0.43</v>
      </c>
      <c r="F197" s="144">
        <f>VLOOKUP($A197,'Data shares'!$C:$FA,24)</f>
        <v>5.4</v>
      </c>
      <c r="G197" s="144">
        <f>VLOOKUP($A197,'Data shares'!$C:$FA,25)</f>
        <v>5.2</v>
      </c>
    </row>
    <row r="198" spans="1:7" x14ac:dyDescent="0.25">
      <c r="A198" s="101" t="str">
        <f>'Data Vlaue (Cr)'!C194</f>
        <v>TECHM</v>
      </c>
      <c r="B198" s="144">
        <f>VLOOKUP($A198,'Data shares'!$C:$FA,7)</f>
        <v>1349.8</v>
      </c>
      <c r="C198" s="144">
        <f>VLOOKUP($A198,'Data shares'!$C:$FA,3)</f>
        <v>1351.3</v>
      </c>
      <c r="D198" s="144">
        <f>VLOOKUP($A198,'Data shares'!$C:$FA,23)</f>
        <v>1.5</v>
      </c>
      <c r="E198" s="145">
        <f>VLOOKUP($A198,'Data shares'!$C:$FA,26)*100</f>
        <v>0.11</v>
      </c>
      <c r="F198" s="144">
        <f>VLOOKUP($A198,'Data shares'!$C:$FA,24)</f>
        <v>1.2</v>
      </c>
      <c r="G198" s="144">
        <f>VLOOKUP($A198,'Data shares'!$C:$FA,25)</f>
        <v>0.3</v>
      </c>
    </row>
    <row r="199" spans="1:7" x14ac:dyDescent="0.25">
      <c r="A199" s="101" t="str">
        <f>'Data Vlaue (Cr)'!C195</f>
        <v>TIINDIA</v>
      </c>
      <c r="B199" s="144">
        <f>VLOOKUP($A199,'Data shares'!$C:$FA,7)</f>
        <v>2549.6999999999998</v>
      </c>
      <c r="C199" s="144">
        <f>VLOOKUP($A199,'Data shares'!$C:$FA,3)</f>
        <v>2550.1999999999998</v>
      </c>
      <c r="D199" s="144">
        <f>VLOOKUP($A199,'Data shares'!$C:$FA,23)</f>
        <v>0.5</v>
      </c>
      <c r="E199" s="145">
        <f>VLOOKUP($A199,'Data shares'!$C:$FA,26)*100</f>
        <v>0.02</v>
      </c>
      <c r="F199" s="144">
        <f>VLOOKUP($A199,'Data shares'!$C:$FA,24)</f>
        <v>2.6</v>
      </c>
      <c r="G199" s="144">
        <f>VLOOKUP($A199,'Data shares'!$C:$FA,25)</f>
        <v>-2.1</v>
      </c>
    </row>
    <row r="200" spans="1:7" x14ac:dyDescent="0.25">
      <c r="A200" s="101" t="str">
        <f>'Data Vlaue (Cr)'!C196</f>
        <v>TITAN</v>
      </c>
      <c r="B200" s="144">
        <f>VLOOKUP($A200,'Data shares'!$C:$FA,7)</f>
        <v>4129.6000000000004</v>
      </c>
      <c r="C200" s="144">
        <f>VLOOKUP($A200,'Data shares'!$C:$FA,3)</f>
        <v>4145.6000000000004</v>
      </c>
      <c r="D200" s="144">
        <f>VLOOKUP($A200,'Data shares'!$C:$FA,23)</f>
        <v>16</v>
      </c>
      <c r="E200" s="145">
        <f>VLOOKUP($A200,'Data shares'!$C:$FA,26)*100</f>
        <v>0.38999999999999996</v>
      </c>
      <c r="F200" s="144">
        <f>VLOOKUP($A200,'Data shares'!$C:$FA,24)</f>
        <v>3.3</v>
      </c>
      <c r="G200" s="144">
        <f>VLOOKUP($A200,'Data shares'!$C:$FA,25)</f>
        <v>12.7</v>
      </c>
    </row>
    <row r="201" spans="1:7" x14ac:dyDescent="0.25">
      <c r="A201" s="101" t="str">
        <f>'Data Vlaue (Cr)'!C197</f>
        <v>TMPV</v>
      </c>
      <c r="B201" s="144">
        <f>VLOOKUP($A201,'Data shares'!$C:$FA,7)</f>
        <v>324.55</v>
      </c>
      <c r="C201" s="144">
        <f>VLOOKUP($A201,'Data shares'!$C:$FA,3)</f>
        <v>325.45</v>
      </c>
      <c r="D201" s="144">
        <f>VLOOKUP($A201,'Data shares'!$C:$FA,23)</f>
        <v>0.9</v>
      </c>
      <c r="E201" s="145">
        <f>VLOOKUP($A201,'Data shares'!$C:$FA,26)*100</f>
        <v>0.27999999999999997</v>
      </c>
      <c r="F201" s="144">
        <f>VLOOKUP($A201,'Data shares'!$C:$FA,24)</f>
        <v>0.9</v>
      </c>
      <c r="G201" s="144">
        <f>VLOOKUP($A201,'Data shares'!$C:$FA,25)</f>
        <v>0</v>
      </c>
    </row>
    <row r="202" spans="1:7" x14ac:dyDescent="0.25">
      <c r="A202" s="101" t="str">
        <f>'Data Vlaue (Cr)'!C198</f>
        <v>TORNTPHARM</v>
      </c>
      <c r="B202" s="144">
        <f>VLOOKUP($A202,'Data shares'!$C:$FA,7)</f>
        <v>4446</v>
      </c>
      <c r="C202" s="144">
        <f>VLOOKUP($A202,'Data shares'!$C:$FA,3)</f>
        <v>4442.8</v>
      </c>
      <c r="D202" s="144">
        <f>VLOOKUP($A202,'Data shares'!$C:$FA,23)</f>
        <v>-3.2</v>
      </c>
      <c r="E202" s="145">
        <f>VLOOKUP($A202,'Data shares'!$C:$FA,26)*100</f>
        <v>-6.9999999999999993E-2</v>
      </c>
      <c r="F202" s="144">
        <f>VLOOKUP($A202,'Data shares'!$C:$FA,24)</f>
        <v>7.5</v>
      </c>
      <c r="G202" s="144">
        <f>VLOOKUP($A202,'Data shares'!$C:$FA,25)</f>
        <v>-10.7</v>
      </c>
    </row>
    <row r="203" spans="1:7" x14ac:dyDescent="0.25">
      <c r="A203" s="101" t="str">
        <f>'Data Vlaue (Cr)'!C199</f>
        <v>TORNTPOWER</v>
      </c>
      <c r="B203" s="144">
        <f>VLOOKUP($A203,'Data shares'!$C:$FA,7)</f>
        <v>1506</v>
      </c>
      <c r="C203" s="144">
        <f>VLOOKUP($A203,'Data shares'!$C:$FA,3)</f>
        <v>1503.2</v>
      </c>
      <c r="D203" s="144">
        <f>VLOOKUP($A203,'Data shares'!$C:$FA,23)</f>
        <v>-2.8</v>
      </c>
      <c r="E203" s="145">
        <f>VLOOKUP($A203,'Data shares'!$C:$FA,26)*100</f>
        <v>-0.19</v>
      </c>
      <c r="F203" s="144">
        <f>VLOOKUP($A203,'Data shares'!$C:$FA,24)</f>
        <v>4.3</v>
      </c>
      <c r="G203" s="144">
        <f>VLOOKUP($A203,'Data shares'!$C:$FA,25)</f>
        <v>-7.1</v>
      </c>
    </row>
    <row r="204" spans="1:7" x14ac:dyDescent="0.25">
      <c r="A204" s="101" t="str">
        <f>'Data Vlaue (Cr)'!C200</f>
        <v>TRENT</v>
      </c>
      <c r="B204" s="144">
        <f>VLOOKUP($A204,'Data shares'!$C:$FA,7)</f>
        <v>3533.6</v>
      </c>
      <c r="C204" s="144">
        <f>VLOOKUP($A204,'Data shares'!$C:$FA,3)</f>
        <v>3537.1</v>
      </c>
      <c r="D204" s="144">
        <f>VLOOKUP($A204,'Data shares'!$C:$FA,23)</f>
        <v>3.5</v>
      </c>
      <c r="E204" s="145">
        <f>VLOOKUP($A204,'Data shares'!$C:$FA,26)*100</f>
        <v>0.1</v>
      </c>
      <c r="F204" s="144">
        <f>VLOOKUP($A204,'Data shares'!$C:$FA,24)</f>
        <v>1.9</v>
      </c>
      <c r="G204" s="144">
        <f>VLOOKUP($A204,'Data shares'!$C:$FA,25)</f>
        <v>1.6</v>
      </c>
    </row>
    <row r="205" spans="1:7" x14ac:dyDescent="0.25">
      <c r="A205" s="101" t="str">
        <f>'Data Vlaue (Cr)'!C201</f>
        <v>TVSMOTOR</v>
      </c>
      <c r="B205" s="144">
        <f>VLOOKUP($A205,'Data shares'!$C:$FA,7)</f>
        <v>3422.6</v>
      </c>
      <c r="C205" s="144">
        <f>VLOOKUP($A205,'Data shares'!$C:$FA,3)</f>
        <v>3426.6</v>
      </c>
      <c r="D205" s="144">
        <f>VLOOKUP($A205,'Data shares'!$C:$FA,23)</f>
        <v>4</v>
      </c>
      <c r="E205" s="145">
        <f>VLOOKUP($A205,'Data shares'!$C:$FA,26)*100</f>
        <v>0.12</v>
      </c>
      <c r="F205" s="144">
        <f>VLOOKUP($A205,'Data shares'!$C:$FA,24)</f>
        <v>-3.6</v>
      </c>
      <c r="G205" s="144">
        <f>VLOOKUP($A205,'Data shares'!$C:$FA,25)</f>
        <v>7.6</v>
      </c>
    </row>
    <row r="206" spans="1:7" x14ac:dyDescent="0.25">
      <c r="A206" s="101" t="str">
        <f>'Data Vlaue (Cr)'!C202</f>
        <v>ULTRACEMCO</v>
      </c>
      <c r="B206" s="144">
        <f>VLOOKUP($A206,'Data shares'!$C:$FA,7)</f>
        <v>11089</v>
      </c>
      <c r="C206" s="144">
        <f>VLOOKUP($A206,'Data shares'!$C:$FA,3)</f>
        <v>11130</v>
      </c>
      <c r="D206" s="144">
        <f>VLOOKUP($A206,'Data shares'!$C:$FA,23)</f>
        <v>41</v>
      </c>
      <c r="E206" s="145">
        <f>VLOOKUP($A206,'Data shares'!$C:$FA,26)*100</f>
        <v>0.37</v>
      </c>
      <c r="F206" s="144">
        <f>VLOOKUP($A206,'Data shares'!$C:$FA,24)</f>
        <v>10</v>
      </c>
      <c r="G206" s="144">
        <f>VLOOKUP($A206,'Data shares'!$C:$FA,25)</f>
        <v>31</v>
      </c>
    </row>
    <row r="207" spans="1:7" x14ac:dyDescent="0.25">
      <c r="A207" s="101" t="str">
        <f>'Data Vlaue (Cr)'!C203</f>
        <v>UNIONBANK</v>
      </c>
      <c r="B207" s="144">
        <f>VLOOKUP($A207,'Data shares'!$C:$FA,7)</f>
        <v>182.1</v>
      </c>
      <c r="C207" s="144">
        <f>VLOOKUP($A207,'Data shares'!$C:$FA,3)</f>
        <v>182.7</v>
      </c>
      <c r="D207" s="144">
        <f>VLOOKUP($A207,'Data shares'!$C:$FA,23)</f>
        <v>0.6</v>
      </c>
      <c r="E207" s="145">
        <f>VLOOKUP($A207,'Data shares'!$C:$FA,26)*100</f>
        <v>0.33</v>
      </c>
      <c r="F207" s="144">
        <f>VLOOKUP($A207,'Data shares'!$C:$FA,24)</f>
        <v>0.63</v>
      </c>
      <c r="G207" s="144">
        <f>VLOOKUP($A207,'Data shares'!$C:$FA,25)</f>
        <v>-0.03</v>
      </c>
    </row>
    <row r="208" spans="1:7" x14ac:dyDescent="0.25">
      <c r="A208" s="101" t="str">
        <f>'Data Vlaue (Cr)'!C204</f>
        <v>UNITDSPR</v>
      </c>
      <c r="B208" s="144">
        <f>VLOOKUP($A208,'Data shares'!$C:$FA,7)</f>
        <v>1363.5</v>
      </c>
      <c r="C208" s="144">
        <f>VLOOKUP($A208,'Data shares'!$C:$FA,3)</f>
        <v>1365</v>
      </c>
      <c r="D208" s="144">
        <f>VLOOKUP($A208,'Data shares'!$C:$FA,23)</f>
        <v>1.5</v>
      </c>
      <c r="E208" s="145">
        <f>VLOOKUP($A208,'Data shares'!$C:$FA,26)*100</f>
        <v>0.11</v>
      </c>
      <c r="F208" s="144">
        <f>VLOOKUP($A208,'Data shares'!$C:$FA,24)</f>
        <v>4</v>
      </c>
      <c r="G208" s="144">
        <f>VLOOKUP($A208,'Data shares'!$C:$FA,25)</f>
        <v>-2.5</v>
      </c>
    </row>
    <row r="209" spans="1:7" x14ac:dyDescent="0.25">
      <c r="A209" s="101" t="str">
        <f>'Data Vlaue (Cr)'!C205</f>
        <v>UNOMINDA</v>
      </c>
      <c r="B209" s="144">
        <f>VLOOKUP($A209,'Data shares'!$C:$FA,7)</f>
        <v>1068.5</v>
      </c>
      <c r="C209" s="144">
        <f>VLOOKUP($A209,'Data shares'!$C:$FA,3)</f>
        <v>1069.5</v>
      </c>
      <c r="D209" s="144">
        <f>VLOOKUP($A209,'Data shares'!$C:$FA,23)</f>
        <v>1</v>
      </c>
      <c r="E209" s="145">
        <f>VLOOKUP($A209,'Data shares'!$C:$FA,26)*100</f>
        <v>0.09</v>
      </c>
      <c r="F209" s="144">
        <f>VLOOKUP($A209,'Data shares'!$C:$FA,24)</f>
        <v>0.9</v>
      </c>
      <c r="G209" s="144">
        <f>VLOOKUP($A209,'Data shares'!$C:$FA,25)</f>
        <v>0.1</v>
      </c>
    </row>
    <row r="210" spans="1:7" x14ac:dyDescent="0.25">
      <c r="A210" s="101" t="str">
        <f>'Data Vlaue (Cr)'!C206</f>
        <v>UPL</v>
      </c>
      <c r="B210" s="144">
        <f>VLOOKUP($A210,'Data shares'!$C:$FA,7)</f>
        <v>629.04999999999995</v>
      </c>
      <c r="C210" s="144">
        <f>VLOOKUP($A210,'Data shares'!$C:$FA,3)</f>
        <v>629.70000000000005</v>
      </c>
      <c r="D210" s="144">
        <f>VLOOKUP($A210,'Data shares'!$C:$FA,23)</f>
        <v>0.65</v>
      </c>
      <c r="E210" s="145">
        <f>VLOOKUP($A210,'Data shares'!$C:$FA,26)*100</f>
        <v>0.1</v>
      </c>
      <c r="F210" s="144">
        <f>VLOOKUP($A210,'Data shares'!$C:$FA,24)</f>
        <v>0.4</v>
      </c>
      <c r="G210" s="144">
        <f>VLOOKUP($A210,'Data shares'!$C:$FA,25)</f>
        <v>0.25</v>
      </c>
    </row>
    <row r="211" spans="1:7" x14ac:dyDescent="0.25">
      <c r="A211" s="101" t="str">
        <f>'Data Vlaue (Cr)'!C207</f>
        <v>VBL</v>
      </c>
      <c r="B211" s="144">
        <f>VLOOKUP($A211,'Data shares'!$C:$FA,7)</f>
        <v>411.05</v>
      </c>
      <c r="C211" s="144">
        <f>VLOOKUP($A211,'Data shares'!$C:$FA,3)</f>
        <v>412.05</v>
      </c>
      <c r="D211" s="144">
        <f>VLOOKUP($A211,'Data shares'!$C:$FA,23)</f>
        <v>1</v>
      </c>
      <c r="E211" s="145">
        <f>VLOOKUP($A211,'Data shares'!$C:$FA,26)*100</f>
        <v>0.24</v>
      </c>
      <c r="F211" s="144">
        <f>VLOOKUP($A211,'Data shares'!$C:$FA,24)</f>
        <v>0.15</v>
      </c>
      <c r="G211" s="144">
        <f>VLOOKUP($A211,'Data shares'!$C:$FA,25)</f>
        <v>0.85</v>
      </c>
    </row>
    <row r="212" spans="1:7" x14ac:dyDescent="0.25">
      <c r="A212" s="101" t="str">
        <f>'Data Vlaue (Cr)'!C208</f>
        <v>VEDL</v>
      </c>
      <c r="B212" s="144">
        <f>VLOOKUP($A212,'Data shares'!$C:$FA,7)</f>
        <v>719.6</v>
      </c>
      <c r="C212" s="144">
        <f>VLOOKUP($A212,'Data shares'!$C:$FA,3)</f>
        <v>718.9</v>
      </c>
      <c r="D212" s="144">
        <f>VLOOKUP($A212,'Data shares'!$C:$FA,23)</f>
        <v>-0.7</v>
      </c>
      <c r="E212" s="145">
        <f>VLOOKUP($A212,'Data shares'!$C:$FA,26)*100</f>
        <v>-0.1</v>
      </c>
      <c r="F212" s="144">
        <f>VLOOKUP($A212,'Data shares'!$C:$FA,24)</f>
        <v>-4.2</v>
      </c>
      <c r="G212" s="144">
        <f>VLOOKUP($A212,'Data shares'!$C:$FA,25)</f>
        <v>3.5</v>
      </c>
    </row>
    <row r="213" spans="1:7" x14ac:dyDescent="0.25">
      <c r="A213" s="101" t="str">
        <f>'Data Vlaue (Cr)'!C209</f>
        <v>VOLTAS</v>
      </c>
      <c r="B213" s="144">
        <f>VLOOKUP($A213,'Data shares'!$C:$FA,7)</f>
        <v>1449.4</v>
      </c>
      <c r="C213" s="144">
        <f>VLOOKUP($A213,'Data shares'!$C:$FA,3)</f>
        <v>1445.7</v>
      </c>
      <c r="D213" s="144">
        <f>VLOOKUP($A213,'Data shares'!$C:$FA,23)</f>
        <v>-3.7</v>
      </c>
      <c r="E213" s="145">
        <f>VLOOKUP($A213,'Data shares'!$C:$FA,26)*100</f>
        <v>-0.26</v>
      </c>
      <c r="F213" s="144">
        <f>VLOOKUP($A213,'Data shares'!$C:$FA,24)</f>
        <v>-8</v>
      </c>
      <c r="G213" s="144">
        <f>VLOOKUP($A213,'Data shares'!$C:$FA,25)</f>
        <v>4.3</v>
      </c>
    </row>
    <row r="214" spans="1:7" x14ac:dyDescent="0.25">
      <c r="A214" s="101" t="str">
        <f>'Data Vlaue (Cr)'!C210</f>
        <v>WAAREEENER</v>
      </c>
      <c r="B214" s="144">
        <f>VLOOKUP($A214,'Data shares'!$C:$FA,7)</f>
        <v>2739.4</v>
      </c>
      <c r="C214" s="144">
        <f>VLOOKUP($A214,'Data shares'!$C:$FA,3)</f>
        <v>2749.1</v>
      </c>
      <c r="D214" s="144">
        <f>VLOOKUP($A214,'Data shares'!$C:$FA,23)</f>
        <v>9.6999999999999993</v>
      </c>
      <c r="E214" s="145">
        <f>VLOOKUP($A214,'Data shares'!$C:$FA,26)*100</f>
        <v>0.35000000000000003</v>
      </c>
      <c r="F214" s="144">
        <f>VLOOKUP($A214,'Data shares'!$C:$FA,24)</f>
        <v>8.6</v>
      </c>
      <c r="G214" s="144">
        <f>VLOOKUP($A214,'Data shares'!$C:$FA,25)</f>
        <v>1.1000000000000001</v>
      </c>
    </row>
    <row r="215" spans="1:7" x14ac:dyDescent="0.25">
      <c r="A215" s="101" t="str">
        <f>'Data Vlaue (Cr)'!C211</f>
        <v>WIPRO</v>
      </c>
      <c r="B215" s="144">
        <f>VLOOKUP($A215,'Data shares'!$C:$FA,7)</f>
        <v>202.51</v>
      </c>
      <c r="C215" s="144">
        <f>VLOOKUP($A215,'Data shares'!$C:$FA,3)</f>
        <v>201.83</v>
      </c>
      <c r="D215" s="144">
        <f>VLOOKUP($A215,'Data shares'!$C:$FA,23)</f>
        <v>-0.68</v>
      </c>
      <c r="E215" s="145">
        <f>VLOOKUP($A215,'Data shares'!$C:$FA,26)*100</f>
        <v>-0.33999999999999997</v>
      </c>
      <c r="F215" s="144">
        <f>VLOOKUP($A215,'Data shares'!$C:$FA,24)</f>
        <v>-0.55000000000000004</v>
      </c>
      <c r="G215" s="144">
        <f>VLOOKUP($A215,'Data shares'!$C:$FA,25)</f>
        <v>-0.13</v>
      </c>
    </row>
    <row r="216" spans="1:7" x14ac:dyDescent="0.25">
      <c r="A216" s="101" t="str">
        <f>'Data Vlaue (Cr)'!C213</f>
        <v>ZYDUSLIFE</v>
      </c>
      <c r="B216" s="144">
        <f>VLOOKUP($A216,'Data shares'!$C:$FA,7)</f>
        <v>916.9</v>
      </c>
      <c r="C216" s="144">
        <f>VLOOKUP($A216,'Data shares'!$C:$FA,3)</f>
        <v>920.9</v>
      </c>
      <c r="D216" s="144">
        <f>VLOOKUP($A216,'Data shares'!$C:$FA,23)</f>
        <v>4</v>
      </c>
      <c r="E216" s="145">
        <f>VLOOKUP($A216,'Data shares'!$C:$FA,26)*100</f>
        <v>0.44</v>
      </c>
      <c r="F216" s="144">
        <f>VLOOKUP($A216,'Data shares'!$C:$FA,24)</f>
        <v>3.15</v>
      </c>
      <c r="G216" s="144">
        <f>VLOOKUP($A216,'Data shares'!$C:$FA,25)</f>
        <v>0.85</v>
      </c>
    </row>
    <row r="217" spans="1:7" x14ac:dyDescent="0.25">
      <c r="A217" s="101"/>
      <c r="B217" s="144"/>
      <c r="C217" s="144"/>
      <c r="D217" s="144"/>
      <c r="E217" s="145"/>
      <c r="F217" s="144"/>
      <c r="G217" s="144"/>
    </row>
    <row r="218" spans="1:7" x14ac:dyDescent="0.25">
      <c r="A218" s="101"/>
      <c r="B218" s="144"/>
      <c r="C218" s="144"/>
      <c r="D218" s="144"/>
      <c r="E218" s="145"/>
      <c r="F218" s="144"/>
      <c r="G218" s="144"/>
    </row>
    <row r="219" spans="1:7" x14ac:dyDescent="0.25">
      <c r="A219" s="101"/>
      <c r="B219" s="144"/>
      <c r="C219" s="144"/>
      <c r="D219" s="144"/>
      <c r="E219" s="145"/>
      <c r="F219" s="144"/>
      <c r="G219"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0"/>
  <sheetViews>
    <sheetView workbookViewId="0">
      <pane ySplit="6" topLeftCell="A209" activePane="bottomLeft" state="frozen"/>
      <selection pane="bottomLeft" activeCell="A218" sqref="A218:G220"/>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4" t="s">
        <v>370</v>
      </c>
      <c r="B3" s="315"/>
      <c r="C3" s="315"/>
      <c r="D3" s="315"/>
      <c r="E3" s="315"/>
      <c r="F3" s="315"/>
      <c r="G3" s="316"/>
    </row>
    <row r="4" spans="1:7" x14ac:dyDescent="0.25">
      <c r="A4" s="318" t="s">
        <v>318</v>
      </c>
      <c r="B4" s="242" t="s">
        <v>371</v>
      </c>
      <c r="C4" s="242"/>
      <c r="D4" s="242"/>
      <c r="E4" s="242"/>
      <c r="F4" s="242"/>
      <c r="G4" s="242"/>
    </row>
    <row r="5" spans="1:7" x14ac:dyDescent="0.25">
      <c r="A5" s="319"/>
      <c r="B5" s="317" t="s">
        <v>372</v>
      </c>
      <c r="C5" s="317"/>
      <c r="D5" s="317"/>
      <c r="E5" s="317" t="s">
        <v>373</v>
      </c>
      <c r="F5" s="317"/>
      <c r="G5" s="317"/>
    </row>
    <row r="6" spans="1:7" x14ac:dyDescent="0.25">
      <c r="A6" s="242"/>
      <c r="B6" s="2" t="s">
        <v>374</v>
      </c>
      <c r="C6" s="2" t="s">
        <v>375</v>
      </c>
      <c r="D6" s="2" t="s">
        <v>376</v>
      </c>
      <c r="E6" s="2" t="s">
        <v>377</v>
      </c>
      <c r="F6" s="2" t="s">
        <v>378</v>
      </c>
      <c r="G6" s="2" t="s">
        <v>379</v>
      </c>
    </row>
    <row r="7" spans="1:7" x14ac:dyDescent="0.25">
      <c r="A7" s="49" t="str">
        <f>'Data Vlaue (Cr)'!C2</f>
        <v>360ONE</v>
      </c>
      <c r="B7" s="50">
        <f>VLOOKUP($A7,'Data shares'!$C:$FM,102)</f>
        <v>34.36</v>
      </c>
      <c r="C7" s="50">
        <f>VLOOKUP($A7,'Data shares'!$C:$FM,110)</f>
        <v>32.68</v>
      </c>
      <c r="D7" s="50">
        <f>VLOOKUP($A7,'Data shares'!$C:$FM,114)</f>
        <v>38.07</v>
      </c>
      <c r="E7" s="50">
        <f>VLOOKUP($A7,'Data shares'!$C:$FM,106)</f>
        <v>41.44</v>
      </c>
      <c r="F7" s="50">
        <f>VLOOKUP($A7,'Data shares'!$C:$FM,108)</f>
        <v>-7.08</v>
      </c>
      <c r="G7" s="50">
        <f t="shared" ref="G7:G38" si="0">B7/E7</f>
        <v>0.82915057915057921</v>
      </c>
    </row>
    <row r="8" spans="1:7" x14ac:dyDescent="0.25">
      <c r="A8" s="49" t="str">
        <f>'Data Vlaue (Cr)'!C3</f>
        <v>ABB</v>
      </c>
      <c r="B8" s="50">
        <f>VLOOKUP($A8,'Data shares'!$C:$FM,102)</f>
        <v>34.56</v>
      </c>
      <c r="C8" s="50">
        <f>VLOOKUP($A8,'Data shares'!$C:$FM,110)</f>
        <v>33.159999999999997</v>
      </c>
      <c r="D8" s="50">
        <f>VLOOKUP($A8,'Data shares'!$C:$FM,114)</f>
        <v>37.79</v>
      </c>
      <c r="E8" s="50">
        <f>VLOOKUP($A8,'Data shares'!$C:$FM,106)</f>
        <v>36.76</v>
      </c>
      <c r="F8" s="50">
        <f>VLOOKUP($A8,'Data shares'!$C:$FM,108)</f>
        <v>-2.2000000000000002</v>
      </c>
      <c r="G8" s="50">
        <f t="shared" si="0"/>
        <v>0.94015233949945609</v>
      </c>
    </row>
    <row r="9" spans="1:7" x14ac:dyDescent="0.25">
      <c r="A9" s="49" t="str">
        <f>'Data Vlaue (Cr)'!C4</f>
        <v>ABCAPITAL</v>
      </c>
      <c r="B9" s="50">
        <f>VLOOKUP($A9,'Data shares'!$C:$FM,102)</f>
        <v>38.15</v>
      </c>
      <c r="C9" s="50">
        <f>VLOOKUP($A9,'Data shares'!$C:$FM,110)</f>
        <v>37.700000000000003</v>
      </c>
      <c r="D9" s="50">
        <f>VLOOKUP($A9,'Data shares'!$C:$FM,114)</f>
        <v>39.020000000000003</v>
      </c>
      <c r="E9" s="50">
        <f>VLOOKUP($A9,'Data shares'!$C:$FM,106)</f>
        <v>37.520000000000003</v>
      </c>
      <c r="F9" s="50">
        <f>VLOOKUP($A9,'Data shares'!$C:$FM,108)</f>
        <v>0.63</v>
      </c>
      <c r="G9" s="50">
        <f t="shared" si="0"/>
        <v>1.0167910447761193</v>
      </c>
    </row>
    <row r="10" spans="1:7" x14ac:dyDescent="0.25">
      <c r="A10" s="49" t="str">
        <f>'Data Vlaue (Cr)'!C5</f>
        <v>ADANIENSOL</v>
      </c>
      <c r="B10" s="50">
        <f>VLOOKUP($A10,'Data shares'!$C:$FM,102)</f>
        <v>44.12</v>
      </c>
      <c r="C10" s="50">
        <f>VLOOKUP($A10,'Data shares'!$C:$FM,110)</f>
        <v>43.91</v>
      </c>
      <c r="D10" s="50">
        <f>VLOOKUP($A10,'Data shares'!$C:$FM,114)</f>
        <v>44.91</v>
      </c>
      <c r="E10" s="50">
        <f>VLOOKUP($A10,'Data shares'!$C:$FM,106)</f>
        <v>53.9</v>
      </c>
      <c r="F10" s="50">
        <f>VLOOKUP($A10,'Data shares'!$C:$FM,108)</f>
        <v>-9.7799999999999994</v>
      </c>
      <c r="G10" s="50">
        <f t="shared" si="0"/>
        <v>0.81855287569573276</v>
      </c>
    </row>
    <row r="11" spans="1:7" x14ac:dyDescent="0.25">
      <c r="A11" s="49" t="str">
        <f>'Data Vlaue (Cr)'!C6</f>
        <v>ADANIENT</v>
      </c>
      <c r="B11" s="50">
        <f>VLOOKUP($A11,'Data shares'!$C:$FM,102)</f>
        <v>41.05</v>
      </c>
      <c r="C11" s="50">
        <f>VLOOKUP($A11,'Data shares'!$C:$FM,110)</f>
        <v>40.159999999999997</v>
      </c>
      <c r="D11" s="50">
        <f>VLOOKUP($A11,'Data shares'!$C:$FM,114)</f>
        <v>42.83</v>
      </c>
      <c r="E11" s="50">
        <f>VLOOKUP($A11,'Data shares'!$C:$FM,106)</f>
        <v>48.16</v>
      </c>
      <c r="F11" s="50">
        <f>VLOOKUP($A11,'Data shares'!$C:$FM,108)</f>
        <v>-7.11</v>
      </c>
      <c r="G11" s="50">
        <f t="shared" si="0"/>
        <v>0.85236710963455153</v>
      </c>
    </row>
    <row r="12" spans="1:7" x14ac:dyDescent="0.25">
      <c r="A12" s="49" t="str">
        <f>'Data Vlaue (Cr)'!C7</f>
        <v>ADANIGREEN</v>
      </c>
      <c r="B12" s="50">
        <f>VLOOKUP($A12,'Data shares'!$C:$FM,102)</f>
        <v>47.12</v>
      </c>
      <c r="C12" s="50">
        <f>VLOOKUP($A12,'Data shares'!$C:$FM,110)</f>
        <v>46.75</v>
      </c>
      <c r="D12" s="50">
        <f>VLOOKUP($A12,'Data shares'!$C:$FM,114)</f>
        <v>48.44</v>
      </c>
      <c r="E12" s="50">
        <f>VLOOKUP($A12,'Data shares'!$C:$FM,106)</f>
        <v>57.75</v>
      </c>
      <c r="F12" s="50">
        <f>VLOOKUP($A12,'Data shares'!$C:$FM,108)</f>
        <v>-10.63</v>
      </c>
      <c r="G12" s="50">
        <f t="shared" si="0"/>
        <v>0.81593073593073584</v>
      </c>
    </row>
    <row r="13" spans="1:7" x14ac:dyDescent="0.25">
      <c r="A13" s="49" t="str">
        <f>'Data Vlaue (Cr)'!C8</f>
        <v>ADANIPORTS</v>
      </c>
      <c r="B13" s="50">
        <f>VLOOKUP($A13,'Data shares'!$C:$FM,102)</f>
        <v>39.36</v>
      </c>
      <c r="C13" s="50">
        <f>VLOOKUP($A13,'Data shares'!$C:$FM,110)</f>
        <v>38.200000000000003</v>
      </c>
      <c r="D13" s="50">
        <f>VLOOKUP($A13,'Data shares'!$C:$FM,114)</f>
        <v>40.61</v>
      </c>
      <c r="E13" s="50">
        <f>VLOOKUP($A13,'Data shares'!$C:$FM,106)</f>
        <v>39.020000000000003</v>
      </c>
      <c r="F13" s="50">
        <f>VLOOKUP($A13,'Data shares'!$C:$FM,108)</f>
        <v>0.34</v>
      </c>
      <c r="G13" s="50">
        <f t="shared" si="0"/>
        <v>1.0087134802665298</v>
      </c>
    </row>
    <row r="14" spans="1:7" x14ac:dyDescent="0.25">
      <c r="A14" s="49" t="str">
        <f>'Data Vlaue (Cr)'!C9</f>
        <v>ALKEM</v>
      </c>
      <c r="B14" s="50">
        <f>VLOOKUP($A14,'Data shares'!$C:$FM,102)</f>
        <v>26.29</v>
      </c>
      <c r="C14" s="50">
        <f>VLOOKUP($A14,'Data shares'!$C:$FM,110)</f>
        <v>25.67</v>
      </c>
      <c r="D14" s="50">
        <f>VLOOKUP($A14,'Data shares'!$C:$FM,114)</f>
        <v>27.6</v>
      </c>
      <c r="E14" s="50">
        <f>VLOOKUP($A14,'Data shares'!$C:$FM,106)</f>
        <v>28.18</v>
      </c>
      <c r="F14" s="50">
        <f>VLOOKUP($A14,'Data shares'!$C:$FM,108)</f>
        <v>-1.89</v>
      </c>
      <c r="G14" s="50">
        <f t="shared" si="0"/>
        <v>0.93293115684882899</v>
      </c>
    </row>
    <row r="15" spans="1:7" x14ac:dyDescent="0.25">
      <c r="A15" s="49" t="str">
        <f>'Data Vlaue (Cr)'!C10</f>
        <v>AMBER</v>
      </c>
      <c r="B15" s="50">
        <f>VLOOKUP($A15,'Data shares'!$C:$FM,102)</f>
        <v>50.13</v>
      </c>
      <c r="C15" s="50">
        <f>VLOOKUP($A15,'Data shares'!$C:$FM,110)</f>
        <v>49.34</v>
      </c>
      <c r="D15" s="50">
        <f>VLOOKUP($A15,'Data shares'!$C:$FM,114)</f>
        <v>51.1</v>
      </c>
      <c r="E15" s="50">
        <f>VLOOKUP($A15,'Data shares'!$C:$FM,106)</f>
        <v>51.72</v>
      </c>
      <c r="F15" s="50">
        <f>VLOOKUP($A15,'Data shares'!$C:$FM,108)</f>
        <v>-1.59</v>
      </c>
      <c r="G15" s="50">
        <f t="shared" si="0"/>
        <v>0.96925754060324831</v>
      </c>
    </row>
    <row r="16" spans="1:7" x14ac:dyDescent="0.25">
      <c r="A16" s="49" t="str">
        <f>'Data Vlaue (Cr)'!C11</f>
        <v>AMBUJACEM</v>
      </c>
      <c r="B16" s="50">
        <f>VLOOKUP($A16,'Data shares'!$C:$FM,102)</f>
        <v>35.659999999999997</v>
      </c>
      <c r="C16" s="50">
        <f>VLOOKUP($A16,'Data shares'!$C:$FM,110)</f>
        <v>35.18</v>
      </c>
      <c r="D16" s="50">
        <f>VLOOKUP($A16,'Data shares'!$C:$FM,114)</f>
        <v>36.700000000000003</v>
      </c>
      <c r="E16" s="50">
        <f>VLOOKUP($A16,'Data shares'!$C:$FM,106)</f>
        <v>32.89</v>
      </c>
      <c r="F16" s="50">
        <f>VLOOKUP($A16,'Data shares'!$C:$FM,108)</f>
        <v>2.77</v>
      </c>
      <c r="G16" s="50">
        <f t="shared" si="0"/>
        <v>1.0842201276983885</v>
      </c>
    </row>
    <row r="17" spans="1:7" x14ac:dyDescent="0.25">
      <c r="A17" s="49" t="str">
        <f>'Data Vlaue (Cr)'!C12</f>
        <v>ANGELONE</v>
      </c>
      <c r="B17" s="50">
        <f>VLOOKUP($A17,'Data shares'!$C:$FM,102)</f>
        <v>47.7</v>
      </c>
      <c r="C17" s="50">
        <f>VLOOKUP($A17,'Data shares'!$C:$FM,110)</f>
        <v>47.26</v>
      </c>
      <c r="D17" s="50">
        <f>VLOOKUP($A17,'Data shares'!$C:$FM,114)</f>
        <v>48.49</v>
      </c>
      <c r="E17" s="50">
        <f>VLOOKUP($A17,'Data shares'!$C:$FM,106)</f>
        <v>53.85</v>
      </c>
      <c r="F17" s="50">
        <f>VLOOKUP($A17,'Data shares'!$C:$FM,108)</f>
        <v>-6.15</v>
      </c>
      <c r="G17" s="50">
        <f t="shared" si="0"/>
        <v>0.88579387186629532</v>
      </c>
    </row>
    <row r="18" spans="1:7" x14ac:dyDescent="0.25">
      <c r="A18" s="49" t="str">
        <f>'Data Vlaue (Cr)'!C13</f>
        <v>APLAPOLLO</v>
      </c>
      <c r="B18" s="50">
        <f>VLOOKUP($A18,'Data shares'!$C:$FM,102)</f>
        <v>35.93</v>
      </c>
      <c r="C18" s="50">
        <f>VLOOKUP($A18,'Data shares'!$C:$FM,110)</f>
        <v>34.74</v>
      </c>
      <c r="D18" s="50">
        <f>VLOOKUP($A18,'Data shares'!$C:$FM,114)</f>
        <v>37.75</v>
      </c>
      <c r="E18" s="50">
        <f>VLOOKUP($A18,'Data shares'!$C:$FM,106)</f>
        <v>32.35</v>
      </c>
      <c r="F18" s="50">
        <f>VLOOKUP($A18,'Data shares'!$C:$FM,108)</f>
        <v>3.58</v>
      </c>
      <c r="G18" s="50">
        <f t="shared" si="0"/>
        <v>1.1106646058732612</v>
      </c>
    </row>
    <row r="19" spans="1:7" x14ac:dyDescent="0.25">
      <c r="A19" s="49" t="str">
        <f>'Data Vlaue (Cr)'!C14</f>
        <v>APOLLOHOSP</v>
      </c>
      <c r="B19" s="50">
        <f>VLOOKUP($A19,'Data shares'!$C:$FM,102)</f>
        <v>23.76</v>
      </c>
      <c r="C19" s="50">
        <f>VLOOKUP($A19,'Data shares'!$C:$FM,110)</f>
        <v>23.48</v>
      </c>
      <c r="D19" s="50">
        <f>VLOOKUP($A19,'Data shares'!$C:$FM,114)</f>
        <v>24.27</v>
      </c>
      <c r="E19" s="50">
        <f>VLOOKUP($A19,'Data shares'!$C:$FM,106)</f>
        <v>24.54</v>
      </c>
      <c r="F19" s="50">
        <f>VLOOKUP($A19,'Data shares'!$C:$FM,108)</f>
        <v>-0.78</v>
      </c>
      <c r="G19" s="50">
        <f t="shared" si="0"/>
        <v>0.96821515892420551</v>
      </c>
    </row>
    <row r="20" spans="1:7" x14ac:dyDescent="0.25">
      <c r="A20" s="49" t="str">
        <f>'Data Vlaue (Cr)'!C15</f>
        <v>ASHOKLEY</v>
      </c>
      <c r="B20" s="50">
        <f>VLOOKUP($A20,'Data shares'!$C:$FM,102)</f>
        <v>45.72</v>
      </c>
      <c r="C20" s="50">
        <f>VLOOKUP($A20,'Data shares'!$C:$FM,110)</f>
        <v>44.36</v>
      </c>
      <c r="D20" s="50">
        <f>VLOOKUP($A20,'Data shares'!$C:$FM,114)</f>
        <v>47.73</v>
      </c>
      <c r="E20" s="50">
        <f>VLOOKUP($A20,'Data shares'!$C:$FM,106)</f>
        <v>36.83</v>
      </c>
      <c r="F20" s="50">
        <f>VLOOKUP($A20,'Data shares'!$C:$FM,108)</f>
        <v>8.89</v>
      </c>
      <c r="G20" s="50">
        <f t="shared" si="0"/>
        <v>1.2413793103448276</v>
      </c>
    </row>
    <row r="21" spans="1:7" x14ac:dyDescent="0.25">
      <c r="A21" s="49" t="str">
        <f>'Data Vlaue (Cr)'!C16</f>
        <v>ASIANPAINT</v>
      </c>
      <c r="B21" s="50">
        <f>VLOOKUP($A21,'Data shares'!$C:$FM,102)</f>
        <v>32.880000000000003</v>
      </c>
      <c r="C21" s="50">
        <f>VLOOKUP($A21,'Data shares'!$C:$FM,110)</f>
        <v>30.71</v>
      </c>
      <c r="D21" s="50">
        <f>VLOOKUP($A21,'Data shares'!$C:$FM,114)</f>
        <v>34.950000000000003</v>
      </c>
      <c r="E21" s="50">
        <f>VLOOKUP($A21,'Data shares'!$C:$FM,106)</f>
        <v>26.66</v>
      </c>
      <c r="F21" s="50">
        <f>VLOOKUP($A21,'Data shares'!$C:$FM,108)</f>
        <v>6.22</v>
      </c>
      <c r="G21" s="50">
        <f t="shared" si="0"/>
        <v>1.2333083270817706</v>
      </c>
    </row>
    <row r="22" spans="1:7" x14ac:dyDescent="0.25">
      <c r="A22" s="49" t="str">
        <f>'Data Vlaue (Cr)'!C17</f>
        <v>ASTRAL</v>
      </c>
      <c r="B22" s="50">
        <f>VLOOKUP($A22,'Data shares'!$C:$FM,102)</f>
        <v>34.79</v>
      </c>
      <c r="C22" s="50">
        <f>VLOOKUP($A22,'Data shares'!$C:$FM,110)</f>
        <v>33.51</v>
      </c>
      <c r="D22" s="50">
        <f>VLOOKUP($A22,'Data shares'!$C:$FM,114)</f>
        <v>36.590000000000003</v>
      </c>
      <c r="E22" s="50">
        <f>VLOOKUP($A22,'Data shares'!$C:$FM,106)</f>
        <v>34.71</v>
      </c>
      <c r="F22" s="50">
        <f>VLOOKUP($A22,'Data shares'!$C:$FM,108)</f>
        <v>0.08</v>
      </c>
      <c r="G22" s="50">
        <f t="shared" si="0"/>
        <v>1.0023048112935753</v>
      </c>
    </row>
    <row r="23" spans="1:7" x14ac:dyDescent="0.25">
      <c r="A23" s="49" t="str">
        <f>'Data Vlaue (Cr)'!C18</f>
        <v>AUBANK</v>
      </c>
      <c r="B23" s="50">
        <f>VLOOKUP($A23,'Data shares'!$C:$FM,102)</f>
        <v>32.32</v>
      </c>
      <c r="C23" s="50">
        <f>VLOOKUP($A23,'Data shares'!$C:$FM,110)</f>
        <v>31.86</v>
      </c>
      <c r="D23" s="50">
        <f>VLOOKUP($A23,'Data shares'!$C:$FM,114)</f>
        <v>32.93</v>
      </c>
      <c r="E23" s="50">
        <f>VLOOKUP($A23,'Data shares'!$C:$FM,106)</f>
        <v>35.04</v>
      </c>
      <c r="F23" s="50">
        <f>VLOOKUP($A23,'Data shares'!$C:$FM,108)</f>
        <v>-2.72</v>
      </c>
      <c r="G23" s="50">
        <f t="shared" si="0"/>
        <v>0.92237442922374435</v>
      </c>
    </row>
    <row r="24" spans="1:7" x14ac:dyDescent="0.25">
      <c r="A24" s="49" t="str">
        <f>'Data Vlaue (Cr)'!C19</f>
        <v>AUROPHARMA</v>
      </c>
      <c r="B24" s="50">
        <f>VLOOKUP($A24,'Data shares'!$C:$FM,102)</f>
        <v>33.74</v>
      </c>
      <c r="C24" s="50">
        <f>VLOOKUP($A24,'Data shares'!$C:$FM,110)</f>
        <v>32.53</v>
      </c>
      <c r="D24" s="50">
        <f>VLOOKUP($A24,'Data shares'!$C:$FM,114)</f>
        <v>35.19</v>
      </c>
      <c r="E24" s="50">
        <f>VLOOKUP($A24,'Data shares'!$C:$FM,106)</f>
        <v>34.01</v>
      </c>
      <c r="F24" s="50">
        <f>VLOOKUP($A24,'Data shares'!$C:$FM,108)</f>
        <v>-0.27</v>
      </c>
      <c r="G24" s="50">
        <f t="shared" si="0"/>
        <v>0.9920611584827993</v>
      </c>
    </row>
    <row r="25" spans="1:7" x14ac:dyDescent="0.25">
      <c r="A25" s="49" t="str">
        <f>'Data Vlaue (Cr)'!C20</f>
        <v>AXISBANK</v>
      </c>
      <c r="B25" s="50">
        <f>VLOOKUP($A25,'Data shares'!$C:$FM,102)</f>
        <v>27.94</v>
      </c>
      <c r="C25" s="50">
        <f>VLOOKUP($A25,'Data shares'!$C:$FM,110)</f>
        <v>27.26</v>
      </c>
      <c r="D25" s="50">
        <f>VLOOKUP($A25,'Data shares'!$C:$FM,114)</f>
        <v>28.99</v>
      </c>
      <c r="E25" s="50">
        <f>VLOOKUP($A25,'Data shares'!$C:$FM,106)</f>
        <v>27.33</v>
      </c>
      <c r="F25" s="50">
        <f>VLOOKUP($A25,'Data shares'!$C:$FM,108)</f>
        <v>0.61</v>
      </c>
      <c r="G25" s="50">
        <f t="shared" si="0"/>
        <v>1.0223197950969631</v>
      </c>
    </row>
    <row r="26" spans="1:7" x14ac:dyDescent="0.25">
      <c r="A26" s="49" t="str">
        <f>'Data Vlaue (Cr)'!C21</f>
        <v>BAJAJ-AUTO</v>
      </c>
      <c r="B26" s="50">
        <f>VLOOKUP($A26,'Data shares'!$C:$FM,102)</f>
        <v>31.66</v>
      </c>
      <c r="C26" s="50">
        <f>VLOOKUP($A26,'Data shares'!$C:$FM,110)</f>
        <v>30.93</v>
      </c>
      <c r="D26" s="50">
        <f>VLOOKUP($A26,'Data shares'!$C:$FM,114)</f>
        <v>32.71</v>
      </c>
      <c r="E26" s="50">
        <f>VLOOKUP($A26,'Data shares'!$C:$FM,106)</f>
        <v>28.32</v>
      </c>
      <c r="F26" s="50">
        <f>VLOOKUP($A26,'Data shares'!$C:$FM,108)</f>
        <v>3.34</v>
      </c>
      <c r="G26" s="50">
        <f t="shared" si="0"/>
        <v>1.1179378531073447</v>
      </c>
    </row>
    <row r="27" spans="1:7" x14ac:dyDescent="0.25">
      <c r="A27" s="49" t="str">
        <f>'Data Vlaue (Cr)'!C22</f>
        <v>BAJAJFINSV</v>
      </c>
      <c r="B27" s="50">
        <f>VLOOKUP($A27,'Data shares'!$C:$FM,102)</f>
        <v>28.04</v>
      </c>
      <c r="C27" s="50">
        <f>VLOOKUP($A27,'Data shares'!$C:$FM,110)</f>
        <v>27.4</v>
      </c>
      <c r="D27" s="50">
        <f>VLOOKUP($A27,'Data shares'!$C:$FM,114)</f>
        <v>29.34</v>
      </c>
      <c r="E27" s="50">
        <f>VLOOKUP($A27,'Data shares'!$C:$FM,106)</f>
        <v>28.53</v>
      </c>
      <c r="F27" s="50">
        <f>VLOOKUP($A27,'Data shares'!$C:$FM,108)</f>
        <v>-0.49</v>
      </c>
      <c r="G27" s="50">
        <f t="shared" si="0"/>
        <v>0.98282509638976512</v>
      </c>
    </row>
    <row r="28" spans="1:7" x14ac:dyDescent="0.25">
      <c r="A28" s="49" t="str">
        <f>'Data Vlaue (Cr)'!C23</f>
        <v>BAJAJHLDNG</v>
      </c>
      <c r="B28" s="50">
        <f>VLOOKUP($A28,'Data shares'!$C:$FM,102)</f>
        <v>36.270000000000003</v>
      </c>
      <c r="C28" s="50">
        <f>VLOOKUP($A28,'Data shares'!$C:$FM,110)</f>
        <v>35.72</v>
      </c>
      <c r="D28" s="50">
        <f>VLOOKUP($A28,'Data shares'!$C:$FM,114)</f>
        <v>37.090000000000003</v>
      </c>
      <c r="E28" s="50">
        <f>VLOOKUP($A28,'Data shares'!$C:$FM,106)</f>
        <v>37.18</v>
      </c>
      <c r="F28" s="50">
        <f>VLOOKUP($A28,'Data shares'!$C:$FM,108)</f>
        <v>-0.91</v>
      </c>
      <c r="G28" s="50">
        <f t="shared" si="0"/>
        <v>0.97552447552447563</v>
      </c>
    </row>
    <row r="29" spans="1:7" x14ac:dyDescent="0.25">
      <c r="A29" s="49" t="str">
        <f>'Data Vlaue (Cr)'!C24</f>
        <v>BAJFINANCE</v>
      </c>
      <c r="B29" s="50">
        <f>VLOOKUP($A29,'Data shares'!$C:$FM,102)</f>
        <v>36.119999999999997</v>
      </c>
      <c r="C29" s="50">
        <f>VLOOKUP($A29,'Data shares'!$C:$FM,110)</f>
        <v>36.03</v>
      </c>
      <c r="D29" s="50">
        <f>VLOOKUP($A29,'Data shares'!$C:$FM,114)</f>
        <v>36.229999999999997</v>
      </c>
      <c r="E29" s="50">
        <f>VLOOKUP($A29,'Data shares'!$C:$FM,106)</f>
        <v>32.409999999999997</v>
      </c>
      <c r="F29" s="50">
        <f>VLOOKUP($A29,'Data shares'!$C:$FM,108)</f>
        <v>3.71</v>
      </c>
      <c r="G29" s="50">
        <f t="shared" si="0"/>
        <v>1.1144708423326135</v>
      </c>
    </row>
    <row r="30" spans="1:7" x14ac:dyDescent="0.25">
      <c r="A30" s="49" t="str">
        <f>'Data Vlaue (Cr)'!C25</f>
        <v>BANDHANBNK</v>
      </c>
      <c r="B30" s="50">
        <f>VLOOKUP($A30,'Data shares'!$C:$FM,102)</f>
        <v>41.45</v>
      </c>
      <c r="C30" s="50">
        <f>VLOOKUP($A30,'Data shares'!$C:$FM,110)</f>
        <v>40.770000000000003</v>
      </c>
      <c r="D30" s="50">
        <f>VLOOKUP($A30,'Data shares'!$C:$FM,114)</f>
        <v>42.65</v>
      </c>
      <c r="E30" s="50">
        <f>VLOOKUP($A30,'Data shares'!$C:$FM,106)</f>
        <v>41.68</v>
      </c>
      <c r="F30" s="50">
        <f>VLOOKUP($A30,'Data shares'!$C:$FM,108)</f>
        <v>-0.23</v>
      </c>
      <c r="G30" s="50">
        <f t="shared" si="0"/>
        <v>0.99448176583493286</v>
      </c>
    </row>
    <row r="31" spans="1:7" x14ac:dyDescent="0.25">
      <c r="A31" s="49" t="str">
        <f>'Data Vlaue (Cr)'!C26</f>
        <v>BANKBARODA</v>
      </c>
      <c r="B31" s="50">
        <f>VLOOKUP($A31,'Data shares'!$C:$FM,102)</f>
        <v>35.47</v>
      </c>
      <c r="C31" s="50">
        <f>VLOOKUP($A31,'Data shares'!$C:$FM,110)</f>
        <v>34.6</v>
      </c>
      <c r="D31" s="50">
        <f>VLOOKUP($A31,'Data shares'!$C:$FM,114)</f>
        <v>36.700000000000003</v>
      </c>
      <c r="E31" s="50">
        <f>VLOOKUP($A31,'Data shares'!$C:$FM,106)</f>
        <v>34.46</v>
      </c>
      <c r="F31" s="50">
        <f>VLOOKUP($A31,'Data shares'!$C:$FM,108)</f>
        <v>1.01</v>
      </c>
      <c r="G31" s="50">
        <f t="shared" si="0"/>
        <v>1.0293093441671504</v>
      </c>
    </row>
    <row r="32" spans="1:7" x14ac:dyDescent="0.25">
      <c r="A32" s="49" t="str">
        <f>'Data Vlaue (Cr)'!C27</f>
        <v>BANKINDIA</v>
      </c>
      <c r="B32" s="50">
        <f>VLOOKUP($A32,'Data shares'!$C:$FM,102)</f>
        <v>42.87</v>
      </c>
      <c r="C32" s="50">
        <f>VLOOKUP($A32,'Data shares'!$C:$FM,110)</f>
        <v>41.66</v>
      </c>
      <c r="D32" s="50">
        <f>VLOOKUP($A32,'Data shares'!$C:$FM,114)</f>
        <v>45.14</v>
      </c>
      <c r="E32" s="50">
        <f>VLOOKUP($A32,'Data shares'!$C:$FM,106)</f>
        <v>41.02</v>
      </c>
      <c r="F32" s="50">
        <f>VLOOKUP($A32,'Data shares'!$C:$FM,108)</f>
        <v>1.85</v>
      </c>
      <c r="G32" s="50">
        <f t="shared" si="0"/>
        <v>1.0450999512432959</v>
      </c>
    </row>
    <row r="33" spans="1:7" x14ac:dyDescent="0.25">
      <c r="A33" s="49" t="str">
        <f>'Data Vlaue (Cr)'!C28</f>
        <v>BANKNIFTY</v>
      </c>
      <c r="B33" s="50">
        <f>VLOOKUP($A33,'Data shares'!$C:$FM,102)</f>
        <v>23.62</v>
      </c>
      <c r="C33" s="50">
        <f>VLOOKUP($A33,'Data shares'!$C:$FM,110)</f>
        <v>22.07</v>
      </c>
      <c r="D33" s="50">
        <f>VLOOKUP($A33,'Data shares'!$C:$FM,114)</f>
        <v>25.75</v>
      </c>
      <c r="E33" s="50">
        <f>VLOOKUP($A33,'Data shares'!$C:$FM,106)</f>
        <v>16.91</v>
      </c>
      <c r="F33" s="50">
        <f>VLOOKUP($A33,'Data shares'!$C:$FM,108)</f>
        <v>6.71</v>
      </c>
      <c r="G33" s="50">
        <f t="shared" si="0"/>
        <v>1.3968066232998226</v>
      </c>
    </row>
    <row r="34" spans="1:7" x14ac:dyDescent="0.25">
      <c r="A34" s="49" t="str">
        <f>'Data Vlaue (Cr)'!C29</f>
        <v>BDL</v>
      </c>
      <c r="B34" s="50">
        <f>VLOOKUP($A34,'Data shares'!$C:$FM,102)</f>
        <v>45.8</v>
      </c>
      <c r="C34" s="50">
        <f>VLOOKUP($A34,'Data shares'!$C:$FM,110)</f>
        <v>44.91</v>
      </c>
      <c r="D34" s="50">
        <f>VLOOKUP($A34,'Data shares'!$C:$FM,114)</f>
        <v>48.01</v>
      </c>
      <c r="E34" s="50">
        <f>VLOOKUP($A34,'Data shares'!$C:$FM,106)</f>
        <v>51.69</v>
      </c>
      <c r="F34" s="50">
        <f>VLOOKUP($A34,'Data shares'!$C:$FM,108)</f>
        <v>-5.89</v>
      </c>
      <c r="G34" s="50">
        <f t="shared" si="0"/>
        <v>0.88605146063068285</v>
      </c>
    </row>
    <row r="35" spans="1:7" x14ac:dyDescent="0.25">
      <c r="A35" s="49" t="str">
        <f>'Data Vlaue (Cr)'!C30</f>
        <v>BEL</v>
      </c>
      <c r="B35" s="50">
        <f>VLOOKUP($A35,'Data shares'!$C:$FM,102)</f>
        <v>34.69</v>
      </c>
      <c r="C35" s="50">
        <f>VLOOKUP($A35,'Data shares'!$C:$FM,110)</f>
        <v>34.729999999999997</v>
      </c>
      <c r="D35" s="50">
        <f>VLOOKUP($A35,'Data shares'!$C:$FM,114)</f>
        <v>34.6</v>
      </c>
      <c r="E35" s="50">
        <f>VLOOKUP($A35,'Data shares'!$C:$FM,106)</f>
        <v>36.9</v>
      </c>
      <c r="F35" s="50">
        <f>VLOOKUP($A35,'Data shares'!$C:$FM,108)</f>
        <v>-2.21</v>
      </c>
      <c r="G35" s="50">
        <f t="shared" si="0"/>
        <v>0.94010840108401084</v>
      </c>
    </row>
    <row r="36" spans="1:7" x14ac:dyDescent="0.25">
      <c r="A36" s="49" t="str">
        <f>'Data Vlaue (Cr)'!C31</f>
        <v>BHARATFORG</v>
      </c>
      <c r="B36" s="50">
        <f>VLOOKUP($A36,'Data shares'!$C:$FM,102)</f>
        <v>40.92</v>
      </c>
      <c r="C36" s="50">
        <f>VLOOKUP($A36,'Data shares'!$C:$FM,110)</f>
        <v>40.58</v>
      </c>
      <c r="D36" s="50">
        <f>VLOOKUP($A36,'Data shares'!$C:$FM,114)</f>
        <v>41.36</v>
      </c>
      <c r="E36" s="50">
        <f>VLOOKUP($A36,'Data shares'!$C:$FM,106)</f>
        <v>37.549999999999997</v>
      </c>
      <c r="F36" s="50">
        <f>VLOOKUP($A36,'Data shares'!$C:$FM,108)</f>
        <v>3.37</v>
      </c>
      <c r="G36" s="50">
        <f t="shared" si="0"/>
        <v>1.0897470039946739</v>
      </c>
    </row>
    <row r="37" spans="1:7" x14ac:dyDescent="0.25">
      <c r="A37" s="49" t="str">
        <f>'Data Vlaue (Cr)'!C32</f>
        <v>BHARTIARTL</v>
      </c>
      <c r="B37" s="50">
        <f>VLOOKUP($A37,'Data shares'!$C:$FM,102)</f>
        <v>26.41</v>
      </c>
      <c r="C37" s="50">
        <f>VLOOKUP($A37,'Data shares'!$C:$FM,110)</f>
        <v>26.18</v>
      </c>
      <c r="D37" s="50">
        <f>VLOOKUP($A37,'Data shares'!$C:$FM,114)</f>
        <v>26.86</v>
      </c>
      <c r="E37" s="50">
        <f>VLOOKUP($A37,'Data shares'!$C:$FM,106)</f>
        <v>23.93</v>
      </c>
      <c r="F37" s="50">
        <f>VLOOKUP($A37,'Data shares'!$C:$FM,108)</f>
        <v>2.48</v>
      </c>
      <c r="G37" s="50">
        <f t="shared" si="0"/>
        <v>1.1036356038445465</v>
      </c>
    </row>
    <row r="38" spans="1:7" x14ac:dyDescent="0.25">
      <c r="A38" s="49" t="str">
        <f>'Data Vlaue (Cr)'!C33</f>
        <v>BHEL</v>
      </c>
      <c r="B38" s="50">
        <f>VLOOKUP($A38,'Data shares'!$C:$FM,102)</f>
        <v>39.5</v>
      </c>
      <c r="C38" s="50">
        <f>VLOOKUP($A38,'Data shares'!$C:$FM,110)</f>
        <v>38.119999999999997</v>
      </c>
      <c r="D38" s="50">
        <f>VLOOKUP($A38,'Data shares'!$C:$FM,114)</f>
        <v>42.2</v>
      </c>
      <c r="E38" s="50">
        <f>VLOOKUP($A38,'Data shares'!$C:$FM,106)</f>
        <v>46.07</v>
      </c>
      <c r="F38" s="50">
        <f>VLOOKUP($A38,'Data shares'!$C:$FM,108)</f>
        <v>-6.57</v>
      </c>
      <c r="G38" s="50">
        <f t="shared" si="0"/>
        <v>0.85739092685044493</v>
      </c>
    </row>
    <row r="39" spans="1:7" x14ac:dyDescent="0.25">
      <c r="A39" s="49" t="str">
        <f>'Data Vlaue (Cr)'!C34</f>
        <v>BIOCON</v>
      </c>
      <c r="B39" s="50">
        <f>VLOOKUP($A39,'Data shares'!$C:$FM,102)</f>
        <v>32.25</v>
      </c>
      <c r="C39" s="50">
        <f>VLOOKUP($A39,'Data shares'!$C:$FM,110)</f>
        <v>30.93</v>
      </c>
      <c r="D39" s="50">
        <f>VLOOKUP($A39,'Data shares'!$C:$FM,114)</f>
        <v>34.729999999999997</v>
      </c>
      <c r="E39" s="50">
        <f>VLOOKUP($A39,'Data shares'!$C:$FM,106)</f>
        <v>35.159999999999997</v>
      </c>
      <c r="F39" s="50">
        <f>VLOOKUP($A39,'Data shares'!$C:$FM,108)</f>
        <v>-2.91</v>
      </c>
      <c r="G39" s="50">
        <f t="shared" ref="G39:G70" si="1">B39/E39</f>
        <v>0.91723549488054612</v>
      </c>
    </row>
    <row r="40" spans="1:7" x14ac:dyDescent="0.25">
      <c r="A40" s="49" t="str">
        <f>'Data Vlaue (Cr)'!C35</f>
        <v>BLUESTARCO</v>
      </c>
      <c r="B40" s="50">
        <f>VLOOKUP($A40,'Data shares'!$C:$FM,102)</f>
        <v>41.32</v>
      </c>
      <c r="C40" s="50">
        <f>VLOOKUP($A40,'Data shares'!$C:$FM,110)</f>
        <v>41.08</v>
      </c>
      <c r="D40" s="50">
        <f>VLOOKUP($A40,'Data shares'!$C:$FM,114)</f>
        <v>42.51</v>
      </c>
      <c r="E40" s="50">
        <f>VLOOKUP($A40,'Data shares'!$C:$FM,106)</f>
        <v>39.159999999999997</v>
      </c>
      <c r="F40" s="50">
        <f>VLOOKUP($A40,'Data shares'!$C:$FM,108)</f>
        <v>2.16</v>
      </c>
      <c r="G40" s="50">
        <f t="shared" si="1"/>
        <v>1.0551583248212462</v>
      </c>
    </row>
    <row r="41" spans="1:7" x14ac:dyDescent="0.25">
      <c r="A41" s="49" t="str">
        <f>'Data Vlaue (Cr)'!C36</f>
        <v>BOSCHLTD</v>
      </c>
      <c r="B41" s="50">
        <f>VLOOKUP($A41,'Data shares'!$C:$FM,102)</f>
        <v>34.19</v>
      </c>
      <c r="C41" s="50">
        <f>VLOOKUP($A41,'Data shares'!$C:$FM,110)</f>
        <v>33.979999999999997</v>
      </c>
      <c r="D41" s="50">
        <f>VLOOKUP($A41,'Data shares'!$C:$FM,114)</f>
        <v>34.57</v>
      </c>
      <c r="E41" s="50">
        <f>VLOOKUP($A41,'Data shares'!$C:$FM,106)</f>
        <v>30.82</v>
      </c>
      <c r="F41" s="50">
        <f>VLOOKUP($A41,'Data shares'!$C:$FM,108)</f>
        <v>3.37</v>
      </c>
      <c r="G41" s="50">
        <f t="shared" si="1"/>
        <v>1.1093445814406229</v>
      </c>
    </row>
    <row r="42" spans="1:7" x14ac:dyDescent="0.25">
      <c r="A42" s="49" t="str">
        <f>'Data Vlaue (Cr)'!C37</f>
        <v>BPCL</v>
      </c>
      <c r="B42" s="50">
        <f>VLOOKUP($A42,'Data shares'!$C:$FM,102)</f>
        <v>43.28</v>
      </c>
      <c r="C42" s="50">
        <f>VLOOKUP($A42,'Data shares'!$C:$FM,110)</f>
        <v>40.869999999999997</v>
      </c>
      <c r="D42" s="50">
        <f>VLOOKUP($A42,'Data shares'!$C:$FM,114)</f>
        <v>45.71</v>
      </c>
      <c r="E42" s="50">
        <f>VLOOKUP($A42,'Data shares'!$C:$FM,106)</f>
        <v>33.79</v>
      </c>
      <c r="F42" s="50">
        <f>VLOOKUP($A42,'Data shares'!$C:$FM,108)</f>
        <v>9.49</v>
      </c>
      <c r="G42" s="50">
        <f t="shared" si="1"/>
        <v>1.2808523231725364</v>
      </c>
    </row>
    <row r="43" spans="1:7" x14ac:dyDescent="0.25">
      <c r="A43" s="49" t="str">
        <f>'Data Vlaue (Cr)'!C38</f>
        <v>BRITANNIA</v>
      </c>
      <c r="B43" s="50">
        <f>VLOOKUP($A43,'Data shares'!$C:$FM,102)</f>
        <v>26.31</v>
      </c>
      <c r="C43" s="50">
        <f>VLOOKUP($A43,'Data shares'!$C:$FM,110)</f>
        <v>24.8</v>
      </c>
      <c r="D43" s="50">
        <f>VLOOKUP($A43,'Data shares'!$C:$FM,114)</f>
        <v>27.63</v>
      </c>
      <c r="E43" s="50">
        <f>VLOOKUP($A43,'Data shares'!$C:$FM,106)</f>
        <v>23.99</v>
      </c>
      <c r="F43" s="50">
        <f>VLOOKUP($A43,'Data shares'!$C:$FM,108)</f>
        <v>2.3199999999999998</v>
      </c>
      <c r="G43" s="50">
        <f t="shared" si="1"/>
        <v>1.0967069612338474</v>
      </c>
    </row>
    <row r="44" spans="1:7" x14ac:dyDescent="0.25">
      <c r="A44" s="49" t="str">
        <f>'Data Vlaue (Cr)'!C39</f>
        <v>BSE</v>
      </c>
      <c r="B44" s="50">
        <f>VLOOKUP($A44,'Data shares'!$C:$FM,102)</f>
        <v>43.5</v>
      </c>
      <c r="C44" s="50">
        <f>VLOOKUP($A44,'Data shares'!$C:$FM,110)</f>
        <v>41.35</v>
      </c>
      <c r="D44" s="50">
        <f>VLOOKUP($A44,'Data shares'!$C:$FM,114)</f>
        <v>45.9</v>
      </c>
      <c r="E44" s="50">
        <f>VLOOKUP($A44,'Data shares'!$C:$FM,106)</f>
        <v>58.7</v>
      </c>
      <c r="F44" s="50">
        <f>VLOOKUP($A44,'Data shares'!$C:$FM,108)</f>
        <v>-15.2</v>
      </c>
      <c r="G44" s="50">
        <f t="shared" si="1"/>
        <v>0.74105621805792155</v>
      </c>
    </row>
    <row r="45" spans="1:7" x14ac:dyDescent="0.25">
      <c r="A45" s="49" t="str">
        <f>'Data Vlaue (Cr)'!C40</f>
        <v>CAMS</v>
      </c>
      <c r="B45" s="50">
        <f>VLOOKUP($A45,'Data shares'!$C:$FM,102)</f>
        <v>35.840000000000003</v>
      </c>
      <c r="C45" s="50">
        <f>VLOOKUP($A45,'Data shares'!$C:$FM,110)</f>
        <v>34.56</v>
      </c>
      <c r="D45" s="50">
        <f>VLOOKUP($A45,'Data shares'!$C:$FM,114)</f>
        <v>37.5</v>
      </c>
      <c r="E45" s="50">
        <f>VLOOKUP($A45,'Data shares'!$C:$FM,106)</f>
        <v>40.04</v>
      </c>
      <c r="F45" s="50">
        <f>VLOOKUP($A45,'Data shares'!$C:$FM,108)</f>
        <v>-4.2</v>
      </c>
      <c r="G45" s="50">
        <f t="shared" si="1"/>
        <v>0.89510489510489522</v>
      </c>
    </row>
    <row r="46" spans="1:7" x14ac:dyDescent="0.25">
      <c r="A46" s="49" t="str">
        <f>'Data Vlaue (Cr)'!C41</f>
        <v>CANBK</v>
      </c>
      <c r="B46" s="50">
        <f>VLOOKUP($A46,'Data shares'!$C:$FM,102)</f>
        <v>39.17</v>
      </c>
      <c r="C46" s="50">
        <f>VLOOKUP($A46,'Data shares'!$C:$FM,110)</f>
        <v>38.67</v>
      </c>
      <c r="D46" s="50">
        <f>VLOOKUP($A46,'Data shares'!$C:$FM,114)</f>
        <v>40.07</v>
      </c>
      <c r="E46" s="50">
        <f>VLOOKUP($A46,'Data shares'!$C:$FM,106)</f>
        <v>36.270000000000003</v>
      </c>
      <c r="F46" s="50">
        <f>VLOOKUP($A46,'Data shares'!$C:$FM,108)</f>
        <v>2.9</v>
      </c>
      <c r="G46" s="50">
        <f t="shared" si="1"/>
        <v>1.0799558864074992</v>
      </c>
    </row>
    <row r="47" spans="1:7" x14ac:dyDescent="0.25">
      <c r="A47" s="49" t="str">
        <f>'Data Vlaue (Cr)'!C42</f>
        <v>CDSL</v>
      </c>
      <c r="B47" s="50">
        <f>VLOOKUP($A47,'Data shares'!$C:$FM,102)</f>
        <v>38.409999999999997</v>
      </c>
      <c r="C47" s="50">
        <f>VLOOKUP($A47,'Data shares'!$C:$FM,110)</f>
        <v>38.130000000000003</v>
      </c>
      <c r="D47" s="50">
        <f>VLOOKUP($A47,'Data shares'!$C:$FM,114)</f>
        <v>39.090000000000003</v>
      </c>
      <c r="E47" s="50">
        <f>VLOOKUP($A47,'Data shares'!$C:$FM,106)</f>
        <v>44.92</v>
      </c>
      <c r="F47" s="50">
        <f>VLOOKUP($A47,'Data shares'!$C:$FM,108)</f>
        <v>-6.51</v>
      </c>
      <c r="G47" s="50">
        <f t="shared" si="1"/>
        <v>0.85507569011576123</v>
      </c>
    </row>
    <row r="48" spans="1:7" x14ac:dyDescent="0.25">
      <c r="A48" s="49" t="str">
        <f>'Data Vlaue (Cr)'!C43</f>
        <v>CGPOWER</v>
      </c>
      <c r="B48" s="50">
        <f>VLOOKUP($A48,'Data shares'!$C:$FM,102)</f>
        <v>39.57</v>
      </c>
      <c r="C48" s="50">
        <f>VLOOKUP($A48,'Data shares'!$C:$FM,110)</f>
        <v>38.92</v>
      </c>
      <c r="D48" s="50">
        <f>VLOOKUP($A48,'Data shares'!$C:$FM,114)</f>
        <v>41.53</v>
      </c>
      <c r="E48" s="50">
        <f>VLOOKUP($A48,'Data shares'!$C:$FM,106)</f>
        <v>41.82</v>
      </c>
      <c r="F48" s="50">
        <f>VLOOKUP($A48,'Data shares'!$C:$FM,108)</f>
        <v>-2.25</v>
      </c>
      <c r="G48" s="50">
        <f t="shared" si="1"/>
        <v>0.94619799139167859</v>
      </c>
    </row>
    <row r="49" spans="1:7" x14ac:dyDescent="0.25">
      <c r="A49" s="49" t="str">
        <f>'Data Vlaue (Cr)'!C44</f>
        <v>CHOLAFIN</v>
      </c>
      <c r="B49" s="50">
        <f>VLOOKUP($A49,'Data shares'!$C:$FM,102)</f>
        <v>37.85</v>
      </c>
      <c r="C49" s="50">
        <f>VLOOKUP($A49,'Data shares'!$C:$FM,110)</f>
        <v>36.5</v>
      </c>
      <c r="D49" s="50">
        <f>VLOOKUP($A49,'Data shares'!$C:$FM,114)</f>
        <v>39.56</v>
      </c>
      <c r="E49" s="50">
        <f>VLOOKUP($A49,'Data shares'!$C:$FM,106)</f>
        <v>37.43</v>
      </c>
      <c r="F49" s="50">
        <f>VLOOKUP($A49,'Data shares'!$C:$FM,108)</f>
        <v>0.42</v>
      </c>
      <c r="G49" s="50">
        <f t="shared" si="1"/>
        <v>1.0112209457654289</v>
      </c>
    </row>
    <row r="50" spans="1:7" x14ac:dyDescent="0.25">
      <c r="A50" s="49" t="str">
        <f>'Data Vlaue (Cr)'!C45</f>
        <v>CIPLA</v>
      </c>
      <c r="B50" s="50">
        <f>VLOOKUP($A50,'Data shares'!$C:$FM,102)</f>
        <v>23.14</v>
      </c>
      <c r="C50" s="50">
        <f>VLOOKUP($A50,'Data shares'!$C:$FM,110)</f>
        <v>22.39</v>
      </c>
      <c r="D50" s="50">
        <f>VLOOKUP($A50,'Data shares'!$C:$FM,114)</f>
        <v>25.46</v>
      </c>
      <c r="E50" s="50">
        <f>VLOOKUP($A50,'Data shares'!$C:$FM,106)</f>
        <v>25.01</v>
      </c>
      <c r="F50" s="50">
        <f>VLOOKUP($A50,'Data shares'!$C:$FM,108)</f>
        <v>-1.87</v>
      </c>
      <c r="G50" s="50">
        <f t="shared" si="1"/>
        <v>0.92522990803678529</v>
      </c>
    </row>
    <row r="51" spans="1:7" x14ac:dyDescent="0.25">
      <c r="A51" s="49" t="str">
        <f>'Data Vlaue (Cr)'!C46</f>
        <v>COALINDIA</v>
      </c>
      <c r="B51" s="50">
        <f>VLOOKUP($A51,'Data shares'!$C:$FM,102)</f>
        <v>31.17</v>
      </c>
      <c r="C51" s="50">
        <f>VLOOKUP($A51,'Data shares'!$C:$FM,110)</f>
        <v>30.54</v>
      </c>
      <c r="D51" s="50">
        <f>VLOOKUP($A51,'Data shares'!$C:$FM,114)</f>
        <v>32.74</v>
      </c>
      <c r="E51" s="50">
        <f>VLOOKUP($A51,'Data shares'!$C:$FM,106)</f>
        <v>30.56</v>
      </c>
      <c r="F51" s="50">
        <f>VLOOKUP($A51,'Data shares'!$C:$FM,108)</f>
        <v>0.61</v>
      </c>
      <c r="G51" s="50">
        <f t="shared" si="1"/>
        <v>1.0199607329842932</v>
      </c>
    </row>
    <row r="52" spans="1:7" x14ac:dyDescent="0.25">
      <c r="A52" s="49" t="str">
        <f>'Data Vlaue (Cr)'!C47</f>
        <v>COFORGE</v>
      </c>
      <c r="B52" s="50">
        <f>VLOOKUP($A52,'Data shares'!$C:$FM,102)</f>
        <v>47.13</v>
      </c>
      <c r="C52" s="50">
        <f>VLOOKUP($A52,'Data shares'!$C:$FM,110)</f>
        <v>46.94</v>
      </c>
      <c r="D52" s="50">
        <f>VLOOKUP($A52,'Data shares'!$C:$FM,114)</f>
        <v>47.55</v>
      </c>
      <c r="E52" s="50">
        <f>VLOOKUP($A52,'Data shares'!$C:$FM,106)</f>
        <v>42.15</v>
      </c>
      <c r="F52" s="50">
        <f>VLOOKUP($A52,'Data shares'!$C:$FM,108)</f>
        <v>4.9800000000000004</v>
      </c>
      <c r="G52" s="50">
        <f t="shared" si="1"/>
        <v>1.1181494661921709</v>
      </c>
    </row>
    <row r="53" spans="1:7" x14ac:dyDescent="0.25">
      <c r="A53" s="49" t="str">
        <f>'Data Vlaue (Cr)'!C48</f>
        <v>COLPAL</v>
      </c>
      <c r="B53" s="50">
        <f>VLOOKUP($A53,'Data shares'!$C:$FM,102)</f>
        <v>32.78</v>
      </c>
      <c r="C53" s="50">
        <f>VLOOKUP($A53,'Data shares'!$C:$FM,110)</f>
        <v>33.07</v>
      </c>
      <c r="D53" s="50">
        <f>VLOOKUP($A53,'Data shares'!$C:$FM,114)</f>
        <v>32.31</v>
      </c>
      <c r="E53" s="50">
        <f>VLOOKUP($A53,'Data shares'!$C:$FM,106)</f>
        <v>28.95</v>
      </c>
      <c r="F53" s="50">
        <f>VLOOKUP($A53,'Data shares'!$C:$FM,108)</f>
        <v>3.83</v>
      </c>
      <c r="G53" s="50">
        <f t="shared" si="1"/>
        <v>1.1322970639032817</v>
      </c>
    </row>
    <row r="54" spans="1:7" x14ac:dyDescent="0.25">
      <c r="A54" s="49" t="str">
        <f>'Data Vlaue (Cr)'!C49</f>
        <v>CONCOR</v>
      </c>
      <c r="B54" s="50">
        <f>VLOOKUP($A54,'Data shares'!$C:$FM,102)</f>
        <v>32.89</v>
      </c>
      <c r="C54" s="50">
        <f>VLOOKUP($A54,'Data shares'!$C:$FM,110)</f>
        <v>32</v>
      </c>
      <c r="D54" s="50">
        <f>VLOOKUP($A54,'Data shares'!$C:$FM,114)</f>
        <v>35.17</v>
      </c>
      <c r="E54" s="50">
        <f>VLOOKUP($A54,'Data shares'!$C:$FM,106)</f>
        <v>32.85</v>
      </c>
      <c r="F54" s="50">
        <f>VLOOKUP($A54,'Data shares'!$C:$FM,108)</f>
        <v>0.04</v>
      </c>
      <c r="G54" s="50">
        <f t="shared" si="1"/>
        <v>1.0012176560121766</v>
      </c>
    </row>
    <row r="55" spans="1:7" x14ac:dyDescent="0.25">
      <c r="A55" s="49" t="str">
        <f>'Data Vlaue (Cr)'!C50</f>
        <v>CROMPTON</v>
      </c>
      <c r="B55" s="50">
        <f>VLOOKUP($A55,'Data shares'!$C:$FM,102)</f>
        <v>33.01</v>
      </c>
      <c r="C55" s="50">
        <f>VLOOKUP($A55,'Data shares'!$C:$FM,110)</f>
        <v>32.82</v>
      </c>
      <c r="D55" s="50">
        <f>VLOOKUP($A55,'Data shares'!$C:$FM,114)</f>
        <v>33.71</v>
      </c>
      <c r="E55" s="50">
        <f>VLOOKUP($A55,'Data shares'!$C:$FM,106)</f>
        <v>32.39</v>
      </c>
      <c r="F55" s="50">
        <f>VLOOKUP($A55,'Data shares'!$C:$FM,108)</f>
        <v>0.62</v>
      </c>
      <c r="G55" s="50">
        <f t="shared" si="1"/>
        <v>1.0191417104044458</v>
      </c>
    </row>
    <row r="56" spans="1:7" x14ac:dyDescent="0.25">
      <c r="A56" s="49" t="str">
        <f>'Data Vlaue (Cr)'!C51</f>
        <v>CUMMINSIND</v>
      </c>
      <c r="B56" s="50">
        <f>VLOOKUP($A56,'Data shares'!$C:$FM,102)</f>
        <v>36.119999999999997</v>
      </c>
      <c r="C56" s="50">
        <f>VLOOKUP($A56,'Data shares'!$C:$FM,110)</f>
        <v>34.729999999999997</v>
      </c>
      <c r="D56" s="50">
        <f>VLOOKUP($A56,'Data shares'!$C:$FM,114)</f>
        <v>39.07</v>
      </c>
      <c r="E56" s="50">
        <f>VLOOKUP($A56,'Data shares'!$C:$FM,106)</f>
        <v>34.82</v>
      </c>
      <c r="F56" s="50">
        <f>VLOOKUP($A56,'Data shares'!$C:$FM,108)</f>
        <v>1.3</v>
      </c>
      <c r="G56" s="50">
        <f t="shared" si="1"/>
        <v>1.0373348650201033</v>
      </c>
    </row>
    <row r="57" spans="1:7" x14ac:dyDescent="0.25">
      <c r="A57" s="49" t="str">
        <f>'Data Vlaue (Cr)'!C52</f>
        <v>DABUR</v>
      </c>
      <c r="B57" s="50">
        <f>VLOOKUP($A57,'Data shares'!$C:$FM,102)</f>
        <v>29.41</v>
      </c>
      <c r="C57" s="50">
        <f>VLOOKUP($A57,'Data shares'!$C:$FM,110)</f>
        <v>29.68</v>
      </c>
      <c r="D57" s="50">
        <f>VLOOKUP($A57,'Data shares'!$C:$FM,114)</f>
        <v>29.12</v>
      </c>
      <c r="E57" s="50">
        <f>VLOOKUP($A57,'Data shares'!$C:$FM,106)</f>
        <v>25.3</v>
      </c>
      <c r="F57" s="50">
        <f>VLOOKUP($A57,'Data shares'!$C:$FM,108)</f>
        <v>4.1100000000000003</v>
      </c>
      <c r="G57" s="50">
        <f t="shared" si="1"/>
        <v>1.1624505928853754</v>
      </c>
    </row>
    <row r="58" spans="1:7" x14ac:dyDescent="0.25">
      <c r="A58" s="49" t="str">
        <f>'Data Vlaue (Cr)'!C53</f>
        <v>DALBHARAT</v>
      </c>
      <c r="B58" s="50">
        <f>VLOOKUP($A58,'Data shares'!$C:$FM,102)</f>
        <v>38.409999999999997</v>
      </c>
      <c r="C58" s="50">
        <f>VLOOKUP($A58,'Data shares'!$C:$FM,110)</f>
        <v>33.61</v>
      </c>
      <c r="D58" s="50">
        <f>VLOOKUP($A58,'Data shares'!$C:$FM,114)</f>
        <v>39.57</v>
      </c>
      <c r="E58" s="50">
        <f>VLOOKUP($A58,'Data shares'!$C:$FM,106)</f>
        <v>30.79</v>
      </c>
      <c r="F58" s="50">
        <f>VLOOKUP($A58,'Data shares'!$C:$FM,108)</f>
        <v>7.62</v>
      </c>
      <c r="G58" s="50">
        <f t="shared" si="1"/>
        <v>1.2474829490094186</v>
      </c>
    </row>
    <row r="59" spans="1:7" x14ac:dyDescent="0.25">
      <c r="A59" s="49" t="str">
        <f>'Data Vlaue (Cr)'!C54</f>
        <v>DELHIVERY</v>
      </c>
      <c r="B59" s="50">
        <f>VLOOKUP($A59,'Data shares'!$C:$FM,102)</f>
        <v>34.93</v>
      </c>
      <c r="C59" s="50">
        <f>VLOOKUP($A59,'Data shares'!$C:$FM,110)</f>
        <v>33.81</v>
      </c>
      <c r="D59" s="50">
        <f>VLOOKUP($A59,'Data shares'!$C:$FM,114)</f>
        <v>36.51</v>
      </c>
      <c r="E59" s="50">
        <f>VLOOKUP($A59,'Data shares'!$C:$FM,106)</f>
        <v>39.08</v>
      </c>
      <c r="F59" s="50">
        <f>VLOOKUP($A59,'Data shares'!$C:$FM,108)</f>
        <v>-4.1500000000000004</v>
      </c>
      <c r="G59" s="50">
        <f t="shared" si="1"/>
        <v>0.89380757420675538</v>
      </c>
    </row>
    <row r="60" spans="1:7" x14ac:dyDescent="0.25">
      <c r="A60" s="49" t="str">
        <f>'Data Vlaue (Cr)'!C55</f>
        <v>DIVISLAB</v>
      </c>
      <c r="B60" s="50">
        <f>VLOOKUP($A60,'Data shares'!$C:$FM,102)</f>
        <v>28.92</v>
      </c>
      <c r="C60" s="50">
        <f>VLOOKUP($A60,'Data shares'!$C:$FM,110)</f>
        <v>28.62</v>
      </c>
      <c r="D60" s="50">
        <f>VLOOKUP($A60,'Data shares'!$C:$FM,114)</f>
        <v>29.55</v>
      </c>
      <c r="E60" s="50">
        <f>VLOOKUP($A60,'Data shares'!$C:$FM,106)</f>
        <v>29.97</v>
      </c>
      <c r="F60" s="50">
        <f>VLOOKUP($A60,'Data shares'!$C:$FM,108)</f>
        <v>-1.05</v>
      </c>
      <c r="G60" s="50">
        <f t="shared" si="1"/>
        <v>0.96496496496496509</v>
      </c>
    </row>
    <row r="61" spans="1:7" x14ac:dyDescent="0.25">
      <c r="A61" s="49" t="str">
        <f>'Data Vlaue (Cr)'!C56</f>
        <v>DIXON</v>
      </c>
      <c r="B61" s="50">
        <f>VLOOKUP($A61,'Data shares'!$C:$FM,102)</f>
        <v>50.12</v>
      </c>
      <c r="C61" s="50">
        <f>VLOOKUP($A61,'Data shares'!$C:$FM,110)</f>
        <v>49.46</v>
      </c>
      <c r="D61" s="50">
        <f>VLOOKUP($A61,'Data shares'!$C:$FM,114)</f>
        <v>51.79</v>
      </c>
      <c r="E61" s="50">
        <f>VLOOKUP($A61,'Data shares'!$C:$FM,106)</f>
        <v>47.32</v>
      </c>
      <c r="F61" s="50">
        <f>VLOOKUP($A61,'Data shares'!$C:$FM,108)</f>
        <v>2.8</v>
      </c>
      <c r="G61" s="50">
        <f t="shared" si="1"/>
        <v>1.059171597633136</v>
      </c>
    </row>
    <row r="62" spans="1:7" x14ac:dyDescent="0.25">
      <c r="A62" s="49" t="str">
        <f>'Data Vlaue (Cr)'!C57</f>
        <v>DLF</v>
      </c>
      <c r="B62" s="50">
        <f>VLOOKUP($A62,'Data shares'!$C:$FM,102)</f>
        <v>41.89</v>
      </c>
      <c r="C62" s="50">
        <f>VLOOKUP($A62,'Data shares'!$C:$FM,110)</f>
        <v>40.42</v>
      </c>
      <c r="D62" s="50">
        <f>VLOOKUP($A62,'Data shares'!$C:$FM,114)</f>
        <v>44.19</v>
      </c>
      <c r="E62" s="50">
        <f>VLOOKUP($A62,'Data shares'!$C:$FM,106)</f>
        <v>35.840000000000003</v>
      </c>
      <c r="F62" s="50">
        <f>VLOOKUP($A62,'Data shares'!$C:$FM,108)</f>
        <v>6.05</v>
      </c>
      <c r="G62" s="50">
        <f t="shared" si="1"/>
        <v>1.1688058035714284</v>
      </c>
    </row>
    <row r="63" spans="1:7" x14ac:dyDescent="0.25">
      <c r="A63" s="49" t="str">
        <f>'Data Vlaue (Cr)'!C58</f>
        <v>DMART</v>
      </c>
      <c r="B63" s="50">
        <f>VLOOKUP($A63,'Data shares'!$C:$FM,102)</f>
        <v>27.25</v>
      </c>
      <c r="C63" s="50">
        <f>VLOOKUP($A63,'Data shares'!$C:$FM,110)</f>
        <v>26.12</v>
      </c>
      <c r="D63" s="50">
        <f>VLOOKUP($A63,'Data shares'!$C:$FM,114)</f>
        <v>29.57</v>
      </c>
      <c r="E63" s="50">
        <f>VLOOKUP($A63,'Data shares'!$C:$FM,106)</f>
        <v>29.88</v>
      </c>
      <c r="F63" s="50">
        <f>VLOOKUP($A63,'Data shares'!$C:$FM,108)</f>
        <v>-2.63</v>
      </c>
      <c r="G63" s="50">
        <f t="shared" si="1"/>
        <v>0.91198125836680055</v>
      </c>
    </row>
    <row r="64" spans="1:7" x14ac:dyDescent="0.25">
      <c r="A64" s="49" t="str">
        <f>'Data Vlaue (Cr)'!C59</f>
        <v>DRREDDY</v>
      </c>
      <c r="B64" s="50">
        <f>VLOOKUP($A64,'Data shares'!$C:$FM,102)</f>
        <v>23.93</v>
      </c>
      <c r="C64" s="50">
        <f>VLOOKUP($A64,'Data shares'!$C:$FM,110)</f>
        <v>22.97</v>
      </c>
      <c r="D64" s="50">
        <f>VLOOKUP($A64,'Data shares'!$C:$FM,114)</f>
        <v>26.54</v>
      </c>
      <c r="E64" s="50">
        <f>VLOOKUP($A64,'Data shares'!$C:$FM,106)</f>
        <v>24.98</v>
      </c>
      <c r="F64" s="50">
        <f>VLOOKUP($A64,'Data shares'!$C:$FM,108)</f>
        <v>-1.05</v>
      </c>
      <c r="G64" s="50">
        <f t="shared" si="1"/>
        <v>0.95796637309847876</v>
      </c>
    </row>
    <row r="65" spans="1:7" x14ac:dyDescent="0.25">
      <c r="A65" s="49" t="str">
        <f>'Data Vlaue (Cr)'!C60</f>
        <v>EICHERMOT</v>
      </c>
      <c r="B65" s="50">
        <f>VLOOKUP($A65,'Data shares'!$C:$FM,102)</f>
        <v>36.86</v>
      </c>
      <c r="C65" s="50">
        <f>VLOOKUP($A65,'Data shares'!$C:$FM,110)</f>
        <v>36.840000000000003</v>
      </c>
      <c r="D65" s="50">
        <f>VLOOKUP($A65,'Data shares'!$C:$FM,114)</f>
        <v>36.89</v>
      </c>
      <c r="E65" s="50">
        <f>VLOOKUP($A65,'Data shares'!$C:$FM,106)</f>
        <v>30.04</v>
      </c>
      <c r="F65" s="50">
        <f>VLOOKUP($A65,'Data shares'!$C:$FM,108)</f>
        <v>6.82</v>
      </c>
      <c r="G65" s="50">
        <f t="shared" si="1"/>
        <v>1.2270306258322237</v>
      </c>
    </row>
    <row r="66" spans="1:7" x14ac:dyDescent="0.25">
      <c r="A66" s="49" t="str">
        <f>'Data Vlaue (Cr)'!C61</f>
        <v>ETERNAL</v>
      </c>
      <c r="B66" s="50">
        <f>VLOOKUP($A66,'Data shares'!$C:$FM,102)</f>
        <v>48.98</v>
      </c>
      <c r="C66" s="50">
        <f>VLOOKUP($A66,'Data shares'!$C:$FM,110)</f>
        <v>46.05</v>
      </c>
      <c r="D66" s="50">
        <f>VLOOKUP($A66,'Data shares'!$C:$FM,114)</f>
        <v>51.4</v>
      </c>
      <c r="E66" s="50">
        <f>VLOOKUP($A66,'Data shares'!$C:$FM,106)</f>
        <v>44.47</v>
      </c>
      <c r="F66" s="50">
        <f>VLOOKUP($A66,'Data shares'!$C:$FM,108)</f>
        <v>4.51</v>
      </c>
      <c r="G66" s="50">
        <f t="shared" si="1"/>
        <v>1.1014166854058915</v>
      </c>
    </row>
    <row r="67" spans="1:7" x14ac:dyDescent="0.25">
      <c r="A67" s="49" t="str">
        <f>'Data Vlaue (Cr)'!C62</f>
        <v>EXIDEIND</v>
      </c>
      <c r="B67" s="50">
        <f>VLOOKUP($A67,'Data shares'!$C:$FM,102)</f>
        <v>34.72</v>
      </c>
      <c r="C67" s="50">
        <f>VLOOKUP($A67,'Data shares'!$C:$FM,110)</f>
        <v>34.380000000000003</v>
      </c>
      <c r="D67" s="50">
        <f>VLOOKUP($A67,'Data shares'!$C:$FM,114)</f>
        <v>35.76</v>
      </c>
      <c r="E67" s="50">
        <f>VLOOKUP($A67,'Data shares'!$C:$FM,106)</f>
        <v>32.85</v>
      </c>
      <c r="F67" s="50">
        <f>VLOOKUP($A67,'Data shares'!$C:$FM,108)</f>
        <v>1.87</v>
      </c>
      <c r="G67" s="50">
        <f t="shared" si="1"/>
        <v>1.056925418569254</v>
      </c>
    </row>
    <row r="68" spans="1:7" x14ac:dyDescent="0.25">
      <c r="A68" s="49" t="str">
        <f>'Data Vlaue (Cr)'!C63</f>
        <v>FEDERALBNK</v>
      </c>
      <c r="B68" s="50">
        <f>VLOOKUP($A68,'Data shares'!$C:$FM,102)</f>
        <v>32.96</v>
      </c>
      <c r="C68" s="50">
        <f>VLOOKUP($A68,'Data shares'!$C:$FM,110)</f>
        <v>32.659999999999997</v>
      </c>
      <c r="D68" s="50">
        <f>VLOOKUP($A68,'Data shares'!$C:$FM,114)</f>
        <v>33.71</v>
      </c>
      <c r="E68" s="50">
        <f>VLOOKUP($A68,'Data shares'!$C:$FM,106)</f>
        <v>30.4</v>
      </c>
      <c r="F68" s="50">
        <f>VLOOKUP($A68,'Data shares'!$C:$FM,108)</f>
        <v>2.56</v>
      </c>
      <c r="G68" s="50">
        <f t="shared" si="1"/>
        <v>1.0842105263157895</v>
      </c>
    </row>
    <row r="69" spans="1:7" x14ac:dyDescent="0.25">
      <c r="A69" s="49" t="str">
        <f>'Data Vlaue (Cr)'!C64</f>
        <v>FINNIFTY</v>
      </c>
      <c r="B69" s="50">
        <f>VLOOKUP($A69,'Data shares'!$C:$FM,102)</f>
        <v>25.83</v>
      </c>
      <c r="C69" s="50">
        <f>VLOOKUP($A69,'Data shares'!$C:$FM,110)</f>
        <v>23.67</v>
      </c>
      <c r="D69" s="50">
        <f>VLOOKUP($A69,'Data shares'!$C:$FM,114)</f>
        <v>27.46</v>
      </c>
      <c r="E69" s="50">
        <f>VLOOKUP($A69,'Data shares'!$C:$FM,106)</f>
        <v>17.66</v>
      </c>
      <c r="F69" s="50">
        <f>VLOOKUP($A69,'Data shares'!$C:$FM,108)</f>
        <v>8.17</v>
      </c>
      <c r="G69" s="50">
        <f t="shared" si="1"/>
        <v>1.4626274065685163</v>
      </c>
    </row>
    <row r="70" spans="1:7" x14ac:dyDescent="0.25">
      <c r="A70" s="49" t="str">
        <f>'Data Vlaue (Cr)'!C65</f>
        <v>FORTIS</v>
      </c>
      <c r="B70" s="50">
        <f>VLOOKUP($A70,'Data shares'!$C:$FM,102)</f>
        <v>32.450000000000003</v>
      </c>
      <c r="C70" s="50">
        <f>VLOOKUP($A70,'Data shares'!$C:$FM,110)</f>
        <v>32.299999999999997</v>
      </c>
      <c r="D70" s="50">
        <f>VLOOKUP($A70,'Data shares'!$C:$FM,114)</f>
        <v>33</v>
      </c>
      <c r="E70" s="50">
        <f>VLOOKUP($A70,'Data shares'!$C:$FM,106)</f>
        <v>34.619999999999997</v>
      </c>
      <c r="F70" s="50">
        <f>VLOOKUP($A70,'Data shares'!$C:$FM,108)</f>
        <v>-2.17</v>
      </c>
      <c r="G70" s="50">
        <f t="shared" si="1"/>
        <v>0.93731946851530923</v>
      </c>
    </row>
    <row r="71" spans="1:7" x14ac:dyDescent="0.25">
      <c r="A71" s="49" t="str">
        <f>'Data Vlaue (Cr)'!C66</f>
        <v>GAIL</v>
      </c>
      <c r="B71" s="50">
        <f>VLOOKUP($A71,'Data shares'!$C:$FM,102)</f>
        <v>41.16</v>
      </c>
      <c r="C71" s="50">
        <f>VLOOKUP($A71,'Data shares'!$C:$FM,110)</f>
        <v>40.729999999999997</v>
      </c>
      <c r="D71" s="50">
        <f>VLOOKUP($A71,'Data shares'!$C:$FM,114)</f>
        <v>42.22</v>
      </c>
      <c r="E71" s="50">
        <f>VLOOKUP($A71,'Data shares'!$C:$FM,106)</f>
        <v>34.369999999999997</v>
      </c>
      <c r="F71" s="50">
        <f>VLOOKUP($A71,'Data shares'!$C:$FM,108)</f>
        <v>6.79</v>
      </c>
      <c r="G71" s="50">
        <f t="shared" ref="G71:G102" si="2">B71/E71</f>
        <v>1.1975560081466394</v>
      </c>
    </row>
    <row r="72" spans="1:7" x14ac:dyDescent="0.25">
      <c r="A72" s="49" t="str">
        <f>'Data Vlaue (Cr)'!C67</f>
        <v>GLENMARK</v>
      </c>
      <c r="B72" s="50">
        <f>VLOOKUP($A72,'Data shares'!$C:$FM,102)</f>
        <v>35.880000000000003</v>
      </c>
      <c r="C72" s="50">
        <f>VLOOKUP($A72,'Data shares'!$C:$FM,110)</f>
        <v>34.64</v>
      </c>
      <c r="D72" s="50">
        <f>VLOOKUP($A72,'Data shares'!$C:$FM,114)</f>
        <v>37.590000000000003</v>
      </c>
      <c r="E72" s="50">
        <f>VLOOKUP($A72,'Data shares'!$C:$FM,106)</f>
        <v>35.32</v>
      </c>
      <c r="F72" s="50">
        <f>VLOOKUP($A72,'Data shares'!$C:$FM,108)</f>
        <v>0.56000000000000005</v>
      </c>
      <c r="G72" s="50">
        <f t="shared" si="2"/>
        <v>1.0158550396375992</v>
      </c>
    </row>
    <row r="73" spans="1:7" x14ac:dyDescent="0.25">
      <c r="A73" s="49" t="str">
        <f>'Data Vlaue (Cr)'!C68</f>
        <v>GMRAIRPORT</v>
      </c>
      <c r="B73" s="50">
        <f>VLOOKUP($A73,'Data shares'!$C:$FM,102)</f>
        <v>39.97</v>
      </c>
      <c r="C73" s="50">
        <f>VLOOKUP($A73,'Data shares'!$C:$FM,110)</f>
        <v>38.950000000000003</v>
      </c>
      <c r="D73" s="50">
        <f>VLOOKUP($A73,'Data shares'!$C:$FM,114)</f>
        <v>40.909999999999997</v>
      </c>
      <c r="E73" s="50">
        <f>VLOOKUP($A73,'Data shares'!$C:$FM,106)</f>
        <v>38.24</v>
      </c>
      <c r="F73" s="50">
        <f>VLOOKUP($A73,'Data shares'!$C:$FM,108)</f>
        <v>1.73</v>
      </c>
      <c r="G73" s="50">
        <f t="shared" si="2"/>
        <v>1.0452405857740585</v>
      </c>
    </row>
    <row r="74" spans="1:7" x14ac:dyDescent="0.25">
      <c r="A74" s="49" t="str">
        <f>'Data Vlaue (Cr)'!C69</f>
        <v>GODREJCP</v>
      </c>
      <c r="B74" s="50">
        <f>VLOOKUP($A74,'Data shares'!$C:$FM,102)</f>
        <v>32.11</v>
      </c>
      <c r="C74" s="50">
        <f>VLOOKUP($A74,'Data shares'!$C:$FM,110)</f>
        <v>31.48</v>
      </c>
      <c r="D74" s="50">
        <f>VLOOKUP($A74,'Data shares'!$C:$FM,114)</f>
        <v>32.89</v>
      </c>
      <c r="E74" s="50">
        <f>VLOOKUP($A74,'Data shares'!$C:$FM,106)</f>
        <v>29.19</v>
      </c>
      <c r="F74" s="50">
        <f>VLOOKUP($A74,'Data shares'!$C:$FM,108)</f>
        <v>2.92</v>
      </c>
      <c r="G74" s="50">
        <f t="shared" si="2"/>
        <v>1.1000342583076395</v>
      </c>
    </row>
    <row r="75" spans="1:7" x14ac:dyDescent="0.25">
      <c r="A75" s="49" t="str">
        <f>'Data Vlaue (Cr)'!C70</f>
        <v>GODREJPROP</v>
      </c>
      <c r="B75" s="50">
        <f>VLOOKUP($A75,'Data shares'!$C:$FM,102)</f>
        <v>45.96</v>
      </c>
      <c r="C75" s="50">
        <f>VLOOKUP($A75,'Data shares'!$C:$FM,110)</f>
        <v>44.31</v>
      </c>
      <c r="D75" s="50">
        <f>VLOOKUP($A75,'Data shares'!$C:$FM,114)</f>
        <v>47.91</v>
      </c>
      <c r="E75" s="50">
        <f>VLOOKUP($A75,'Data shares'!$C:$FM,106)</f>
        <v>44.59</v>
      </c>
      <c r="F75" s="50">
        <f>VLOOKUP($A75,'Data shares'!$C:$FM,108)</f>
        <v>1.37</v>
      </c>
      <c r="G75" s="50">
        <f t="shared" si="2"/>
        <v>1.0307243776631532</v>
      </c>
    </row>
    <row r="76" spans="1:7" x14ac:dyDescent="0.25">
      <c r="A76" s="49" t="str">
        <f>'Data Vlaue (Cr)'!C71</f>
        <v>GRASIM</v>
      </c>
      <c r="B76" s="50">
        <f>VLOOKUP($A76,'Data shares'!$C:$FM,102)</f>
        <v>27.04</v>
      </c>
      <c r="C76" s="50">
        <f>VLOOKUP($A76,'Data shares'!$C:$FM,110)</f>
        <v>26.47</v>
      </c>
      <c r="D76" s="50">
        <f>VLOOKUP($A76,'Data shares'!$C:$FM,114)</f>
        <v>27.84</v>
      </c>
      <c r="E76" s="50">
        <f>VLOOKUP($A76,'Data shares'!$C:$FM,106)</f>
        <v>25.93</v>
      </c>
      <c r="F76" s="50">
        <f>VLOOKUP($A76,'Data shares'!$C:$FM,108)</f>
        <v>1.1100000000000001</v>
      </c>
      <c r="G76" s="50">
        <f t="shared" si="2"/>
        <v>1.0428075588121866</v>
      </c>
    </row>
    <row r="77" spans="1:7" x14ac:dyDescent="0.25">
      <c r="A77" s="49" t="str">
        <f>'Data Vlaue (Cr)'!C72</f>
        <v>HAL</v>
      </c>
      <c r="B77" s="50">
        <f>VLOOKUP($A77,'Data shares'!$C:$FM,102)</f>
        <v>37.65</v>
      </c>
      <c r="C77" s="50">
        <f>VLOOKUP($A77,'Data shares'!$C:$FM,110)</f>
        <v>37.880000000000003</v>
      </c>
      <c r="D77" s="50">
        <f>VLOOKUP($A77,'Data shares'!$C:$FM,114)</f>
        <v>36.93</v>
      </c>
      <c r="E77" s="50">
        <f>VLOOKUP($A77,'Data shares'!$C:$FM,106)</f>
        <v>38.159999999999997</v>
      </c>
      <c r="F77" s="50">
        <f>VLOOKUP($A77,'Data shares'!$C:$FM,108)</f>
        <v>-0.51</v>
      </c>
      <c r="G77" s="50">
        <f t="shared" si="2"/>
        <v>0.98663522012578619</v>
      </c>
    </row>
    <row r="78" spans="1:7" x14ac:dyDescent="0.25">
      <c r="A78" s="49" t="str">
        <f>'Data Vlaue (Cr)'!C73</f>
        <v>HAVELLS</v>
      </c>
      <c r="B78" s="50">
        <f>VLOOKUP($A78,'Data shares'!$C:$FM,102)</f>
        <v>29.19</v>
      </c>
      <c r="C78" s="50">
        <f>VLOOKUP($A78,'Data shares'!$C:$FM,110)</f>
        <v>28.32</v>
      </c>
      <c r="D78" s="50">
        <f>VLOOKUP($A78,'Data shares'!$C:$FM,114)</f>
        <v>30.47</v>
      </c>
      <c r="E78" s="50">
        <f>VLOOKUP($A78,'Data shares'!$C:$FM,106)</f>
        <v>28.16</v>
      </c>
      <c r="F78" s="50">
        <f>VLOOKUP($A78,'Data shares'!$C:$FM,108)</f>
        <v>1.03</v>
      </c>
      <c r="G78" s="50">
        <f t="shared" si="2"/>
        <v>1.0365767045454546</v>
      </c>
    </row>
    <row r="79" spans="1:7" x14ac:dyDescent="0.25">
      <c r="A79" s="49" t="str">
        <f>'Data Vlaue (Cr)'!C74</f>
        <v>HCLTECH</v>
      </c>
      <c r="B79" s="50">
        <f>VLOOKUP($A79,'Data shares'!$C:$FM,102)</f>
        <v>31.16</v>
      </c>
      <c r="C79" s="50">
        <f>VLOOKUP($A79,'Data shares'!$C:$FM,110)</f>
        <v>30.18</v>
      </c>
      <c r="D79" s="50">
        <f>VLOOKUP($A79,'Data shares'!$C:$FM,114)</f>
        <v>33.200000000000003</v>
      </c>
      <c r="E79" s="50">
        <f>VLOOKUP($A79,'Data shares'!$C:$FM,106)</f>
        <v>28.92</v>
      </c>
      <c r="F79" s="50">
        <f>VLOOKUP($A79,'Data shares'!$C:$FM,108)</f>
        <v>2.2400000000000002</v>
      </c>
      <c r="G79" s="50">
        <f t="shared" si="2"/>
        <v>1.0774550484094052</v>
      </c>
    </row>
    <row r="80" spans="1:7" x14ac:dyDescent="0.25">
      <c r="A80" s="49" t="str">
        <f>'Data Vlaue (Cr)'!C75</f>
        <v>HDFCAMC</v>
      </c>
      <c r="B80" s="50">
        <f>VLOOKUP($A80,'Data shares'!$C:$FM,102)</f>
        <v>36.01</v>
      </c>
      <c r="C80" s="50">
        <f>VLOOKUP($A80,'Data shares'!$C:$FM,110)</f>
        <v>35.229999999999997</v>
      </c>
      <c r="D80" s="50">
        <f>VLOOKUP($A80,'Data shares'!$C:$FM,114)</f>
        <v>37.450000000000003</v>
      </c>
      <c r="E80" s="50">
        <f>VLOOKUP($A80,'Data shares'!$C:$FM,106)</f>
        <v>34.68</v>
      </c>
      <c r="F80" s="50">
        <f>VLOOKUP($A80,'Data shares'!$C:$FM,108)</f>
        <v>1.33</v>
      </c>
      <c r="G80" s="50">
        <f t="shared" si="2"/>
        <v>1.0383506343713955</v>
      </c>
    </row>
    <row r="81" spans="1:7" x14ac:dyDescent="0.25">
      <c r="A81" s="49" t="str">
        <f>'Data Vlaue (Cr)'!C76</f>
        <v>HDFCBANK</v>
      </c>
      <c r="B81" s="50">
        <f>VLOOKUP($A81,'Data shares'!$C:$FM,102)</f>
        <v>25.32</v>
      </c>
      <c r="C81" s="50">
        <f>VLOOKUP($A81,'Data shares'!$C:$FM,110)</f>
        <v>24.94</v>
      </c>
      <c r="D81" s="50">
        <f>VLOOKUP($A81,'Data shares'!$C:$FM,114)</f>
        <v>25.99</v>
      </c>
      <c r="E81" s="50">
        <f>VLOOKUP($A81,'Data shares'!$C:$FM,106)</f>
        <v>20.03</v>
      </c>
      <c r="F81" s="50">
        <f>VLOOKUP($A81,'Data shares'!$C:$FM,108)</f>
        <v>5.29</v>
      </c>
      <c r="G81" s="50">
        <f t="shared" si="2"/>
        <v>1.2641038442336494</v>
      </c>
    </row>
    <row r="82" spans="1:7" x14ac:dyDescent="0.25">
      <c r="A82" s="49" t="str">
        <f>'Data Vlaue (Cr)'!C77</f>
        <v>HDFCLIFE</v>
      </c>
      <c r="B82" s="50">
        <f>VLOOKUP($A82,'Data shares'!$C:$FM,102)</f>
        <v>27.47</v>
      </c>
      <c r="C82" s="50">
        <f>VLOOKUP($A82,'Data shares'!$C:$FM,110)</f>
        <v>27.44</v>
      </c>
      <c r="D82" s="50">
        <f>VLOOKUP($A82,'Data shares'!$C:$FM,114)</f>
        <v>27.55</v>
      </c>
      <c r="E82" s="50">
        <f>VLOOKUP($A82,'Data shares'!$C:$FM,106)</f>
        <v>25.05</v>
      </c>
      <c r="F82" s="50">
        <f>VLOOKUP($A82,'Data shares'!$C:$FM,108)</f>
        <v>2.42</v>
      </c>
      <c r="G82" s="50">
        <f t="shared" si="2"/>
        <v>1.0966067864271456</v>
      </c>
    </row>
    <row r="83" spans="1:7" x14ac:dyDescent="0.25">
      <c r="A83" s="49" t="str">
        <f>'Data Vlaue (Cr)'!C78</f>
        <v>HEROMOTOCO</v>
      </c>
      <c r="B83" s="50">
        <f>VLOOKUP($A83,'Data shares'!$C:$FM,102)</f>
        <v>35.520000000000003</v>
      </c>
      <c r="C83" s="50">
        <f>VLOOKUP($A83,'Data shares'!$C:$FM,110)</f>
        <v>34.49</v>
      </c>
      <c r="D83" s="50">
        <f>VLOOKUP($A83,'Data shares'!$C:$FM,114)</f>
        <v>37.1</v>
      </c>
      <c r="E83" s="50">
        <f>VLOOKUP($A83,'Data shares'!$C:$FM,106)</f>
        <v>31.15</v>
      </c>
      <c r="F83" s="50">
        <f>VLOOKUP($A83,'Data shares'!$C:$FM,108)</f>
        <v>4.37</v>
      </c>
      <c r="G83" s="50">
        <f t="shared" si="2"/>
        <v>1.1402889245585877</v>
      </c>
    </row>
    <row r="84" spans="1:7" x14ac:dyDescent="0.25">
      <c r="A84" s="49" t="str">
        <f>'Data Vlaue (Cr)'!C79</f>
        <v>HINDALCO</v>
      </c>
      <c r="B84" s="50">
        <f>VLOOKUP($A84,'Data shares'!$C:$FM,102)</f>
        <v>36.6</v>
      </c>
      <c r="C84" s="50">
        <f>VLOOKUP($A84,'Data shares'!$C:$FM,110)</f>
        <v>35.85</v>
      </c>
      <c r="D84" s="50">
        <f>VLOOKUP($A84,'Data shares'!$C:$FM,114)</f>
        <v>37.770000000000003</v>
      </c>
      <c r="E84" s="50">
        <f>VLOOKUP($A84,'Data shares'!$C:$FM,106)</f>
        <v>34.96</v>
      </c>
      <c r="F84" s="50">
        <f>VLOOKUP($A84,'Data shares'!$C:$FM,108)</f>
        <v>1.64</v>
      </c>
      <c r="G84" s="50">
        <f t="shared" si="2"/>
        <v>1.0469107551487413</v>
      </c>
    </row>
    <row r="85" spans="1:7" x14ac:dyDescent="0.25">
      <c r="A85" s="49" t="str">
        <f>'Data Vlaue (Cr)'!C80</f>
        <v>HINDPETRO</v>
      </c>
      <c r="B85" s="50">
        <f>VLOOKUP($A85,'Data shares'!$C:$FM,102)</f>
        <v>47.25</v>
      </c>
      <c r="C85" s="50">
        <f>VLOOKUP($A85,'Data shares'!$C:$FM,110)</f>
        <v>45.28</v>
      </c>
      <c r="D85" s="50">
        <f>VLOOKUP($A85,'Data shares'!$C:$FM,114)</f>
        <v>49.51</v>
      </c>
      <c r="E85" s="50">
        <f>VLOOKUP($A85,'Data shares'!$C:$FM,106)</f>
        <v>40.020000000000003</v>
      </c>
      <c r="F85" s="50">
        <f>VLOOKUP($A85,'Data shares'!$C:$FM,108)</f>
        <v>7.23</v>
      </c>
      <c r="G85" s="50">
        <f t="shared" si="2"/>
        <v>1.1806596701649175</v>
      </c>
    </row>
    <row r="86" spans="1:7" x14ac:dyDescent="0.25">
      <c r="A86" s="49" t="str">
        <f>'Data Vlaue (Cr)'!C81</f>
        <v>HINDUNILVR</v>
      </c>
      <c r="B86" s="50">
        <f>VLOOKUP($A86,'Data shares'!$C:$FM,102)</f>
        <v>22.97</v>
      </c>
      <c r="C86" s="50">
        <f>VLOOKUP($A86,'Data shares'!$C:$FM,110)</f>
        <v>22.65</v>
      </c>
      <c r="D86" s="50">
        <f>VLOOKUP($A86,'Data shares'!$C:$FM,114)</f>
        <v>23.68</v>
      </c>
      <c r="E86" s="50">
        <f>VLOOKUP($A86,'Data shares'!$C:$FM,106)</f>
        <v>22.7</v>
      </c>
      <c r="F86" s="50">
        <f>VLOOKUP($A86,'Data shares'!$C:$FM,108)</f>
        <v>0.27</v>
      </c>
      <c r="G86" s="50">
        <f t="shared" si="2"/>
        <v>1.0118942731277534</v>
      </c>
    </row>
    <row r="87" spans="1:7" x14ac:dyDescent="0.25">
      <c r="A87" s="49" t="str">
        <f>'Data Vlaue (Cr)'!C82</f>
        <v>HINDZINC</v>
      </c>
      <c r="B87" s="50">
        <f>VLOOKUP($A87,'Data shares'!$C:$FM,102)</f>
        <v>40.86</v>
      </c>
      <c r="C87" s="50">
        <f>VLOOKUP($A87,'Data shares'!$C:$FM,110)</f>
        <v>40.74</v>
      </c>
      <c r="D87" s="50">
        <f>VLOOKUP($A87,'Data shares'!$C:$FM,114)</f>
        <v>41.06</v>
      </c>
      <c r="E87" s="50">
        <f>VLOOKUP($A87,'Data shares'!$C:$FM,106)</f>
        <v>49.65</v>
      </c>
      <c r="F87" s="50">
        <f>VLOOKUP($A87,'Data shares'!$C:$FM,108)</f>
        <v>-8.7899999999999991</v>
      </c>
      <c r="G87" s="50">
        <f t="shared" si="2"/>
        <v>0.82296072507552875</v>
      </c>
    </row>
    <row r="88" spans="1:7" x14ac:dyDescent="0.25">
      <c r="A88" s="49" t="str">
        <f>'Data Vlaue (Cr)'!C83</f>
        <v>HUDCO</v>
      </c>
      <c r="B88" s="50">
        <f>VLOOKUP($A88,'Data shares'!$C:$FM,102)</f>
        <v>38.68</v>
      </c>
      <c r="C88" s="50">
        <f>VLOOKUP($A88,'Data shares'!$C:$FM,110)</f>
        <v>38.17</v>
      </c>
      <c r="D88" s="50">
        <f>VLOOKUP($A88,'Data shares'!$C:$FM,114)</f>
        <v>40.47</v>
      </c>
      <c r="E88" s="50">
        <f>VLOOKUP($A88,'Data shares'!$C:$FM,106)</f>
        <v>48.97</v>
      </c>
      <c r="F88" s="50">
        <f>VLOOKUP($A88,'Data shares'!$C:$FM,108)</f>
        <v>-10.29</v>
      </c>
      <c r="G88" s="50">
        <f t="shared" si="2"/>
        <v>0.78987134980600371</v>
      </c>
    </row>
    <row r="89" spans="1:7" x14ac:dyDescent="0.25">
      <c r="A89" s="49" t="str">
        <f>'Data Vlaue (Cr)'!C84</f>
        <v>ICICIBANK</v>
      </c>
      <c r="B89" s="50">
        <f>VLOOKUP($A89,'Data shares'!$C:$FM,102)</f>
        <v>25.39</v>
      </c>
      <c r="C89" s="50">
        <f>VLOOKUP($A89,'Data shares'!$C:$FM,110)</f>
        <v>24.86</v>
      </c>
      <c r="D89" s="50">
        <f>VLOOKUP($A89,'Data shares'!$C:$FM,114)</f>
        <v>26.38</v>
      </c>
      <c r="E89" s="50">
        <f>VLOOKUP($A89,'Data shares'!$C:$FM,106)</f>
        <v>21.93</v>
      </c>
      <c r="F89" s="50">
        <f>VLOOKUP($A89,'Data shares'!$C:$FM,108)</f>
        <v>3.46</v>
      </c>
      <c r="G89" s="50">
        <f t="shared" si="2"/>
        <v>1.1577747378020977</v>
      </c>
    </row>
    <row r="90" spans="1:7" x14ac:dyDescent="0.25">
      <c r="A90" s="49" t="str">
        <f>'Data Vlaue (Cr)'!C85</f>
        <v>ICICIGI</v>
      </c>
      <c r="B90" s="50">
        <f>VLOOKUP($A90,'Data shares'!$C:$FM,102)</f>
        <v>22.45</v>
      </c>
      <c r="C90" s="50">
        <f>VLOOKUP($A90,'Data shares'!$C:$FM,110)</f>
        <v>22.06</v>
      </c>
      <c r="D90" s="50">
        <f>VLOOKUP($A90,'Data shares'!$C:$FM,114)</f>
        <v>23.53</v>
      </c>
      <c r="E90" s="50">
        <f>VLOOKUP($A90,'Data shares'!$C:$FM,106)</f>
        <v>26.73</v>
      </c>
      <c r="F90" s="50">
        <f>VLOOKUP($A90,'Data shares'!$C:$FM,108)</f>
        <v>-4.28</v>
      </c>
      <c r="G90" s="50">
        <f t="shared" si="2"/>
        <v>0.83988028432472872</v>
      </c>
    </row>
    <row r="91" spans="1:7" x14ac:dyDescent="0.25">
      <c r="A91" s="49" t="str">
        <f>'Data Vlaue (Cr)'!C86</f>
        <v>ICICIPRULI</v>
      </c>
      <c r="B91" s="50">
        <f>VLOOKUP($A91,'Data shares'!$C:$FM,102)</f>
        <v>29.94</v>
      </c>
      <c r="C91" s="50">
        <f>VLOOKUP($A91,'Data shares'!$C:$FM,110)</f>
        <v>28.71</v>
      </c>
      <c r="D91" s="50">
        <f>VLOOKUP($A91,'Data shares'!$C:$FM,114)</f>
        <v>31.39</v>
      </c>
      <c r="E91" s="50">
        <f>VLOOKUP($A91,'Data shares'!$C:$FM,106)</f>
        <v>27</v>
      </c>
      <c r="F91" s="50">
        <f>VLOOKUP($A91,'Data shares'!$C:$FM,108)</f>
        <v>2.94</v>
      </c>
      <c r="G91" s="50">
        <f t="shared" si="2"/>
        <v>1.108888888888889</v>
      </c>
    </row>
    <row r="92" spans="1:7" x14ac:dyDescent="0.25">
      <c r="A92" s="49" t="str">
        <f>'Data Vlaue (Cr)'!C87</f>
        <v>IDEA</v>
      </c>
      <c r="B92" s="50">
        <f>VLOOKUP($A92,'Data shares'!$C:$FM,102)</f>
        <v>63.6</v>
      </c>
      <c r="C92" s="50">
        <f>VLOOKUP($A92,'Data shares'!$C:$FM,110)</f>
        <v>63.93</v>
      </c>
      <c r="D92" s="50">
        <f>VLOOKUP($A92,'Data shares'!$C:$FM,114)</f>
        <v>62.79</v>
      </c>
      <c r="E92" s="50">
        <f>VLOOKUP($A92,'Data shares'!$C:$FM,106)</f>
        <v>65.41</v>
      </c>
      <c r="F92" s="50">
        <f>VLOOKUP($A92,'Data shares'!$C:$FM,108)</f>
        <v>-1.81</v>
      </c>
      <c r="G92" s="50">
        <f t="shared" si="2"/>
        <v>0.97232839015441075</v>
      </c>
    </row>
    <row r="93" spans="1:7" x14ac:dyDescent="0.25">
      <c r="A93" s="49" t="str">
        <f>'Data Vlaue (Cr)'!C88</f>
        <v>IDFCFIRSTB</v>
      </c>
      <c r="B93" s="50">
        <f>VLOOKUP($A93,'Data shares'!$C:$FM,102)</f>
        <v>42.6</v>
      </c>
      <c r="C93" s="50">
        <f>VLOOKUP($A93,'Data shares'!$C:$FM,110)</f>
        <v>43.31</v>
      </c>
      <c r="D93" s="50">
        <f>VLOOKUP($A93,'Data shares'!$C:$FM,114)</f>
        <v>41.6</v>
      </c>
      <c r="E93" s="50">
        <f>VLOOKUP($A93,'Data shares'!$C:$FM,106)</f>
        <v>39.64</v>
      </c>
      <c r="F93" s="50">
        <f>VLOOKUP($A93,'Data shares'!$C:$FM,108)</f>
        <v>2.96</v>
      </c>
      <c r="G93" s="50">
        <f t="shared" si="2"/>
        <v>1.0746720484359233</v>
      </c>
    </row>
    <row r="94" spans="1:7" x14ac:dyDescent="0.25">
      <c r="A94" s="49" t="str">
        <f>'Data Vlaue (Cr)'!C89</f>
        <v>IEX</v>
      </c>
      <c r="B94" s="50">
        <f>VLOOKUP($A94,'Data shares'!$C:$FM,102)</f>
        <v>37.83</v>
      </c>
      <c r="C94" s="50">
        <f>VLOOKUP($A94,'Data shares'!$C:$FM,110)</f>
        <v>37.409999999999997</v>
      </c>
      <c r="D94" s="50">
        <f>VLOOKUP($A94,'Data shares'!$C:$FM,114)</f>
        <v>39.43</v>
      </c>
      <c r="E94" s="50">
        <f>VLOOKUP($A94,'Data shares'!$C:$FM,106)</f>
        <v>51.76</v>
      </c>
      <c r="F94" s="50">
        <f>VLOOKUP($A94,'Data shares'!$C:$FM,108)</f>
        <v>-13.93</v>
      </c>
      <c r="G94" s="50">
        <f t="shared" si="2"/>
        <v>0.73087326120556417</v>
      </c>
    </row>
    <row r="95" spans="1:7" x14ac:dyDescent="0.25">
      <c r="A95" s="49" t="str">
        <f>'Data Vlaue (Cr)'!C90</f>
        <v>INDHOTEL</v>
      </c>
      <c r="B95" s="50">
        <f>VLOOKUP($A95,'Data shares'!$C:$FM,102)</f>
        <v>33.590000000000003</v>
      </c>
      <c r="C95" s="50">
        <f>VLOOKUP($A95,'Data shares'!$C:$FM,110)</f>
        <v>30.6</v>
      </c>
      <c r="D95" s="50">
        <f>VLOOKUP($A95,'Data shares'!$C:$FM,114)</f>
        <v>36.159999999999997</v>
      </c>
      <c r="E95" s="50">
        <f>VLOOKUP($A95,'Data shares'!$C:$FM,106)</f>
        <v>32.659999999999997</v>
      </c>
      <c r="F95" s="50">
        <f>VLOOKUP($A95,'Data shares'!$C:$FM,108)</f>
        <v>0.93</v>
      </c>
      <c r="G95" s="50">
        <f t="shared" si="2"/>
        <v>1.0284751990202083</v>
      </c>
    </row>
    <row r="96" spans="1:7" x14ac:dyDescent="0.25">
      <c r="A96" s="49" t="str">
        <f>'Data Vlaue (Cr)'!C91</f>
        <v>INDIANB</v>
      </c>
      <c r="B96" s="50">
        <f>VLOOKUP($A96,'Data shares'!$C:$FM,102)</f>
        <v>37.619999999999997</v>
      </c>
      <c r="C96" s="50">
        <f>VLOOKUP($A96,'Data shares'!$C:$FM,110)</f>
        <v>36.68</v>
      </c>
      <c r="D96" s="50">
        <f>VLOOKUP($A96,'Data shares'!$C:$FM,114)</f>
        <v>39.21</v>
      </c>
      <c r="E96" s="50">
        <f>VLOOKUP($A96,'Data shares'!$C:$FM,106)</f>
        <v>39.409999999999997</v>
      </c>
      <c r="F96" s="50">
        <f>VLOOKUP($A96,'Data shares'!$C:$FM,108)</f>
        <v>-1.79</v>
      </c>
      <c r="G96" s="50">
        <f t="shared" si="2"/>
        <v>0.95458005582339511</v>
      </c>
    </row>
    <row r="97" spans="1:7" x14ac:dyDescent="0.25">
      <c r="A97" s="49" t="str">
        <f>'Data Vlaue (Cr)'!C92</f>
        <v>INDIAVIX</v>
      </c>
      <c r="B97" s="50">
        <f>VLOOKUP($A97,'Data shares'!$C:$FM,102)</f>
        <v>0</v>
      </c>
      <c r="C97" s="50">
        <f>VLOOKUP($A97,'Data shares'!$C:$FM,110)</f>
        <v>0</v>
      </c>
      <c r="D97" s="50">
        <f>VLOOKUP($A97,'Data shares'!$C:$FM,114)</f>
        <v>0</v>
      </c>
      <c r="E97" s="50">
        <f>VLOOKUP($A97,'Data shares'!$C:$FM,106)</f>
        <v>0</v>
      </c>
      <c r="F97" s="50">
        <f>VLOOKUP($A97,'Data shares'!$C:$FM,108)</f>
        <v>0</v>
      </c>
      <c r="G97" s="50" t="e">
        <f t="shared" si="2"/>
        <v>#DIV/0!</v>
      </c>
    </row>
    <row r="98" spans="1:7" x14ac:dyDescent="0.25">
      <c r="A98" s="49" t="str">
        <f>'Data Vlaue (Cr)'!C93</f>
        <v>INDIGO</v>
      </c>
      <c r="B98" s="50">
        <f>VLOOKUP($A98,'Data shares'!$C:$FM,102)</f>
        <v>41.2</v>
      </c>
      <c r="C98" s="50">
        <f>VLOOKUP($A98,'Data shares'!$C:$FM,110)</f>
        <v>38.39</v>
      </c>
      <c r="D98" s="50">
        <f>VLOOKUP($A98,'Data shares'!$C:$FM,114)</f>
        <v>43.63</v>
      </c>
      <c r="E98" s="50">
        <f>VLOOKUP($A98,'Data shares'!$C:$FM,106)</f>
        <v>35.33</v>
      </c>
      <c r="F98" s="50">
        <f>VLOOKUP($A98,'Data shares'!$C:$FM,108)</f>
        <v>5.87</v>
      </c>
      <c r="G98" s="50">
        <f t="shared" si="2"/>
        <v>1.166147749787716</v>
      </c>
    </row>
    <row r="99" spans="1:7" x14ac:dyDescent="0.25">
      <c r="A99" s="49" t="str">
        <f>'Data Vlaue (Cr)'!C94</f>
        <v>INDUSINDBK</v>
      </c>
      <c r="B99" s="50">
        <f>VLOOKUP($A99,'Data shares'!$C:$FM,102)</f>
        <v>38.99</v>
      </c>
      <c r="C99" s="50">
        <f>VLOOKUP($A99,'Data shares'!$C:$FM,110)</f>
        <v>38.33</v>
      </c>
      <c r="D99" s="50">
        <f>VLOOKUP($A99,'Data shares'!$C:$FM,114)</f>
        <v>39.68</v>
      </c>
      <c r="E99" s="50">
        <f>VLOOKUP($A99,'Data shares'!$C:$FM,106)</f>
        <v>41.89</v>
      </c>
      <c r="F99" s="50">
        <f>VLOOKUP($A99,'Data shares'!$C:$FM,108)</f>
        <v>-2.9</v>
      </c>
      <c r="G99" s="50">
        <f t="shared" si="2"/>
        <v>0.93077106708044888</v>
      </c>
    </row>
    <row r="100" spans="1:7" x14ac:dyDescent="0.25">
      <c r="A100" s="49" t="str">
        <f>'Data Vlaue (Cr)'!C95</f>
        <v>INDUSTOWER</v>
      </c>
      <c r="B100" s="50">
        <f>VLOOKUP($A100,'Data shares'!$C:$FM,102)</f>
        <v>33.409999999999997</v>
      </c>
      <c r="C100" s="50">
        <f>VLOOKUP($A100,'Data shares'!$C:$FM,110)</f>
        <v>33.18</v>
      </c>
      <c r="D100" s="50">
        <f>VLOOKUP($A100,'Data shares'!$C:$FM,114)</f>
        <v>33.78</v>
      </c>
      <c r="E100" s="50">
        <f>VLOOKUP($A100,'Data shares'!$C:$FM,106)</f>
        <v>36.9</v>
      </c>
      <c r="F100" s="50">
        <f>VLOOKUP($A100,'Data shares'!$C:$FM,108)</f>
        <v>-3.49</v>
      </c>
      <c r="G100" s="50">
        <f t="shared" si="2"/>
        <v>0.90542005420054195</v>
      </c>
    </row>
    <row r="101" spans="1:7" x14ac:dyDescent="0.25">
      <c r="A101" s="49" t="str">
        <f>'Data Vlaue (Cr)'!C96</f>
        <v>INFY</v>
      </c>
      <c r="B101" s="50">
        <f>VLOOKUP($A101,'Data shares'!$C:$FM,102)</f>
        <v>34.5</v>
      </c>
      <c r="C101" s="50">
        <f>VLOOKUP($A101,'Data shares'!$C:$FM,110)</f>
        <v>33.520000000000003</v>
      </c>
      <c r="D101" s="50">
        <f>VLOOKUP($A101,'Data shares'!$C:$FM,114)</f>
        <v>36.380000000000003</v>
      </c>
      <c r="E101" s="50">
        <f>VLOOKUP($A101,'Data shares'!$C:$FM,106)</f>
        <v>30.55</v>
      </c>
      <c r="F101" s="50">
        <f>VLOOKUP($A101,'Data shares'!$C:$FM,108)</f>
        <v>3.95</v>
      </c>
      <c r="G101" s="50">
        <f t="shared" si="2"/>
        <v>1.1292962356792144</v>
      </c>
    </row>
    <row r="102" spans="1:7" x14ac:dyDescent="0.25">
      <c r="A102" s="49" t="str">
        <f>'Data Vlaue (Cr)'!C97</f>
        <v>INOXWIND</v>
      </c>
      <c r="B102" s="50">
        <f>VLOOKUP($A102,'Data shares'!$C:$FM,102)</f>
        <v>54.07</v>
      </c>
      <c r="C102" s="50">
        <f>VLOOKUP($A102,'Data shares'!$C:$FM,110)</f>
        <v>54.15</v>
      </c>
      <c r="D102" s="50">
        <f>VLOOKUP($A102,'Data shares'!$C:$FM,114)</f>
        <v>53.7</v>
      </c>
      <c r="E102" s="50">
        <f>VLOOKUP($A102,'Data shares'!$C:$FM,106)</f>
        <v>50.81</v>
      </c>
      <c r="F102" s="50">
        <f>VLOOKUP($A102,'Data shares'!$C:$FM,108)</f>
        <v>3.26</v>
      </c>
      <c r="G102" s="50">
        <f t="shared" si="2"/>
        <v>1.0641605983074198</v>
      </c>
    </row>
    <row r="103" spans="1:7" x14ac:dyDescent="0.25">
      <c r="A103" s="49" t="str">
        <f>'Data Vlaue (Cr)'!C98</f>
        <v>IOC</v>
      </c>
      <c r="B103" s="50">
        <f>VLOOKUP($A103,'Data shares'!$C:$FM,102)</f>
        <v>41.03</v>
      </c>
      <c r="C103" s="50">
        <f>VLOOKUP($A103,'Data shares'!$C:$FM,110)</f>
        <v>38.67</v>
      </c>
      <c r="D103" s="50">
        <f>VLOOKUP($A103,'Data shares'!$C:$FM,114)</f>
        <v>43.38</v>
      </c>
      <c r="E103" s="50">
        <f>VLOOKUP($A103,'Data shares'!$C:$FM,106)</f>
        <v>32.06</v>
      </c>
      <c r="F103" s="50">
        <f>VLOOKUP($A103,'Data shares'!$C:$FM,108)</f>
        <v>8.9700000000000006</v>
      </c>
      <c r="G103" s="50">
        <f t="shared" ref="G103:G134" si="3">B103/E103</f>
        <v>1.2797878976918278</v>
      </c>
    </row>
    <row r="104" spans="1:7" x14ac:dyDescent="0.25">
      <c r="A104" s="49" t="str">
        <f>'Data Vlaue (Cr)'!C99</f>
        <v>IREDA</v>
      </c>
      <c r="B104" s="50">
        <f>VLOOKUP($A104,'Data shares'!$C:$FM,102)</f>
        <v>40.770000000000003</v>
      </c>
      <c r="C104" s="50">
        <f>VLOOKUP($A104,'Data shares'!$C:$FM,110)</f>
        <v>40.76</v>
      </c>
      <c r="D104" s="50">
        <f>VLOOKUP($A104,'Data shares'!$C:$FM,114)</f>
        <v>40.799999999999997</v>
      </c>
      <c r="E104" s="50">
        <f>VLOOKUP($A104,'Data shares'!$C:$FM,106)</f>
        <v>47.69</v>
      </c>
      <c r="F104" s="50">
        <f>VLOOKUP($A104,'Data shares'!$C:$FM,108)</f>
        <v>-6.92</v>
      </c>
      <c r="G104" s="50">
        <f t="shared" si="3"/>
        <v>0.85489620465506411</v>
      </c>
    </row>
    <row r="105" spans="1:7" x14ac:dyDescent="0.25">
      <c r="A105" s="49" t="str">
        <f>'Data Vlaue (Cr)'!C100</f>
        <v>IRFC</v>
      </c>
      <c r="B105" s="50">
        <f>VLOOKUP($A105,'Data shares'!$C:$FM,102)</f>
        <v>37.450000000000003</v>
      </c>
      <c r="C105" s="50">
        <f>VLOOKUP($A105,'Data shares'!$C:$FM,110)</f>
        <v>37.44</v>
      </c>
      <c r="D105" s="50">
        <f>VLOOKUP($A105,'Data shares'!$C:$FM,114)</f>
        <v>37.49</v>
      </c>
      <c r="E105" s="50">
        <f>VLOOKUP($A105,'Data shares'!$C:$FM,106)</f>
        <v>44.58</v>
      </c>
      <c r="F105" s="50">
        <f>VLOOKUP($A105,'Data shares'!$C:$FM,108)</f>
        <v>-7.13</v>
      </c>
      <c r="G105" s="50">
        <f t="shared" si="3"/>
        <v>0.84006280843427561</v>
      </c>
    </row>
    <row r="106" spans="1:7" x14ac:dyDescent="0.25">
      <c r="A106" s="49" t="str">
        <f>'Data Vlaue (Cr)'!C101</f>
        <v>ITC</v>
      </c>
      <c r="B106" s="50">
        <f>VLOOKUP($A106,'Data shares'!$C:$FM,102)</f>
        <v>23.48</v>
      </c>
      <c r="C106" s="50">
        <f>VLOOKUP($A106,'Data shares'!$C:$FM,110)</f>
        <v>23.77</v>
      </c>
      <c r="D106" s="50">
        <f>VLOOKUP($A106,'Data shares'!$C:$FM,114)</f>
        <v>22.64</v>
      </c>
      <c r="E106" s="50">
        <f>VLOOKUP($A106,'Data shares'!$C:$FM,106)</f>
        <v>24.24</v>
      </c>
      <c r="F106" s="50">
        <f>VLOOKUP($A106,'Data shares'!$C:$FM,108)</f>
        <v>-0.76</v>
      </c>
      <c r="G106" s="50">
        <f t="shared" si="3"/>
        <v>0.96864686468646877</v>
      </c>
    </row>
    <row r="107" spans="1:7" x14ac:dyDescent="0.25">
      <c r="A107" s="49" t="str">
        <f>'Data Vlaue (Cr)'!C102</f>
        <v>JINDALSTEL</v>
      </c>
      <c r="B107" s="50">
        <f>VLOOKUP($A107,'Data shares'!$C:$FM,102)</f>
        <v>33.11</v>
      </c>
      <c r="C107" s="50">
        <f>VLOOKUP($A107,'Data shares'!$C:$FM,110)</f>
        <v>31.57</v>
      </c>
      <c r="D107" s="50">
        <f>VLOOKUP($A107,'Data shares'!$C:$FM,114)</f>
        <v>35.64</v>
      </c>
      <c r="E107" s="50">
        <f>VLOOKUP($A107,'Data shares'!$C:$FM,106)</f>
        <v>35.520000000000003</v>
      </c>
      <c r="F107" s="50">
        <f>VLOOKUP($A107,'Data shares'!$C:$FM,108)</f>
        <v>-2.41</v>
      </c>
      <c r="G107" s="50">
        <f t="shared" si="3"/>
        <v>0.9321509009009008</v>
      </c>
    </row>
    <row r="108" spans="1:7" x14ac:dyDescent="0.25">
      <c r="A108" s="49" t="str">
        <f>'Data Vlaue (Cr)'!C103</f>
        <v>JIOFIN</v>
      </c>
      <c r="B108" s="50">
        <f>VLOOKUP($A108,'Data shares'!$C:$FM,102)</f>
        <v>36.31</v>
      </c>
      <c r="C108" s="50">
        <f>VLOOKUP($A108,'Data shares'!$C:$FM,110)</f>
        <v>35.380000000000003</v>
      </c>
      <c r="D108" s="50">
        <f>VLOOKUP($A108,'Data shares'!$C:$FM,114)</f>
        <v>39.159999999999997</v>
      </c>
      <c r="E108" s="50">
        <f>VLOOKUP($A108,'Data shares'!$C:$FM,106)</f>
        <v>34.85</v>
      </c>
      <c r="F108" s="50">
        <f>VLOOKUP($A108,'Data shares'!$C:$FM,108)</f>
        <v>1.46</v>
      </c>
      <c r="G108" s="50">
        <f t="shared" si="3"/>
        <v>1.041893830703013</v>
      </c>
    </row>
    <row r="109" spans="1:7" x14ac:dyDescent="0.25">
      <c r="A109" s="49" t="str">
        <f>'Data Vlaue (Cr)'!C104</f>
        <v>JSWENERGY</v>
      </c>
      <c r="B109" s="50">
        <f>VLOOKUP($A109,'Data shares'!$C:$FM,102)</f>
        <v>40.14</v>
      </c>
      <c r="C109" s="50">
        <f>VLOOKUP($A109,'Data shares'!$C:$FM,110)</f>
        <v>39.76</v>
      </c>
      <c r="D109" s="50">
        <f>VLOOKUP($A109,'Data shares'!$C:$FM,114)</f>
        <v>41.55</v>
      </c>
      <c r="E109" s="50">
        <f>VLOOKUP($A109,'Data shares'!$C:$FM,106)</f>
        <v>42.96</v>
      </c>
      <c r="F109" s="50">
        <f>VLOOKUP($A109,'Data shares'!$C:$FM,108)</f>
        <v>-2.82</v>
      </c>
      <c r="G109" s="50">
        <f t="shared" si="3"/>
        <v>0.93435754189944131</v>
      </c>
    </row>
    <row r="110" spans="1:7" x14ac:dyDescent="0.25">
      <c r="A110" s="49" t="str">
        <f>'Data Vlaue (Cr)'!C105</f>
        <v>JSWSTEEL</v>
      </c>
      <c r="B110" s="50">
        <f>VLOOKUP($A110,'Data shares'!$C:$FM,102)</f>
        <v>32.020000000000003</v>
      </c>
      <c r="C110" s="50">
        <f>VLOOKUP($A110,'Data shares'!$C:$FM,110)</f>
        <v>31.87</v>
      </c>
      <c r="D110" s="50">
        <f>VLOOKUP($A110,'Data shares'!$C:$FM,114)</f>
        <v>32.29</v>
      </c>
      <c r="E110" s="50">
        <f>VLOOKUP($A110,'Data shares'!$C:$FM,106)</f>
        <v>30.08</v>
      </c>
      <c r="F110" s="50">
        <f>VLOOKUP($A110,'Data shares'!$C:$FM,108)</f>
        <v>1.94</v>
      </c>
      <c r="G110" s="50">
        <f t="shared" si="3"/>
        <v>1.064494680851064</v>
      </c>
    </row>
    <row r="111" spans="1:7" x14ac:dyDescent="0.25">
      <c r="A111" s="49" t="str">
        <f>'Data Vlaue (Cr)'!C106</f>
        <v>JUBLFOOD</v>
      </c>
      <c r="B111" s="50">
        <f>VLOOKUP($A111,'Data shares'!$C:$FM,102)</f>
        <v>38.340000000000003</v>
      </c>
      <c r="C111" s="50">
        <f>VLOOKUP($A111,'Data shares'!$C:$FM,110)</f>
        <v>36.18</v>
      </c>
      <c r="D111" s="50">
        <f>VLOOKUP($A111,'Data shares'!$C:$FM,114)</f>
        <v>40.03</v>
      </c>
      <c r="E111" s="50">
        <f>VLOOKUP($A111,'Data shares'!$C:$FM,106)</f>
        <v>32.590000000000003</v>
      </c>
      <c r="F111" s="50">
        <f>VLOOKUP($A111,'Data shares'!$C:$FM,108)</f>
        <v>5.75</v>
      </c>
      <c r="G111" s="50">
        <f t="shared" si="3"/>
        <v>1.1764344891070881</v>
      </c>
    </row>
    <row r="112" spans="1:7" x14ac:dyDescent="0.25">
      <c r="A112" s="49" t="str">
        <f>'Data Vlaue (Cr)'!C107</f>
        <v>KALYANKJIL</v>
      </c>
      <c r="B112" s="50">
        <f>VLOOKUP($A112,'Data shares'!$C:$FM,102)</f>
        <v>38.840000000000003</v>
      </c>
      <c r="C112" s="50">
        <f>VLOOKUP($A112,'Data shares'!$C:$FM,110)</f>
        <v>38.25</v>
      </c>
      <c r="D112" s="50">
        <f>VLOOKUP($A112,'Data shares'!$C:$FM,114)</f>
        <v>39.880000000000003</v>
      </c>
      <c r="E112" s="50">
        <f>VLOOKUP($A112,'Data shares'!$C:$FM,106)</f>
        <v>51.27</v>
      </c>
      <c r="F112" s="50">
        <f>VLOOKUP($A112,'Data shares'!$C:$FM,108)</f>
        <v>-12.43</v>
      </c>
      <c r="G112" s="50">
        <f t="shared" si="3"/>
        <v>0.75755802613614198</v>
      </c>
    </row>
    <row r="113" spans="1:7" x14ac:dyDescent="0.25">
      <c r="A113" s="49" t="str">
        <f>'Data Vlaue (Cr)'!C108</f>
        <v>KAYNES</v>
      </c>
      <c r="B113" s="50">
        <f>VLOOKUP($A113,'Data shares'!$C:$FM,102)</f>
        <v>53.63</v>
      </c>
      <c r="C113" s="50">
        <f>VLOOKUP($A113,'Data shares'!$C:$FM,110)</f>
        <v>53.26</v>
      </c>
      <c r="D113" s="50">
        <f>VLOOKUP($A113,'Data shares'!$C:$FM,114)</f>
        <v>54.71</v>
      </c>
      <c r="E113" s="50">
        <f>VLOOKUP($A113,'Data shares'!$C:$FM,106)</f>
        <v>60.07</v>
      </c>
      <c r="F113" s="50">
        <f>VLOOKUP($A113,'Data shares'!$C:$FM,108)</f>
        <v>-6.44</v>
      </c>
      <c r="G113" s="50">
        <f t="shared" si="3"/>
        <v>0.89279174296653907</v>
      </c>
    </row>
    <row r="114" spans="1:7" x14ac:dyDescent="0.25">
      <c r="A114" s="49" t="str">
        <f>'Data Vlaue (Cr)'!C109</f>
        <v>KEI</v>
      </c>
      <c r="B114" s="50">
        <f>VLOOKUP($A114,'Data shares'!$C:$FM,102)</f>
        <v>44.37</v>
      </c>
      <c r="C114" s="50">
        <f>VLOOKUP($A114,'Data shares'!$C:$FM,110)</f>
        <v>43.57</v>
      </c>
      <c r="D114" s="50">
        <f>VLOOKUP($A114,'Data shares'!$C:$FM,114)</f>
        <v>46.03</v>
      </c>
      <c r="E114" s="50">
        <f>VLOOKUP($A114,'Data shares'!$C:$FM,106)</f>
        <v>45.49</v>
      </c>
      <c r="F114" s="50">
        <f>VLOOKUP($A114,'Data shares'!$C:$FM,108)</f>
        <v>-1.1200000000000001</v>
      </c>
      <c r="G114" s="50">
        <f t="shared" si="3"/>
        <v>0.97537920422070779</v>
      </c>
    </row>
    <row r="115" spans="1:7" x14ac:dyDescent="0.25">
      <c r="A115" s="49" t="str">
        <f>'Data Vlaue (Cr)'!C110</f>
        <v>KFINTECH</v>
      </c>
      <c r="B115" s="50">
        <f>VLOOKUP($A115,'Data shares'!$C:$FM,102)</f>
        <v>37.82</v>
      </c>
      <c r="C115" s="50">
        <f>VLOOKUP($A115,'Data shares'!$C:$FM,110)</f>
        <v>37.36</v>
      </c>
      <c r="D115" s="50">
        <f>VLOOKUP($A115,'Data shares'!$C:$FM,114)</f>
        <v>38.520000000000003</v>
      </c>
      <c r="E115" s="50">
        <f>VLOOKUP($A115,'Data shares'!$C:$FM,106)</f>
        <v>49.72</v>
      </c>
      <c r="F115" s="50">
        <f>VLOOKUP($A115,'Data shares'!$C:$FM,108)</f>
        <v>-11.9</v>
      </c>
      <c r="G115" s="50">
        <f t="shared" si="3"/>
        <v>0.76065969428801294</v>
      </c>
    </row>
    <row r="116" spans="1:7" x14ac:dyDescent="0.25">
      <c r="A116" s="49" t="str">
        <f>'Data Vlaue (Cr)'!C111</f>
        <v>KOTAKBANK</v>
      </c>
      <c r="B116" s="50">
        <f>VLOOKUP($A116,'Data shares'!$C:$FM,102)</f>
        <v>27.94</v>
      </c>
      <c r="C116" s="50">
        <f>VLOOKUP($A116,'Data shares'!$C:$FM,110)</f>
        <v>27.86</v>
      </c>
      <c r="D116" s="50">
        <f>VLOOKUP($A116,'Data shares'!$C:$FM,114)</f>
        <v>28.07</v>
      </c>
      <c r="E116" s="50">
        <f>VLOOKUP($A116,'Data shares'!$C:$FM,106)</f>
        <v>26.01</v>
      </c>
      <c r="F116" s="50">
        <f>VLOOKUP($A116,'Data shares'!$C:$FM,108)</f>
        <v>1.93</v>
      </c>
      <c r="G116" s="50">
        <f t="shared" si="3"/>
        <v>1.0742022299115725</v>
      </c>
    </row>
    <row r="117" spans="1:7" x14ac:dyDescent="0.25">
      <c r="A117" s="49" t="str">
        <f>'Data Vlaue (Cr)'!C112</f>
        <v>KPITTECH</v>
      </c>
      <c r="B117" s="50">
        <f>VLOOKUP($A117,'Data shares'!$C:$FM,102)</f>
        <v>48.59</v>
      </c>
      <c r="C117" s="50">
        <f>VLOOKUP($A117,'Data shares'!$C:$FM,110)</f>
        <v>48.64</v>
      </c>
      <c r="D117" s="50">
        <f>VLOOKUP($A117,'Data shares'!$C:$FM,114)</f>
        <v>48.38</v>
      </c>
      <c r="E117" s="50">
        <f>VLOOKUP($A117,'Data shares'!$C:$FM,106)</f>
        <v>44.17</v>
      </c>
      <c r="F117" s="50">
        <f>VLOOKUP($A117,'Data shares'!$C:$FM,108)</f>
        <v>4.42</v>
      </c>
      <c r="G117" s="50">
        <f t="shared" si="3"/>
        <v>1.1000679194023093</v>
      </c>
    </row>
    <row r="118" spans="1:7" x14ac:dyDescent="0.25">
      <c r="A118" s="49" t="str">
        <f>'Data Vlaue (Cr)'!C113</f>
        <v>LAURUSLABS</v>
      </c>
      <c r="B118" s="50">
        <f>VLOOKUP($A118,'Data shares'!$C:$FM,102)</f>
        <v>36.44</v>
      </c>
      <c r="C118" s="50">
        <f>VLOOKUP($A118,'Data shares'!$C:$FM,110)</f>
        <v>35.65</v>
      </c>
      <c r="D118" s="50">
        <f>VLOOKUP($A118,'Data shares'!$C:$FM,114)</f>
        <v>38.65</v>
      </c>
      <c r="E118" s="50">
        <f>VLOOKUP($A118,'Data shares'!$C:$FM,106)</f>
        <v>38.24</v>
      </c>
      <c r="F118" s="50">
        <f>VLOOKUP($A118,'Data shares'!$C:$FM,108)</f>
        <v>-1.8</v>
      </c>
      <c r="G118" s="50">
        <f t="shared" si="3"/>
        <v>0.95292887029288686</v>
      </c>
    </row>
    <row r="119" spans="1:7" x14ac:dyDescent="0.25">
      <c r="A119" s="49" t="str">
        <f>'Data Vlaue (Cr)'!C114</f>
        <v>LICHSGFIN</v>
      </c>
      <c r="B119" s="50">
        <f>VLOOKUP($A119,'Data shares'!$C:$FM,102)</f>
        <v>33.17</v>
      </c>
      <c r="C119" s="50">
        <f>VLOOKUP($A119,'Data shares'!$C:$FM,110)</f>
        <v>30.92</v>
      </c>
      <c r="D119" s="50">
        <f>VLOOKUP($A119,'Data shares'!$C:$FM,114)</f>
        <v>35.93</v>
      </c>
      <c r="E119" s="50">
        <f>VLOOKUP($A119,'Data shares'!$C:$FM,106)</f>
        <v>31.8</v>
      </c>
      <c r="F119" s="50">
        <f>VLOOKUP($A119,'Data shares'!$C:$FM,108)</f>
        <v>1.37</v>
      </c>
      <c r="G119" s="50">
        <f t="shared" si="3"/>
        <v>1.0430817610062892</v>
      </c>
    </row>
    <row r="120" spans="1:7" x14ac:dyDescent="0.25">
      <c r="A120" s="49" t="str">
        <f>'Data Vlaue (Cr)'!C115</f>
        <v>LICI</v>
      </c>
      <c r="B120" s="50">
        <f>VLOOKUP($A120,'Data shares'!$C:$FM,102)</f>
        <v>26.68</v>
      </c>
      <c r="C120" s="50">
        <f>VLOOKUP($A120,'Data shares'!$C:$FM,110)</f>
        <v>26.87</v>
      </c>
      <c r="D120" s="50">
        <f>VLOOKUP($A120,'Data shares'!$C:$FM,114)</f>
        <v>26.29</v>
      </c>
      <c r="E120" s="50">
        <f>VLOOKUP($A120,'Data shares'!$C:$FM,106)</f>
        <v>30.48</v>
      </c>
      <c r="F120" s="50">
        <f>VLOOKUP($A120,'Data shares'!$C:$FM,108)</f>
        <v>-3.8</v>
      </c>
      <c r="G120" s="50">
        <f t="shared" si="3"/>
        <v>0.87532808398950124</v>
      </c>
    </row>
    <row r="121" spans="1:7" x14ac:dyDescent="0.25">
      <c r="A121" s="49" t="str">
        <f>'Data Vlaue (Cr)'!C116</f>
        <v>LODHA</v>
      </c>
      <c r="B121" s="50">
        <f>VLOOKUP($A121,'Data shares'!$C:$FM,102)</f>
        <v>43.15</v>
      </c>
      <c r="C121" s="50">
        <f>VLOOKUP($A121,'Data shares'!$C:$FM,110)</f>
        <v>42.12</v>
      </c>
      <c r="D121" s="50">
        <f>VLOOKUP($A121,'Data shares'!$C:$FM,114)</f>
        <v>45.03</v>
      </c>
      <c r="E121" s="50">
        <f>VLOOKUP($A121,'Data shares'!$C:$FM,106)</f>
        <v>44.97</v>
      </c>
      <c r="F121" s="50">
        <f>VLOOKUP($A121,'Data shares'!$C:$FM,108)</f>
        <v>-1.82</v>
      </c>
      <c r="G121" s="50">
        <f t="shared" si="3"/>
        <v>0.95952857460529239</v>
      </c>
    </row>
    <row r="122" spans="1:7" x14ac:dyDescent="0.25">
      <c r="A122" s="49" t="str">
        <f>'Data Vlaue (Cr)'!C117</f>
        <v>LT</v>
      </c>
      <c r="B122" s="50">
        <f>VLOOKUP($A122,'Data shares'!$C:$FM,102)</f>
        <v>34.090000000000003</v>
      </c>
      <c r="C122" s="50">
        <f>VLOOKUP($A122,'Data shares'!$C:$FM,110)</f>
        <v>32.71</v>
      </c>
      <c r="D122" s="50">
        <f>VLOOKUP($A122,'Data shares'!$C:$FM,114)</f>
        <v>36.380000000000003</v>
      </c>
      <c r="E122" s="50">
        <f>VLOOKUP($A122,'Data shares'!$C:$FM,106)</f>
        <v>28.8</v>
      </c>
      <c r="F122" s="50">
        <f>VLOOKUP($A122,'Data shares'!$C:$FM,108)</f>
        <v>5.29</v>
      </c>
      <c r="G122" s="50">
        <f t="shared" si="3"/>
        <v>1.1836805555555556</v>
      </c>
    </row>
    <row r="123" spans="1:7" x14ac:dyDescent="0.25">
      <c r="A123" s="49" t="str">
        <f>'Data Vlaue (Cr)'!C118</f>
        <v>LTF</v>
      </c>
      <c r="B123" s="50">
        <f>VLOOKUP($A123,'Data shares'!$C:$FM,102)</f>
        <v>40.64</v>
      </c>
      <c r="C123" s="50">
        <f>VLOOKUP($A123,'Data shares'!$C:$FM,110)</f>
        <v>40.67</v>
      </c>
      <c r="D123" s="50">
        <f>VLOOKUP($A123,'Data shares'!$C:$FM,114)</f>
        <v>40.549999999999997</v>
      </c>
      <c r="E123" s="50">
        <f>VLOOKUP($A123,'Data shares'!$C:$FM,106)</f>
        <v>38.659999999999997</v>
      </c>
      <c r="F123" s="50">
        <f>VLOOKUP($A123,'Data shares'!$C:$FM,108)</f>
        <v>1.98</v>
      </c>
      <c r="G123" s="50">
        <f t="shared" si="3"/>
        <v>1.0512157268494569</v>
      </c>
    </row>
    <row r="124" spans="1:7" x14ac:dyDescent="0.25">
      <c r="A124" s="49" t="str">
        <f>'Data Vlaue (Cr)'!C119</f>
        <v>LTM</v>
      </c>
      <c r="B124" s="50">
        <f>VLOOKUP($A124,'Data shares'!$C:$FM,102)</f>
        <v>35.15</v>
      </c>
      <c r="C124" s="50">
        <f>VLOOKUP($A124,'Data shares'!$C:$FM,110)</f>
        <v>34.64</v>
      </c>
      <c r="D124" s="50">
        <f>VLOOKUP($A124,'Data shares'!$C:$FM,114)</f>
        <v>36.4</v>
      </c>
      <c r="E124" s="50">
        <f>VLOOKUP($A124,'Data shares'!$C:$FM,106)</f>
        <v>34.409999999999997</v>
      </c>
      <c r="F124" s="50">
        <f>VLOOKUP($A124,'Data shares'!$C:$FM,108)</f>
        <v>0.74</v>
      </c>
      <c r="G124" s="50">
        <f t="shared" si="3"/>
        <v>1.021505376344086</v>
      </c>
    </row>
    <row r="125" spans="1:7" x14ac:dyDescent="0.25">
      <c r="A125" s="49" t="str">
        <f>'Data Vlaue (Cr)'!C120</f>
        <v>LUPIN</v>
      </c>
      <c r="B125" s="50">
        <f>VLOOKUP($A125,'Data shares'!$C:$FM,102)</f>
        <v>26.54</v>
      </c>
      <c r="C125" s="50">
        <f>VLOOKUP($A125,'Data shares'!$C:$FM,110)</f>
        <v>25.09</v>
      </c>
      <c r="D125" s="50">
        <f>VLOOKUP($A125,'Data shares'!$C:$FM,114)</f>
        <v>29.31</v>
      </c>
      <c r="E125" s="50">
        <f>VLOOKUP($A125,'Data shares'!$C:$FM,106)</f>
        <v>28.36</v>
      </c>
      <c r="F125" s="50">
        <f>VLOOKUP($A125,'Data shares'!$C:$FM,108)</f>
        <v>-1.82</v>
      </c>
      <c r="G125" s="50">
        <f t="shared" si="3"/>
        <v>0.93582510578279265</v>
      </c>
    </row>
    <row r="126" spans="1:7" x14ac:dyDescent="0.25">
      <c r="A126" s="49" t="str">
        <f>'Data Vlaue (Cr)'!C121</f>
        <v>M&amp;M</v>
      </c>
      <c r="B126" s="50">
        <f>VLOOKUP($A126,'Data shares'!$C:$FM,102)</f>
        <v>38.72</v>
      </c>
      <c r="C126" s="50">
        <f>VLOOKUP($A126,'Data shares'!$C:$FM,110)</f>
        <v>38.19</v>
      </c>
      <c r="D126" s="50">
        <f>VLOOKUP($A126,'Data shares'!$C:$FM,114)</f>
        <v>39.36</v>
      </c>
      <c r="E126" s="50">
        <f>VLOOKUP($A126,'Data shares'!$C:$FM,106)</f>
        <v>32.82</v>
      </c>
      <c r="F126" s="50">
        <f>VLOOKUP($A126,'Data shares'!$C:$FM,108)</f>
        <v>5.9</v>
      </c>
      <c r="G126" s="50">
        <f t="shared" si="3"/>
        <v>1.1797684338817793</v>
      </c>
    </row>
    <row r="127" spans="1:7" x14ac:dyDescent="0.25">
      <c r="A127" s="49" t="str">
        <f>'Data Vlaue (Cr)'!C122</f>
        <v>MANAPPURAM</v>
      </c>
      <c r="B127" s="50">
        <f>VLOOKUP($A127,'Data shares'!$C:$FM,102)</f>
        <v>40.03</v>
      </c>
      <c r="C127" s="50">
        <f>VLOOKUP($A127,'Data shares'!$C:$FM,110)</f>
        <v>40.299999999999997</v>
      </c>
      <c r="D127" s="50">
        <f>VLOOKUP($A127,'Data shares'!$C:$FM,114)</f>
        <v>39.450000000000003</v>
      </c>
      <c r="E127" s="50">
        <f>VLOOKUP($A127,'Data shares'!$C:$FM,106)</f>
        <v>42.38</v>
      </c>
      <c r="F127" s="50">
        <f>VLOOKUP($A127,'Data shares'!$C:$FM,108)</f>
        <v>-2.35</v>
      </c>
      <c r="G127" s="50">
        <f t="shared" si="3"/>
        <v>0.94454931571495981</v>
      </c>
    </row>
    <row r="128" spans="1:7" x14ac:dyDescent="0.25">
      <c r="A128" s="49" t="str">
        <f>'Data Vlaue (Cr)'!C123</f>
        <v>MANKIND</v>
      </c>
      <c r="B128" s="50">
        <f>VLOOKUP($A128,'Data shares'!$C:$FM,102)</f>
        <v>32.11</v>
      </c>
      <c r="C128" s="50">
        <f>VLOOKUP($A128,'Data shares'!$C:$FM,110)</f>
        <v>32.299999999999997</v>
      </c>
      <c r="D128" s="50">
        <f>VLOOKUP($A128,'Data shares'!$C:$FM,114)</f>
        <v>31.41</v>
      </c>
      <c r="E128" s="50">
        <f>VLOOKUP($A128,'Data shares'!$C:$FM,106)</f>
        <v>33.42</v>
      </c>
      <c r="F128" s="50">
        <f>VLOOKUP($A128,'Data shares'!$C:$FM,108)</f>
        <v>-1.31</v>
      </c>
      <c r="G128" s="50">
        <f t="shared" si="3"/>
        <v>0.96080191502094547</v>
      </c>
    </row>
    <row r="129" spans="1:7" x14ac:dyDescent="0.25">
      <c r="A129" s="49" t="str">
        <f>'Data Vlaue (Cr)'!C124</f>
        <v>MARICO</v>
      </c>
      <c r="B129" s="50">
        <f>VLOOKUP($A129,'Data shares'!$C:$FM,102)</f>
        <v>25</v>
      </c>
      <c r="C129" s="50">
        <f>VLOOKUP($A129,'Data shares'!$C:$FM,110)</f>
        <v>24.75</v>
      </c>
      <c r="D129" s="50">
        <f>VLOOKUP($A129,'Data shares'!$C:$FM,114)</f>
        <v>25.26</v>
      </c>
      <c r="E129" s="50">
        <f>VLOOKUP($A129,'Data shares'!$C:$FM,106)</f>
        <v>24.57</v>
      </c>
      <c r="F129" s="50">
        <f>VLOOKUP($A129,'Data shares'!$C:$FM,108)</f>
        <v>0.43</v>
      </c>
      <c r="G129" s="50">
        <f t="shared" si="3"/>
        <v>1.0175010175010175</v>
      </c>
    </row>
    <row r="130" spans="1:7" x14ac:dyDescent="0.25">
      <c r="A130" s="49" t="str">
        <f>'Data Vlaue (Cr)'!C125</f>
        <v>MARUTI</v>
      </c>
      <c r="B130" s="50">
        <f>VLOOKUP($A130,'Data shares'!$C:$FM,102)</f>
        <v>34.229999999999997</v>
      </c>
      <c r="C130" s="50">
        <f>VLOOKUP($A130,'Data shares'!$C:$FM,110)</f>
        <v>33.76</v>
      </c>
      <c r="D130" s="50">
        <f>VLOOKUP($A130,'Data shares'!$C:$FM,114)</f>
        <v>34.880000000000003</v>
      </c>
      <c r="E130" s="50">
        <f>VLOOKUP($A130,'Data shares'!$C:$FM,106)</f>
        <v>26.85</v>
      </c>
      <c r="F130" s="50">
        <f>VLOOKUP($A130,'Data shares'!$C:$FM,108)</f>
        <v>7.38</v>
      </c>
      <c r="G130" s="50">
        <f t="shared" si="3"/>
        <v>1.2748603351955305</v>
      </c>
    </row>
    <row r="131" spans="1:7" x14ac:dyDescent="0.25">
      <c r="A131" s="49" t="str">
        <f>'Data Vlaue (Cr)'!C126</f>
        <v>MAXHEALTH</v>
      </c>
      <c r="B131" s="50">
        <f>VLOOKUP($A131,'Data shares'!$C:$FM,102)</f>
        <v>30.66</v>
      </c>
      <c r="C131" s="50">
        <f>VLOOKUP($A131,'Data shares'!$C:$FM,110)</f>
        <v>29.87</v>
      </c>
      <c r="D131" s="50">
        <f>VLOOKUP($A131,'Data shares'!$C:$FM,114)</f>
        <v>31.74</v>
      </c>
      <c r="E131" s="50">
        <f>VLOOKUP($A131,'Data shares'!$C:$FM,106)</f>
        <v>36.869999999999997</v>
      </c>
      <c r="F131" s="50">
        <f>VLOOKUP($A131,'Data shares'!$C:$FM,108)</f>
        <v>-6.21</v>
      </c>
      <c r="G131" s="50">
        <f t="shared" si="3"/>
        <v>0.83157038242473558</v>
      </c>
    </row>
    <row r="132" spans="1:7" x14ac:dyDescent="0.25">
      <c r="A132" s="49" t="str">
        <f>'Data Vlaue (Cr)'!C127</f>
        <v>MAZDOCK</v>
      </c>
      <c r="B132" s="50">
        <f>VLOOKUP($A132,'Data shares'!$C:$FM,102)</f>
        <v>46.36</v>
      </c>
      <c r="C132" s="50">
        <f>VLOOKUP($A132,'Data shares'!$C:$FM,110)</f>
        <v>46.02</v>
      </c>
      <c r="D132" s="50">
        <f>VLOOKUP($A132,'Data shares'!$C:$FM,114)</f>
        <v>47.14</v>
      </c>
      <c r="E132" s="50">
        <f>VLOOKUP($A132,'Data shares'!$C:$FM,106)</f>
        <v>53.97</v>
      </c>
      <c r="F132" s="50">
        <f>VLOOKUP($A132,'Data shares'!$C:$FM,108)</f>
        <v>-7.61</v>
      </c>
      <c r="G132" s="50">
        <f t="shared" si="3"/>
        <v>0.85899573837317034</v>
      </c>
    </row>
    <row r="133" spans="1:7" x14ac:dyDescent="0.25">
      <c r="A133" s="49" t="str">
        <f>'Data Vlaue (Cr)'!C128</f>
        <v>MCX</v>
      </c>
      <c r="B133" s="50">
        <f>VLOOKUP($A133,'Data shares'!$C:$FM,102)</f>
        <v>45</v>
      </c>
      <c r="C133" s="50">
        <f>VLOOKUP($A133,'Data shares'!$C:$FM,110)</f>
        <v>44.41</v>
      </c>
      <c r="D133" s="50">
        <f>VLOOKUP($A133,'Data shares'!$C:$FM,114)</f>
        <v>45.94</v>
      </c>
      <c r="E133" s="50">
        <f>VLOOKUP($A133,'Data shares'!$C:$FM,106)</f>
        <v>49.5</v>
      </c>
      <c r="F133" s="50">
        <f>VLOOKUP($A133,'Data shares'!$C:$FM,108)</f>
        <v>-4.5</v>
      </c>
      <c r="G133" s="50">
        <f t="shared" si="3"/>
        <v>0.90909090909090906</v>
      </c>
    </row>
    <row r="134" spans="1:7" x14ac:dyDescent="0.25">
      <c r="A134" s="49" t="str">
        <f>'Data Vlaue (Cr)'!C129</f>
        <v>MFSL</v>
      </c>
      <c r="B134" s="50">
        <f>VLOOKUP($A134,'Data shares'!$C:$FM,102)</f>
        <v>31.56</v>
      </c>
      <c r="C134" s="50">
        <f>VLOOKUP($A134,'Data shares'!$C:$FM,110)</f>
        <v>30.08</v>
      </c>
      <c r="D134" s="50">
        <f>VLOOKUP($A134,'Data shares'!$C:$FM,114)</f>
        <v>33.64</v>
      </c>
      <c r="E134" s="50">
        <f>VLOOKUP($A134,'Data shares'!$C:$FM,106)</f>
        <v>29.6</v>
      </c>
      <c r="F134" s="50">
        <f>VLOOKUP($A134,'Data shares'!$C:$FM,108)</f>
        <v>1.96</v>
      </c>
      <c r="G134" s="50">
        <f t="shared" si="3"/>
        <v>1.0662162162162161</v>
      </c>
    </row>
    <row r="135" spans="1:7" x14ac:dyDescent="0.25">
      <c r="A135" s="49" t="str">
        <f>'Data Vlaue (Cr)'!C130</f>
        <v>MIDCPNIFTY</v>
      </c>
      <c r="B135" s="50">
        <f>VLOOKUP($A135,'Data shares'!$C:$FM,102)</f>
        <v>28.64</v>
      </c>
      <c r="C135" s="50">
        <f>VLOOKUP($A135,'Data shares'!$C:$FM,110)</f>
        <v>26.38</v>
      </c>
      <c r="D135" s="50">
        <f>VLOOKUP($A135,'Data shares'!$C:$FM,114)</f>
        <v>30.79</v>
      </c>
      <c r="E135" s="50">
        <f>VLOOKUP($A135,'Data shares'!$C:$FM,106)</f>
        <v>22.51</v>
      </c>
      <c r="F135" s="50">
        <f>VLOOKUP($A135,'Data shares'!$C:$FM,108)</f>
        <v>6.13</v>
      </c>
      <c r="G135" s="50">
        <f t="shared" ref="G135:G166" si="4">B135/E135</f>
        <v>1.2723234118169702</v>
      </c>
    </row>
    <row r="136" spans="1:7" x14ac:dyDescent="0.25">
      <c r="A136" s="49" t="str">
        <f>'Data Vlaue (Cr)'!C131</f>
        <v>MOTHERSON</v>
      </c>
      <c r="B136" s="50">
        <f>VLOOKUP($A136,'Data shares'!$C:$FM,102)</f>
        <v>43.24</v>
      </c>
      <c r="C136" s="50">
        <f>VLOOKUP($A136,'Data shares'!$C:$FM,110)</f>
        <v>41.74</v>
      </c>
      <c r="D136" s="50">
        <f>VLOOKUP($A136,'Data shares'!$C:$FM,114)</f>
        <v>45.48</v>
      </c>
      <c r="E136" s="50">
        <f>VLOOKUP($A136,'Data shares'!$C:$FM,106)</f>
        <v>39.979999999999997</v>
      </c>
      <c r="F136" s="50">
        <f>VLOOKUP($A136,'Data shares'!$C:$FM,108)</f>
        <v>3.26</v>
      </c>
      <c r="G136" s="50">
        <f t="shared" si="4"/>
        <v>1.0815407703851927</v>
      </c>
    </row>
    <row r="137" spans="1:7" x14ac:dyDescent="0.25">
      <c r="A137" s="49" t="str">
        <f>'Data Vlaue (Cr)'!C132</f>
        <v>MPHASIS</v>
      </c>
      <c r="B137" s="50">
        <f>VLOOKUP($A137,'Data shares'!$C:$FM,102)</f>
        <v>39.340000000000003</v>
      </c>
      <c r="C137" s="50">
        <f>VLOOKUP($A137,'Data shares'!$C:$FM,110)</f>
        <v>38</v>
      </c>
      <c r="D137" s="50">
        <f>VLOOKUP($A137,'Data shares'!$C:$FM,114)</f>
        <v>41.78</v>
      </c>
      <c r="E137" s="50">
        <f>VLOOKUP($A137,'Data shares'!$C:$FM,106)</f>
        <v>35.15</v>
      </c>
      <c r="F137" s="50">
        <f>VLOOKUP($A137,'Data shares'!$C:$FM,108)</f>
        <v>4.1900000000000004</v>
      </c>
      <c r="G137" s="50">
        <f t="shared" si="4"/>
        <v>1.1192034139402562</v>
      </c>
    </row>
    <row r="138" spans="1:7" x14ac:dyDescent="0.25">
      <c r="A138" s="49" t="str">
        <f>'Data Vlaue (Cr)'!C133</f>
        <v>MUTHOOTFIN</v>
      </c>
      <c r="B138" s="50">
        <f>VLOOKUP($A138,'Data shares'!$C:$FM,102)</f>
        <v>37.25</v>
      </c>
      <c r="C138" s="50">
        <f>VLOOKUP($A138,'Data shares'!$C:$FM,110)</f>
        <v>36.47</v>
      </c>
      <c r="D138" s="50">
        <f>VLOOKUP($A138,'Data shares'!$C:$FM,114)</f>
        <v>39.14</v>
      </c>
      <c r="E138" s="50">
        <f>VLOOKUP($A138,'Data shares'!$C:$FM,106)</f>
        <v>42.26</v>
      </c>
      <c r="F138" s="50">
        <f>VLOOKUP($A138,'Data shares'!$C:$FM,108)</f>
        <v>-5.01</v>
      </c>
      <c r="G138" s="50">
        <f t="shared" si="4"/>
        <v>0.88144817794604835</v>
      </c>
    </row>
    <row r="139" spans="1:7" x14ac:dyDescent="0.25">
      <c r="A139" s="49" t="str">
        <f>'Data Vlaue (Cr)'!C134</f>
        <v>NATIONALUM</v>
      </c>
      <c r="B139" s="50">
        <f>VLOOKUP($A139,'Data shares'!$C:$FM,102)</f>
        <v>45.13</v>
      </c>
      <c r="C139" s="50">
        <f>VLOOKUP($A139,'Data shares'!$C:$FM,110)</f>
        <v>44.34</v>
      </c>
      <c r="D139" s="50">
        <f>VLOOKUP($A139,'Data shares'!$C:$FM,114)</f>
        <v>46.82</v>
      </c>
      <c r="E139" s="50">
        <f>VLOOKUP($A139,'Data shares'!$C:$FM,106)</f>
        <v>51.07</v>
      </c>
      <c r="F139" s="50">
        <f>VLOOKUP($A139,'Data shares'!$C:$FM,108)</f>
        <v>-5.94</v>
      </c>
      <c r="G139" s="50">
        <f t="shared" si="4"/>
        <v>0.88368905423927946</v>
      </c>
    </row>
    <row r="140" spans="1:7" x14ac:dyDescent="0.25">
      <c r="A140" s="49" t="str">
        <f>'Data Vlaue (Cr)'!C135</f>
        <v>NAUKRI</v>
      </c>
      <c r="B140" s="50">
        <f>VLOOKUP($A140,'Data shares'!$C:$FM,102)</f>
        <v>35.74</v>
      </c>
      <c r="C140" s="50">
        <f>VLOOKUP($A140,'Data shares'!$C:$FM,110)</f>
        <v>35.76</v>
      </c>
      <c r="D140" s="50">
        <f>VLOOKUP($A140,'Data shares'!$C:$FM,114)</f>
        <v>35.69</v>
      </c>
      <c r="E140" s="50">
        <f>VLOOKUP($A140,'Data shares'!$C:$FM,106)</f>
        <v>36.299999999999997</v>
      </c>
      <c r="F140" s="50">
        <f>VLOOKUP($A140,'Data shares'!$C:$FM,108)</f>
        <v>-0.56000000000000005</v>
      </c>
      <c r="G140" s="50">
        <f t="shared" si="4"/>
        <v>0.98457300275482107</v>
      </c>
    </row>
    <row r="141" spans="1:7" x14ac:dyDescent="0.25">
      <c r="A141" s="49" t="str">
        <f>'Data Vlaue (Cr)'!C136</f>
        <v>NBCC</v>
      </c>
      <c r="B141" s="50">
        <f>VLOOKUP($A141,'Data shares'!$C:$FM,102)</f>
        <v>46.38</v>
      </c>
      <c r="C141" s="50">
        <f>VLOOKUP($A141,'Data shares'!$C:$FM,110)</f>
        <v>46.1</v>
      </c>
      <c r="D141" s="50">
        <f>VLOOKUP($A141,'Data shares'!$C:$FM,114)</f>
        <v>46.91</v>
      </c>
      <c r="E141" s="50">
        <f>VLOOKUP($A141,'Data shares'!$C:$FM,106)</f>
        <v>49.57</v>
      </c>
      <c r="F141" s="50">
        <f>VLOOKUP($A141,'Data shares'!$C:$FM,108)</f>
        <v>-3.19</v>
      </c>
      <c r="G141" s="50">
        <f t="shared" si="4"/>
        <v>0.9356465604196087</v>
      </c>
    </row>
    <row r="142" spans="1:7" x14ac:dyDescent="0.25">
      <c r="A142" s="49" t="str">
        <f>'Data Vlaue (Cr)'!C137</f>
        <v>NESTLEIND</v>
      </c>
      <c r="B142" s="50">
        <f>VLOOKUP($A142,'Data shares'!$C:$FM,102)</f>
        <v>24.29</v>
      </c>
      <c r="C142" s="50">
        <f>VLOOKUP($A142,'Data shares'!$C:$FM,110)</f>
        <v>22.98</v>
      </c>
      <c r="D142" s="50">
        <f>VLOOKUP($A142,'Data shares'!$C:$FM,114)</f>
        <v>25.97</v>
      </c>
      <c r="E142" s="50">
        <f>VLOOKUP($A142,'Data shares'!$C:$FM,106)</f>
        <v>23.21</v>
      </c>
      <c r="F142" s="50">
        <f>VLOOKUP($A142,'Data shares'!$C:$FM,108)</f>
        <v>1.08</v>
      </c>
      <c r="G142" s="50">
        <f t="shared" si="4"/>
        <v>1.0465316673847478</v>
      </c>
    </row>
    <row r="143" spans="1:7" x14ac:dyDescent="0.25">
      <c r="A143" s="49" t="str">
        <f>'Data Vlaue (Cr)'!C138</f>
        <v>NHPC</v>
      </c>
      <c r="B143" s="50">
        <f>VLOOKUP($A143,'Data shares'!$C:$FM,102)</f>
        <v>33.28</v>
      </c>
      <c r="C143" s="50">
        <f>VLOOKUP($A143,'Data shares'!$C:$FM,110)</f>
        <v>33.18</v>
      </c>
      <c r="D143" s="50">
        <f>VLOOKUP($A143,'Data shares'!$C:$FM,114)</f>
        <v>33.630000000000003</v>
      </c>
      <c r="E143" s="50">
        <f>VLOOKUP($A143,'Data shares'!$C:$FM,106)</f>
        <v>35.24</v>
      </c>
      <c r="F143" s="50">
        <f>VLOOKUP($A143,'Data shares'!$C:$FM,108)</f>
        <v>-1.96</v>
      </c>
      <c r="G143" s="50">
        <f t="shared" si="4"/>
        <v>0.94438138479001132</v>
      </c>
    </row>
    <row r="144" spans="1:7" x14ac:dyDescent="0.25">
      <c r="A144" s="234" t="str">
        <f>'Data Vlaue (Cr)'!C139</f>
        <v>NIFTY</v>
      </c>
      <c r="B144" s="233">
        <f>VLOOKUP($A144,'Data shares'!$C:$FM,102)</f>
        <v>21.15</v>
      </c>
      <c r="C144" s="233">
        <f>VLOOKUP($A144,'Data shares'!$C:$FM,110)</f>
        <v>19.91</v>
      </c>
      <c r="D144" s="233">
        <f>VLOOKUP($A144,'Data shares'!$C:$FM,114)</f>
        <v>22.75</v>
      </c>
      <c r="E144" s="233">
        <f>VLOOKUP($A144,'Data shares'!$C:$FM,106)</f>
        <v>15.05</v>
      </c>
      <c r="F144" s="233">
        <f>VLOOKUP($A144,'Data shares'!$C:$FM,108)</f>
        <v>6.1</v>
      </c>
      <c r="G144" s="233">
        <f t="shared" si="4"/>
        <v>1.40531561461794</v>
      </c>
    </row>
    <row r="145" spans="1:7" x14ac:dyDescent="0.25">
      <c r="A145" s="49" t="str">
        <f>'Data Vlaue (Cr)'!C140</f>
        <v>NIFTYNXT50</v>
      </c>
      <c r="B145" s="50">
        <f>VLOOKUP($A145,'Data shares'!$C:$FM,102)</f>
        <v>21.72</v>
      </c>
      <c r="C145" s="50">
        <f>VLOOKUP($A145,'Data shares'!$C:$FM,110)</f>
        <v>21.53</v>
      </c>
      <c r="D145" s="50">
        <f>VLOOKUP($A145,'Data shares'!$C:$FM,114)</f>
        <v>22.08</v>
      </c>
      <c r="E145" s="50">
        <f>VLOOKUP($A145,'Data shares'!$C:$FM,106)</f>
        <v>20.41</v>
      </c>
      <c r="F145" s="50">
        <f>VLOOKUP($A145,'Data shares'!$C:$FM,108)</f>
        <v>1.31</v>
      </c>
      <c r="G145" s="50">
        <f t="shared" si="4"/>
        <v>1.0641842234198922</v>
      </c>
    </row>
    <row r="146" spans="1:7" x14ac:dyDescent="0.25">
      <c r="A146" s="49" t="str">
        <f>'Data Vlaue (Cr)'!C141</f>
        <v>NMDC</v>
      </c>
      <c r="B146" s="50">
        <f>VLOOKUP($A146,'Data shares'!$C:$FM,102)</f>
        <v>36.590000000000003</v>
      </c>
      <c r="C146" s="50">
        <f>VLOOKUP($A146,'Data shares'!$C:$FM,110)</f>
        <v>35.83</v>
      </c>
      <c r="D146" s="50">
        <f>VLOOKUP($A146,'Data shares'!$C:$FM,114)</f>
        <v>38.76</v>
      </c>
      <c r="E146" s="50">
        <f>VLOOKUP($A146,'Data shares'!$C:$FM,106)</f>
        <v>38.61</v>
      </c>
      <c r="F146" s="50">
        <f>VLOOKUP($A146,'Data shares'!$C:$FM,108)</f>
        <v>-2.02</v>
      </c>
      <c r="G146" s="50">
        <f t="shared" si="4"/>
        <v>0.9476819476819478</v>
      </c>
    </row>
    <row r="147" spans="1:7" x14ac:dyDescent="0.25">
      <c r="A147" s="49" t="str">
        <f>'Data Vlaue (Cr)'!C142</f>
        <v>NTPC</v>
      </c>
      <c r="B147" s="50">
        <f>VLOOKUP($A147,'Data shares'!$C:$FM,102)</f>
        <v>23.9</v>
      </c>
      <c r="C147" s="50">
        <f>VLOOKUP($A147,'Data shares'!$C:$FM,110)</f>
        <v>23.2</v>
      </c>
      <c r="D147" s="50">
        <f>VLOOKUP($A147,'Data shares'!$C:$FM,114)</f>
        <v>26.84</v>
      </c>
      <c r="E147" s="50">
        <f>VLOOKUP($A147,'Data shares'!$C:$FM,106)</f>
        <v>27.76</v>
      </c>
      <c r="F147" s="50">
        <f>VLOOKUP($A147,'Data shares'!$C:$FM,108)</f>
        <v>-3.86</v>
      </c>
      <c r="G147" s="50">
        <f t="shared" si="4"/>
        <v>0.86095100864553309</v>
      </c>
    </row>
    <row r="148" spans="1:7" x14ac:dyDescent="0.25">
      <c r="A148" s="49" t="str">
        <f>'Data Vlaue (Cr)'!C143</f>
        <v>NUVAMA</v>
      </c>
      <c r="B148" s="50">
        <f>VLOOKUP($A148,'Data shares'!$C:$FM,102)</f>
        <v>41.23</v>
      </c>
      <c r="C148" s="50">
        <f>VLOOKUP($A148,'Data shares'!$C:$FM,110)</f>
        <v>41.05</v>
      </c>
      <c r="D148" s="50">
        <f>VLOOKUP($A148,'Data shares'!$C:$FM,114)</f>
        <v>41.87</v>
      </c>
      <c r="E148" s="50">
        <f>VLOOKUP($A148,'Data shares'!$C:$FM,106)</f>
        <v>48.7</v>
      </c>
      <c r="F148" s="50">
        <f>VLOOKUP($A148,'Data shares'!$C:$FM,108)</f>
        <v>-7.47</v>
      </c>
      <c r="G148" s="50">
        <f t="shared" si="4"/>
        <v>0.84661190965092392</v>
      </c>
    </row>
    <row r="149" spans="1:7" x14ac:dyDescent="0.25">
      <c r="A149" s="49" t="str">
        <f>'Data Vlaue (Cr)'!C144</f>
        <v>NYKAA</v>
      </c>
      <c r="B149" s="50">
        <f>VLOOKUP($A149,'Data shares'!$C:$FM,102)</f>
        <v>36.119999999999997</v>
      </c>
      <c r="C149" s="50">
        <f>VLOOKUP($A149,'Data shares'!$C:$FM,110)</f>
        <v>35.4</v>
      </c>
      <c r="D149" s="50">
        <f>VLOOKUP($A149,'Data shares'!$C:$FM,114)</f>
        <v>37.6</v>
      </c>
      <c r="E149" s="50">
        <f>VLOOKUP($A149,'Data shares'!$C:$FM,106)</f>
        <v>36.03</v>
      </c>
      <c r="F149" s="50">
        <f>VLOOKUP($A149,'Data shares'!$C:$FM,108)</f>
        <v>0.09</v>
      </c>
      <c r="G149" s="50">
        <f t="shared" si="4"/>
        <v>1.0024979184013321</v>
      </c>
    </row>
    <row r="150" spans="1:7" x14ac:dyDescent="0.25">
      <c r="A150" s="49" t="str">
        <f>'Data Vlaue (Cr)'!C145</f>
        <v>OBEROIRLTY</v>
      </c>
      <c r="B150" s="50">
        <f>VLOOKUP($A150,'Data shares'!$C:$FM,102)</f>
        <v>32.47</v>
      </c>
      <c r="C150" s="50">
        <f>VLOOKUP($A150,'Data shares'!$C:$FM,110)</f>
        <v>31.74</v>
      </c>
      <c r="D150" s="50">
        <f>VLOOKUP($A150,'Data shares'!$C:$FM,114)</f>
        <v>33.590000000000003</v>
      </c>
      <c r="E150" s="50">
        <f>VLOOKUP($A150,'Data shares'!$C:$FM,106)</f>
        <v>36.200000000000003</v>
      </c>
      <c r="F150" s="50">
        <f>VLOOKUP($A150,'Data shares'!$C:$FM,108)</f>
        <v>-3.73</v>
      </c>
      <c r="G150" s="50">
        <f t="shared" si="4"/>
        <v>0.89696132596685074</v>
      </c>
    </row>
    <row r="151" spans="1:7" x14ac:dyDescent="0.25">
      <c r="A151" s="49" t="str">
        <f>'Data Vlaue (Cr)'!C146</f>
        <v>OFSS</v>
      </c>
      <c r="B151" s="50">
        <f>VLOOKUP($A151,'Data shares'!$C:$FM,102)</f>
        <v>45.15</v>
      </c>
      <c r="C151" s="50">
        <f>VLOOKUP($A151,'Data shares'!$C:$FM,110)</f>
        <v>40.11</v>
      </c>
      <c r="D151" s="50">
        <f>VLOOKUP($A151,'Data shares'!$C:$FM,114)</f>
        <v>49.6</v>
      </c>
      <c r="E151" s="50">
        <f>VLOOKUP($A151,'Data shares'!$C:$FM,106)</f>
        <v>38.65</v>
      </c>
      <c r="F151" s="50">
        <f>VLOOKUP($A151,'Data shares'!$C:$FM,108)</f>
        <v>6.5</v>
      </c>
      <c r="G151" s="50">
        <f t="shared" si="4"/>
        <v>1.1681759379042691</v>
      </c>
    </row>
    <row r="152" spans="1:7" x14ac:dyDescent="0.25">
      <c r="A152" s="49" t="str">
        <f>'Data Vlaue (Cr)'!C147</f>
        <v>OIL</v>
      </c>
      <c r="B152" s="50">
        <f>VLOOKUP($A152,'Data shares'!$C:$FM,102)</f>
        <v>41.71</v>
      </c>
      <c r="C152" s="50">
        <f>VLOOKUP($A152,'Data shares'!$C:$FM,110)</f>
        <v>41.82</v>
      </c>
      <c r="D152" s="50">
        <f>VLOOKUP($A152,'Data shares'!$C:$FM,114)</f>
        <v>41.35</v>
      </c>
      <c r="E152" s="50">
        <f>VLOOKUP($A152,'Data shares'!$C:$FM,106)</f>
        <v>42.09</v>
      </c>
      <c r="F152" s="50">
        <f>VLOOKUP($A152,'Data shares'!$C:$FM,108)</f>
        <v>-0.38</v>
      </c>
      <c r="G152" s="50">
        <f t="shared" si="4"/>
        <v>0.99097172725112848</v>
      </c>
    </row>
    <row r="153" spans="1:7" x14ac:dyDescent="0.25">
      <c r="A153" s="49" t="str">
        <f>'Data Vlaue (Cr)'!C148</f>
        <v>ONGC</v>
      </c>
      <c r="B153" s="50">
        <f>VLOOKUP($A153,'Data shares'!$C:$FM,102)</f>
        <v>34.67</v>
      </c>
      <c r="C153" s="50">
        <f>VLOOKUP($A153,'Data shares'!$C:$FM,110)</f>
        <v>34.81</v>
      </c>
      <c r="D153" s="50">
        <f>VLOOKUP($A153,'Data shares'!$C:$FM,114)</f>
        <v>34.26</v>
      </c>
      <c r="E153" s="50">
        <f>VLOOKUP($A153,'Data shares'!$C:$FM,106)</f>
        <v>32.130000000000003</v>
      </c>
      <c r="F153" s="50">
        <f>VLOOKUP($A153,'Data shares'!$C:$FM,108)</f>
        <v>2.54</v>
      </c>
      <c r="G153" s="50">
        <f t="shared" si="4"/>
        <v>1.0790538437597261</v>
      </c>
    </row>
    <row r="154" spans="1:7" x14ac:dyDescent="0.25">
      <c r="A154" s="49" t="str">
        <f>'Data Vlaue (Cr)'!C149</f>
        <v>PAGEIND</v>
      </c>
      <c r="B154" s="50">
        <f>VLOOKUP($A154,'Data shares'!$C:$FM,102)</f>
        <v>32.36</v>
      </c>
      <c r="C154" s="50">
        <f>VLOOKUP($A154,'Data shares'!$C:$FM,110)</f>
        <v>31.54</v>
      </c>
      <c r="D154" s="50">
        <f>VLOOKUP($A154,'Data shares'!$C:$FM,114)</f>
        <v>34.31</v>
      </c>
      <c r="E154" s="50">
        <f>VLOOKUP($A154,'Data shares'!$C:$FM,106)</f>
        <v>27.5</v>
      </c>
      <c r="F154" s="50">
        <f>VLOOKUP($A154,'Data shares'!$C:$FM,108)</f>
        <v>4.8600000000000003</v>
      </c>
      <c r="G154" s="50">
        <f t="shared" si="4"/>
        <v>1.1767272727272726</v>
      </c>
    </row>
    <row r="155" spans="1:7" x14ac:dyDescent="0.25">
      <c r="A155" s="49" t="str">
        <f>'Data Vlaue (Cr)'!C150</f>
        <v>PATANJALI</v>
      </c>
      <c r="B155" s="50">
        <f>VLOOKUP($A155,'Data shares'!$C:$FM,102)</f>
        <v>31.49</v>
      </c>
      <c r="C155" s="50">
        <f>VLOOKUP($A155,'Data shares'!$C:$FM,110)</f>
        <v>29.46</v>
      </c>
      <c r="D155" s="50">
        <f>VLOOKUP($A155,'Data shares'!$C:$FM,114)</f>
        <v>34.119999999999997</v>
      </c>
      <c r="E155" s="50">
        <f>VLOOKUP($A155,'Data shares'!$C:$FM,106)</f>
        <v>31.83</v>
      </c>
      <c r="F155" s="50">
        <f>VLOOKUP($A155,'Data shares'!$C:$FM,108)</f>
        <v>-0.34</v>
      </c>
      <c r="G155" s="50">
        <f t="shared" si="4"/>
        <v>0.98931825322023248</v>
      </c>
    </row>
    <row r="156" spans="1:7" x14ac:dyDescent="0.25">
      <c r="A156" s="49" t="str">
        <f>'Data Vlaue (Cr)'!C151</f>
        <v>PAYTM</v>
      </c>
      <c r="B156" s="50">
        <f>VLOOKUP($A156,'Data shares'!$C:$FM,102)</f>
        <v>41.11</v>
      </c>
      <c r="C156" s="50">
        <f>VLOOKUP($A156,'Data shares'!$C:$FM,110)</f>
        <v>40.299999999999997</v>
      </c>
      <c r="D156" s="50">
        <f>VLOOKUP($A156,'Data shares'!$C:$FM,114)</f>
        <v>42.43</v>
      </c>
      <c r="E156" s="50">
        <f>VLOOKUP($A156,'Data shares'!$C:$FM,106)</f>
        <v>50.62</v>
      </c>
      <c r="F156" s="50">
        <f>VLOOKUP($A156,'Data shares'!$C:$FM,108)</f>
        <v>-9.51</v>
      </c>
      <c r="G156" s="50">
        <f t="shared" si="4"/>
        <v>0.81212959304622678</v>
      </c>
    </row>
    <row r="157" spans="1:7" x14ac:dyDescent="0.25">
      <c r="A157" s="49" t="str">
        <f>'Data Vlaue (Cr)'!C152</f>
        <v>PERSISTENT</v>
      </c>
      <c r="B157" s="50">
        <f>VLOOKUP($A157,'Data shares'!$C:$FM,102)</f>
        <v>44.65</v>
      </c>
      <c r="C157" s="50">
        <f>VLOOKUP($A157,'Data shares'!$C:$FM,110)</f>
        <v>43.91</v>
      </c>
      <c r="D157" s="50">
        <f>VLOOKUP($A157,'Data shares'!$C:$FM,114)</f>
        <v>46.07</v>
      </c>
      <c r="E157" s="50">
        <f>VLOOKUP($A157,'Data shares'!$C:$FM,106)</f>
        <v>40.200000000000003</v>
      </c>
      <c r="F157" s="50">
        <f>VLOOKUP($A157,'Data shares'!$C:$FM,108)</f>
        <v>4.45</v>
      </c>
      <c r="G157" s="50">
        <f t="shared" si="4"/>
        <v>1.1106965174129353</v>
      </c>
    </row>
    <row r="158" spans="1:7" x14ac:dyDescent="0.25">
      <c r="A158" s="49" t="str">
        <f>'Data Vlaue (Cr)'!C153</f>
        <v>PETRONET</v>
      </c>
      <c r="B158" s="50">
        <f>VLOOKUP($A158,'Data shares'!$C:$FM,102)</f>
        <v>41.08</v>
      </c>
      <c r="C158" s="50">
        <f>VLOOKUP($A158,'Data shares'!$C:$FM,110)</f>
        <v>40.119999999999997</v>
      </c>
      <c r="D158" s="50">
        <f>VLOOKUP($A158,'Data shares'!$C:$FM,114)</f>
        <v>43.43</v>
      </c>
      <c r="E158" s="50">
        <f>VLOOKUP($A158,'Data shares'!$C:$FM,106)</f>
        <v>35.35</v>
      </c>
      <c r="F158" s="50">
        <f>VLOOKUP($A158,'Data shares'!$C:$FM,108)</f>
        <v>5.73</v>
      </c>
      <c r="G158" s="50">
        <f t="shared" si="4"/>
        <v>1.162093352192362</v>
      </c>
    </row>
    <row r="159" spans="1:7" x14ac:dyDescent="0.25">
      <c r="A159" s="49" t="str">
        <f>'Data Vlaue (Cr)'!C154</f>
        <v>PFC</v>
      </c>
      <c r="B159" s="50">
        <f>VLOOKUP($A159,'Data shares'!$C:$FM,102)</f>
        <v>40.1</v>
      </c>
      <c r="C159" s="50">
        <f>VLOOKUP($A159,'Data shares'!$C:$FM,110)</f>
        <v>39.78</v>
      </c>
      <c r="D159" s="50">
        <f>VLOOKUP($A159,'Data shares'!$C:$FM,114)</f>
        <v>40.880000000000003</v>
      </c>
      <c r="E159" s="50">
        <f>VLOOKUP($A159,'Data shares'!$C:$FM,106)</f>
        <v>41.62</v>
      </c>
      <c r="F159" s="50">
        <f>VLOOKUP($A159,'Data shares'!$C:$FM,108)</f>
        <v>-1.52</v>
      </c>
      <c r="G159" s="50">
        <f t="shared" si="4"/>
        <v>0.96347909658817887</v>
      </c>
    </row>
    <row r="160" spans="1:7" x14ac:dyDescent="0.25">
      <c r="A160" s="49" t="str">
        <f>'Data Vlaue (Cr)'!C155</f>
        <v>PGEL</v>
      </c>
      <c r="B160" s="50">
        <f>VLOOKUP($A160,'Data shares'!$C:$FM,102)</f>
        <v>53.95</v>
      </c>
      <c r="C160" s="50">
        <f>VLOOKUP($A160,'Data shares'!$C:$FM,110)</f>
        <v>54.01</v>
      </c>
      <c r="D160" s="50">
        <f>VLOOKUP($A160,'Data shares'!$C:$FM,114)</f>
        <v>53.88</v>
      </c>
      <c r="E160" s="50">
        <f>VLOOKUP($A160,'Data shares'!$C:$FM,106)</f>
        <v>64.819999999999993</v>
      </c>
      <c r="F160" s="50">
        <f>VLOOKUP($A160,'Data shares'!$C:$FM,108)</f>
        <v>-10.87</v>
      </c>
      <c r="G160" s="50">
        <f t="shared" si="4"/>
        <v>0.83230484418389394</v>
      </c>
    </row>
    <row r="161" spans="1:7" x14ac:dyDescent="0.25">
      <c r="A161" s="49" t="str">
        <f>'Data Vlaue (Cr)'!C156</f>
        <v>PHOENIXLTD</v>
      </c>
      <c r="B161" s="50">
        <f>VLOOKUP($A161,'Data shares'!$C:$FM,102)</f>
        <v>29.87</v>
      </c>
      <c r="C161" s="50">
        <f>VLOOKUP($A161,'Data shares'!$C:$FM,110)</f>
        <v>29.88</v>
      </c>
      <c r="D161" s="50">
        <f>VLOOKUP($A161,'Data shares'!$C:$FM,114)</f>
        <v>29.78</v>
      </c>
      <c r="E161" s="50">
        <f>VLOOKUP($A161,'Data shares'!$C:$FM,106)</f>
        <v>38.369999999999997</v>
      </c>
      <c r="F161" s="50">
        <f>VLOOKUP($A161,'Data shares'!$C:$FM,108)</f>
        <v>-8.5</v>
      </c>
      <c r="G161" s="50">
        <f t="shared" si="4"/>
        <v>0.77847276518113118</v>
      </c>
    </row>
    <row r="162" spans="1:7" x14ac:dyDescent="0.25">
      <c r="A162" s="49" t="str">
        <f>'Data Vlaue (Cr)'!C157</f>
        <v>PIDILITIND</v>
      </c>
      <c r="B162" s="50">
        <f>VLOOKUP($A162,'Data shares'!$C:$FM,102)</f>
        <v>27.53</v>
      </c>
      <c r="C162" s="50">
        <f>VLOOKUP($A162,'Data shares'!$C:$FM,110)</f>
        <v>26.52</v>
      </c>
      <c r="D162" s="50">
        <f>VLOOKUP($A162,'Data shares'!$C:$FM,114)</f>
        <v>28.66</v>
      </c>
      <c r="E162" s="50">
        <f>VLOOKUP($A162,'Data shares'!$C:$FM,106)</f>
        <v>22.21</v>
      </c>
      <c r="F162" s="50">
        <f>VLOOKUP($A162,'Data shares'!$C:$FM,108)</f>
        <v>5.32</v>
      </c>
      <c r="G162" s="50">
        <f t="shared" si="4"/>
        <v>1.2395317424583521</v>
      </c>
    </row>
    <row r="163" spans="1:7" x14ac:dyDescent="0.25">
      <c r="A163" s="49" t="str">
        <f>'Data Vlaue (Cr)'!C158</f>
        <v>PIIND</v>
      </c>
      <c r="B163" s="50">
        <f>VLOOKUP($A163,'Data shares'!$C:$FM,102)</f>
        <v>31.1</v>
      </c>
      <c r="C163" s="50">
        <f>VLOOKUP($A163,'Data shares'!$C:$FM,110)</f>
        <v>30.62</v>
      </c>
      <c r="D163" s="50">
        <f>VLOOKUP($A163,'Data shares'!$C:$FM,114)</f>
        <v>32.04</v>
      </c>
      <c r="E163" s="50">
        <f>VLOOKUP($A163,'Data shares'!$C:$FM,106)</f>
        <v>29.32</v>
      </c>
      <c r="F163" s="50">
        <f>VLOOKUP($A163,'Data shares'!$C:$FM,108)</f>
        <v>1.78</v>
      </c>
      <c r="G163" s="50">
        <f t="shared" si="4"/>
        <v>1.0607094133697135</v>
      </c>
    </row>
    <row r="164" spans="1:7" x14ac:dyDescent="0.25">
      <c r="A164" s="49" t="str">
        <f>'Data Vlaue (Cr)'!C159</f>
        <v>PNB</v>
      </c>
      <c r="B164" s="50">
        <f>VLOOKUP($A164,'Data shares'!$C:$FM,102)</f>
        <v>38.450000000000003</v>
      </c>
      <c r="C164" s="50">
        <f>VLOOKUP($A164,'Data shares'!$C:$FM,110)</f>
        <v>37.24</v>
      </c>
      <c r="D164" s="50">
        <f>VLOOKUP($A164,'Data shares'!$C:$FM,114)</f>
        <v>40.409999999999997</v>
      </c>
      <c r="E164" s="50">
        <f>VLOOKUP($A164,'Data shares'!$C:$FM,106)</f>
        <v>35.380000000000003</v>
      </c>
      <c r="F164" s="50">
        <f>VLOOKUP($A164,'Data shares'!$C:$FM,108)</f>
        <v>3.07</v>
      </c>
      <c r="G164" s="50">
        <f t="shared" si="4"/>
        <v>1.0867721876766534</v>
      </c>
    </row>
    <row r="165" spans="1:7" x14ac:dyDescent="0.25">
      <c r="A165" s="49" t="str">
        <f>'Data Vlaue (Cr)'!C160</f>
        <v>PNBHOUSING</v>
      </c>
      <c r="B165" s="50">
        <f>VLOOKUP($A165,'Data shares'!$C:$FM,102)</f>
        <v>36.24</v>
      </c>
      <c r="C165" s="50">
        <f>VLOOKUP($A165,'Data shares'!$C:$FM,110)</f>
        <v>33.130000000000003</v>
      </c>
      <c r="D165" s="50">
        <f>VLOOKUP($A165,'Data shares'!$C:$FM,114)</f>
        <v>38.58</v>
      </c>
      <c r="E165" s="50">
        <f>VLOOKUP($A165,'Data shares'!$C:$FM,106)</f>
        <v>45.43</v>
      </c>
      <c r="F165" s="50">
        <f>VLOOKUP($A165,'Data shares'!$C:$FM,108)</f>
        <v>-9.19</v>
      </c>
      <c r="G165" s="50">
        <f t="shared" si="4"/>
        <v>0.79771076381245876</v>
      </c>
    </row>
    <row r="166" spans="1:7" x14ac:dyDescent="0.25">
      <c r="A166" s="49" t="str">
        <f>'Data Vlaue (Cr)'!C161</f>
        <v>POLICYBZR</v>
      </c>
      <c r="B166" s="50">
        <f>VLOOKUP($A166,'Data shares'!$C:$FM,102)</f>
        <v>42.43</v>
      </c>
      <c r="C166" s="50">
        <f>VLOOKUP($A166,'Data shares'!$C:$FM,110)</f>
        <v>40.36</v>
      </c>
      <c r="D166" s="50">
        <f>VLOOKUP($A166,'Data shares'!$C:$FM,114)</f>
        <v>44.47</v>
      </c>
      <c r="E166" s="50">
        <f>VLOOKUP($A166,'Data shares'!$C:$FM,106)</f>
        <v>46.04</v>
      </c>
      <c r="F166" s="50">
        <f>VLOOKUP($A166,'Data shares'!$C:$FM,108)</f>
        <v>-3.61</v>
      </c>
      <c r="G166" s="50">
        <f t="shared" si="4"/>
        <v>0.92158992180712429</v>
      </c>
    </row>
    <row r="167" spans="1:7" x14ac:dyDescent="0.25">
      <c r="A167" s="49" t="str">
        <f>'Data Vlaue (Cr)'!C162</f>
        <v>POLYCAB</v>
      </c>
      <c r="B167" s="50">
        <f>VLOOKUP($A167,'Data shares'!$C:$FM,102)</f>
        <v>39.51</v>
      </c>
      <c r="C167" s="50">
        <f>VLOOKUP($A167,'Data shares'!$C:$FM,110)</f>
        <v>37.74</v>
      </c>
      <c r="D167" s="50">
        <f>VLOOKUP($A167,'Data shares'!$C:$FM,114)</f>
        <v>42.19</v>
      </c>
      <c r="E167" s="50">
        <f>VLOOKUP($A167,'Data shares'!$C:$FM,106)</f>
        <v>40.47</v>
      </c>
      <c r="F167" s="50">
        <f>VLOOKUP($A167,'Data shares'!$C:$FM,108)</f>
        <v>-0.96</v>
      </c>
      <c r="G167" s="50">
        <f t="shared" ref="G167:G187" si="5">B167/E167</f>
        <v>0.97627872498146773</v>
      </c>
    </row>
    <row r="168" spans="1:7" x14ac:dyDescent="0.25">
      <c r="A168" s="49" t="str">
        <f>'Data Vlaue (Cr)'!C163</f>
        <v>POWERGRID</v>
      </c>
      <c r="B168" s="50">
        <f>VLOOKUP($A168,'Data shares'!$C:$FM,102)</f>
        <v>26.89</v>
      </c>
      <c r="C168" s="50">
        <f>VLOOKUP($A168,'Data shares'!$C:$FM,110)</f>
        <v>26.44</v>
      </c>
      <c r="D168" s="50">
        <f>VLOOKUP($A168,'Data shares'!$C:$FM,114)</f>
        <v>28.77</v>
      </c>
      <c r="E168" s="50">
        <f>VLOOKUP($A168,'Data shares'!$C:$FM,106)</f>
        <v>29.47</v>
      </c>
      <c r="F168" s="50">
        <f>VLOOKUP($A168,'Data shares'!$C:$FM,108)</f>
        <v>-2.58</v>
      </c>
      <c r="G168" s="50">
        <f t="shared" si="5"/>
        <v>0.91245334238208353</v>
      </c>
    </row>
    <row r="169" spans="1:7" x14ac:dyDescent="0.25">
      <c r="A169" s="49" t="str">
        <f>'Data Vlaue (Cr)'!C164</f>
        <v>POWERINDIA</v>
      </c>
      <c r="B169" s="50">
        <f>VLOOKUP($A169,'Data shares'!$C:$FM,102)</f>
        <v>49.53</v>
      </c>
      <c r="C169" s="50">
        <f>VLOOKUP($A169,'Data shares'!$C:$FM,110)</f>
        <v>48.17</v>
      </c>
      <c r="D169" s="50">
        <f>VLOOKUP($A169,'Data shares'!$C:$FM,114)</f>
        <v>53.29</v>
      </c>
      <c r="E169" s="50">
        <f>VLOOKUP($A169,'Data shares'!$C:$FM,106)</f>
        <v>58.48</v>
      </c>
      <c r="F169" s="50">
        <f>VLOOKUP($A169,'Data shares'!$C:$FM,108)</f>
        <v>-8.9499999999999993</v>
      </c>
      <c r="G169" s="50">
        <f t="shared" si="5"/>
        <v>0.84695622435020523</v>
      </c>
    </row>
    <row r="170" spans="1:7" x14ac:dyDescent="0.25">
      <c r="A170" s="49" t="str">
        <f>'Data Vlaue (Cr)'!C165</f>
        <v>PPLPHARMA</v>
      </c>
      <c r="B170" s="50">
        <f>VLOOKUP($A170,'Data shares'!$C:$FM,102)</f>
        <v>47.15</v>
      </c>
      <c r="C170" s="50">
        <f>VLOOKUP($A170,'Data shares'!$C:$FM,110)</f>
        <v>45.82</v>
      </c>
      <c r="D170" s="50">
        <f>VLOOKUP($A170,'Data shares'!$C:$FM,114)</f>
        <v>48.4</v>
      </c>
      <c r="E170" s="50">
        <f>VLOOKUP($A170,'Data shares'!$C:$FM,106)</f>
        <v>42.49</v>
      </c>
      <c r="F170" s="50">
        <f>VLOOKUP($A170,'Data shares'!$C:$FM,108)</f>
        <v>4.66</v>
      </c>
      <c r="G170" s="50">
        <f t="shared" si="5"/>
        <v>1.1096728642033418</v>
      </c>
    </row>
    <row r="171" spans="1:7" x14ac:dyDescent="0.25">
      <c r="A171" s="49" t="str">
        <f>'Data Vlaue (Cr)'!C166</f>
        <v>PREMIERENE</v>
      </c>
      <c r="B171" s="50">
        <f>VLOOKUP($A171,'Data shares'!$C:$FM,102)</f>
        <v>45.88</v>
      </c>
      <c r="C171" s="50">
        <f>VLOOKUP($A171,'Data shares'!$C:$FM,110)</f>
        <v>45.11</v>
      </c>
      <c r="D171" s="50">
        <f>VLOOKUP($A171,'Data shares'!$C:$FM,114)</f>
        <v>47.61</v>
      </c>
      <c r="E171" s="50">
        <f>VLOOKUP($A171,'Data shares'!$C:$FM,106)</f>
        <v>48.12</v>
      </c>
      <c r="F171" s="50">
        <f>VLOOKUP($A171,'Data shares'!$C:$FM,108)</f>
        <v>-2.2400000000000002</v>
      </c>
      <c r="G171" s="50">
        <f t="shared" si="5"/>
        <v>0.95344970906068172</v>
      </c>
    </row>
    <row r="172" spans="1:7" x14ac:dyDescent="0.25">
      <c r="A172" s="49" t="str">
        <f>'Data Vlaue (Cr)'!C167</f>
        <v>PRESTIGE</v>
      </c>
      <c r="B172" s="50">
        <f>VLOOKUP($A172,'Data shares'!$C:$FM,102)</f>
        <v>41.83</v>
      </c>
      <c r="C172" s="50">
        <f>VLOOKUP($A172,'Data shares'!$C:$FM,110)</f>
        <v>40.659999999999997</v>
      </c>
      <c r="D172" s="50">
        <f>VLOOKUP($A172,'Data shares'!$C:$FM,114)</f>
        <v>42.99</v>
      </c>
      <c r="E172" s="50">
        <f>VLOOKUP($A172,'Data shares'!$C:$FM,106)</f>
        <v>43.03</v>
      </c>
      <c r="F172" s="50">
        <f>VLOOKUP($A172,'Data shares'!$C:$FM,108)</f>
        <v>-1.2</v>
      </c>
      <c r="G172" s="50">
        <f t="shared" si="5"/>
        <v>0.97211247966534964</v>
      </c>
    </row>
    <row r="173" spans="1:7" x14ac:dyDescent="0.25">
      <c r="A173" s="49" t="str">
        <f>'Data Vlaue (Cr)'!C168</f>
        <v>RBLBANK</v>
      </c>
      <c r="B173" s="50">
        <f>VLOOKUP($A173,'Data shares'!$C:$FM,102)</f>
        <v>33.67</v>
      </c>
      <c r="C173" s="50">
        <f>VLOOKUP($A173,'Data shares'!$C:$FM,110)</f>
        <v>33.33</v>
      </c>
      <c r="D173" s="50">
        <f>VLOOKUP($A173,'Data shares'!$C:$FM,114)</f>
        <v>34.17</v>
      </c>
      <c r="E173" s="50">
        <f>VLOOKUP($A173,'Data shares'!$C:$FM,106)</f>
        <v>43.03</v>
      </c>
      <c r="F173" s="50">
        <f>VLOOKUP($A173,'Data shares'!$C:$FM,108)</f>
        <v>-9.36</v>
      </c>
      <c r="G173" s="50">
        <f t="shared" si="5"/>
        <v>0.78247734138972813</v>
      </c>
    </row>
    <row r="174" spans="1:7" x14ac:dyDescent="0.25">
      <c r="A174" s="49" t="str">
        <f>'Data Vlaue (Cr)'!C169</f>
        <v>RECLTD</v>
      </c>
      <c r="B174" s="50">
        <f>VLOOKUP($A174,'Data shares'!$C:$FM,102)</f>
        <v>37.57</v>
      </c>
      <c r="C174" s="50">
        <f>VLOOKUP($A174,'Data shares'!$C:$FM,110)</f>
        <v>36.35</v>
      </c>
      <c r="D174" s="50">
        <f>VLOOKUP($A174,'Data shares'!$C:$FM,114)</f>
        <v>40.39</v>
      </c>
      <c r="E174" s="50">
        <f>VLOOKUP($A174,'Data shares'!$C:$FM,106)</f>
        <v>41.55</v>
      </c>
      <c r="F174" s="50">
        <f>VLOOKUP($A174,'Data shares'!$C:$FM,108)</f>
        <v>-3.98</v>
      </c>
      <c r="G174" s="50">
        <f t="shared" si="5"/>
        <v>0.9042117930204574</v>
      </c>
    </row>
    <row r="175" spans="1:7" x14ac:dyDescent="0.25">
      <c r="A175" s="49" t="str">
        <f>'Data Vlaue (Cr)'!C170</f>
        <v>RELIANCE</v>
      </c>
      <c r="B175" s="50">
        <f>VLOOKUP($A175,'Data shares'!$C:$FM,102)</f>
        <v>25.27</v>
      </c>
      <c r="C175" s="50">
        <f>VLOOKUP($A175,'Data shares'!$C:$FM,110)</f>
        <v>24.64</v>
      </c>
      <c r="D175" s="50">
        <f>VLOOKUP($A175,'Data shares'!$C:$FM,114)</f>
        <v>26.55</v>
      </c>
      <c r="E175" s="50">
        <f>VLOOKUP($A175,'Data shares'!$C:$FM,106)</f>
        <v>25.09</v>
      </c>
      <c r="F175" s="50">
        <f>VLOOKUP($A175,'Data shares'!$C:$FM,108)</f>
        <v>0.18</v>
      </c>
      <c r="G175" s="50">
        <f t="shared" si="5"/>
        <v>1.0071741729772818</v>
      </c>
    </row>
    <row r="176" spans="1:7" x14ac:dyDescent="0.25">
      <c r="A176" s="49" t="str">
        <f>'Data Vlaue (Cr)'!C171</f>
        <v>RVNL</v>
      </c>
      <c r="B176" s="50">
        <f>VLOOKUP($A176,'Data shares'!$C:$FM,102)</f>
        <v>50.68</v>
      </c>
      <c r="C176" s="50">
        <f>VLOOKUP($A176,'Data shares'!$C:$FM,110)</f>
        <v>50.53</v>
      </c>
      <c r="D176" s="50">
        <f>VLOOKUP($A176,'Data shares'!$C:$FM,114)</f>
        <v>51.06</v>
      </c>
      <c r="E176" s="50">
        <f>VLOOKUP($A176,'Data shares'!$C:$FM,106)</f>
        <v>57.85</v>
      </c>
      <c r="F176" s="50">
        <f>VLOOKUP($A176,'Data shares'!$C:$FM,108)</f>
        <v>-7.17</v>
      </c>
      <c r="G176" s="50">
        <f t="shared" si="5"/>
        <v>0.87605877268798615</v>
      </c>
    </row>
    <row r="177" spans="1:7" x14ac:dyDescent="0.25">
      <c r="A177" s="49" t="str">
        <f>'Data Vlaue (Cr)'!C172</f>
        <v>SAIL</v>
      </c>
      <c r="B177" s="50">
        <f>VLOOKUP($A177,'Data shares'!$C:$FM,102)</f>
        <v>30.43</v>
      </c>
      <c r="C177" s="50">
        <f>VLOOKUP($A177,'Data shares'!$C:$FM,110)</f>
        <v>31.84</v>
      </c>
      <c r="D177" s="50">
        <f>VLOOKUP($A177,'Data shares'!$C:$FM,114)</f>
        <v>29.51</v>
      </c>
      <c r="E177" s="50">
        <f>VLOOKUP($A177,'Data shares'!$C:$FM,106)</f>
        <v>43.31</v>
      </c>
      <c r="F177" s="50">
        <f>VLOOKUP($A177,'Data shares'!$C:$FM,108)</f>
        <v>-12.88</v>
      </c>
      <c r="G177" s="50">
        <f t="shared" si="5"/>
        <v>0.70260909720618792</v>
      </c>
    </row>
    <row r="178" spans="1:7" x14ac:dyDescent="0.25">
      <c r="A178" s="49" t="str">
        <f>'Data Vlaue (Cr)'!C173</f>
        <v>SAMMAANCAP</v>
      </c>
      <c r="B178" s="50">
        <f>VLOOKUP($A178,'Data shares'!$C:$FM,102)</f>
        <v>49.54</v>
      </c>
      <c r="C178" s="50">
        <f>VLOOKUP($A178,'Data shares'!$C:$FM,110)</f>
        <v>50.7</v>
      </c>
      <c r="D178" s="50">
        <f>VLOOKUP($A178,'Data shares'!$C:$FM,114)</f>
        <v>35.65</v>
      </c>
      <c r="E178" s="50">
        <f>VLOOKUP($A178,'Data shares'!$C:$FM,106)</f>
        <v>53.45</v>
      </c>
      <c r="F178" s="50">
        <f>VLOOKUP($A178,'Data shares'!$C:$FM,108)</f>
        <v>-3.91</v>
      </c>
      <c r="G178" s="50">
        <f t="shared" si="5"/>
        <v>0.92684752104770807</v>
      </c>
    </row>
    <row r="179" spans="1:7" x14ac:dyDescent="0.25">
      <c r="A179" s="49" t="str">
        <f>'Data Vlaue (Cr)'!C174</f>
        <v>SBICARD</v>
      </c>
      <c r="B179" s="50">
        <f>VLOOKUP($A179,'Data shares'!$C:$FM,102)</f>
        <v>33.590000000000003</v>
      </c>
      <c r="C179" s="50">
        <f>VLOOKUP($A179,'Data shares'!$C:$FM,110)</f>
        <v>33.24</v>
      </c>
      <c r="D179" s="50">
        <f>VLOOKUP($A179,'Data shares'!$C:$FM,114)</f>
        <v>34.35</v>
      </c>
      <c r="E179" s="50">
        <f>VLOOKUP($A179,'Data shares'!$C:$FM,106)</f>
        <v>29.45</v>
      </c>
      <c r="F179" s="50">
        <f>VLOOKUP($A179,'Data shares'!$C:$FM,108)</f>
        <v>4.1399999999999997</v>
      </c>
      <c r="G179" s="50">
        <f t="shared" si="5"/>
        <v>1.140577249575552</v>
      </c>
    </row>
    <row r="180" spans="1:7" x14ac:dyDescent="0.25">
      <c r="A180" s="49" t="str">
        <f>'Data Vlaue (Cr)'!C175</f>
        <v>SBILIFE</v>
      </c>
      <c r="B180" s="50">
        <f>VLOOKUP($A180,'Data shares'!$C:$FM,102)</f>
        <v>24.19</v>
      </c>
      <c r="C180" s="50">
        <f>VLOOKUP($A180,'Data shares'!$C:$FM,110)</f>
        <v>23.32</v>
      </c>
      <c r="D180" s="50">
        <f>VLOOKUP($A180,'Data shares'!$C:$FM,114)</f>
        <v>25.96</v>
      </c>
      <c r="E180" s="50">
        <f>VLOOKUP($A180,'Data shares'!$C:$FM,106)</f>
        <v>24.52</v>
      </c>
      <c r="F180" s="50">
        <f>VLOOKUP($A180,'Data shares'!$C:$FM,108)</f>
        <v>-0.33</v>
      </c>
      <c r="G180" s="50">
        <f t="shared" si="5"/>
        <v>0.98654159869494296</v>
      </c>
    </row>
    <row r="181" spans="1:7" x14ac:dyDescent="0.25">
      <c r="A181" s="49" t="str">
        <f>'Data Vlaue (Cr)'!C176</f>
        <v>SBIN</v>
      </c>
      <c r="B181" s="50">
        <f>VLOOKUP($A181,'Data shares'!$C:$FM,102)</f>
        <v>31.22</v>
      </c>
      <c r="C181" s="50">
        <f>VLOOKUP($A181,'Data shares'!$C:$FM,110)</f>
        <v>30.41</v>
      </c>
      <c r="D181" s="50">
        <f>VLOOKUP($A181,'Data shares'!$C:$FM,114)</f>
        <v>32.4</v>
      </c>
      <c r="E181" s="50">
        <f>VLOOKUP($A181,'Data shares'!$C:$FM,106)</f>
        <v>27.37</v>
      </c>
      <c r="F181" s="50">
        <f>VLOOKUP($A181,'Data shares'!$C:$FM,108)</f>
        <v>3.85</v>
      </c>
      <c r="G181" s="50">
        <f t="shared" si="5"/>
        <v>1.1406649616368285</v>
      </c>
    </row>
    <row r="182" spans="1:7" x14ac:dyDescent="0.25">
      <c r="A182" s="49" t="str">
        <f>'Data Vlaue (Cr)'!C177</f>
        <v>SHREECEM</v>
      </c>
      <c r="B182" s="50">
        <f>VLOOKUP($A182,'Data shares'!$C:$FM,102)</f>
        <v>31.34</v>
      </c>
      <c r="C182" s="50">
        <f>VLOOKUP($A182,'Data shares'!$C:$FM,110)</f>
        <v>31.6</v>
      </c>
      <c r="D182" s="50">
        <f>VLOOKUP($A182,'Data shares'!$C:$FM,114)</f>
        <v>31</v>
      </c>
      <c r="E182" s="50">
        <f>VLOOKUP($A182,'Data shares'!$C:$FM,106)</f>
        <v>25.64</v>
      </c>
      <c r="F182" s="50">
        <f>VLOOKUP($A182,'Data shares'!$C:$FM,108)</f>
        <v>5.7</v>
      </c>
      <c r="G182" s="50">
        <f t="shared" si="5"/>
        <v>1.2223088923556942</v>
      </c>
    </row>
    <row r="183" spans="1:7" x14ac:dyDescent="0.25">
      <c r="A183" s="49" t="str">
        <f>'Data Vlaue (Cr)'!C178</f>
        <v>SHRIRAMFIN</v>
      </c>
      <c r="B183" s="50">
        <f>VLOOKUP($A183,'Data shares'!$C:$FM,102)</f>
        <v>40.24</v>
      </c>
      <c r="C183" s="50">
        <f>VLOOKUP($A183,'Data shares'!$C:$FM,110)</f>
        <v>38.93</v>
      </c>
      <c r="D183" s="50">
        <f>VLOOKUP($A183,'Data shares'!$C:$FM,114)</f>
        <v>42.16</v>
      </c>
      <c r="E183" s="50">
        <f>VLOOKUP($A183,'Data shares'!$C:$FM,106)</f>
        <v>40.18</v>
      </c>
      <c r="F183" s="50">
        <f>VLOOKUP($A183,'Data shares'!$C:$FM,108)</f>
        <v>0.06</v>
      </c>
      <c r="G183" s="50">
        <f t="shared" si="5"/>
        <v>1.0014932802389249</v>
      </c>
    </row>
    <row r="184" spans="1:7" x14ac:dyDescent="0.25">
      <c r="A184" s="49" t="str">
        <f>'Data Vlaue (Cr)'!C179</f>
        <v>SIEMENS</v>
      </c>
      <c r="B184" s="50">
        <f>VLOOKUP($A184,'Data shares'!$C:$FM,102)</f>
        <v>37.99</v>
      </c>
      <c r="C184" s="50">
        <f>VLOOKUP($A184,'Data shares'!$C:$FM,110)</f>
        <v>37.18</v>
      </c>
      <c r="D184" s="50">
        <f>VLOOKUP($A184,'Data shares'!$C:$FM,114)</f>
        <v>40.51</v>
      </c>
      <c r="E184" s="50">
        <f>VLOOKUP($A184,'Data shares'!$C:$FM,106)</f>
        <v>38.369999999999997</v>
      </c>
      <c r="F184" s="50">
        <f>VLOOKUP($A184,'Data shares'!$C:$FM,108)</f>
        <v>-0.38</v>
      </c>
      <c r="G184" s="50">
        <f t="shared" si="5"/>
        <v>0.99009642950221544</v>
      </c>
    </row>
    <row r="185" spans="1:7" x14ac:dyDescent="0.25">
      <c r="A185" s="49" t="str">
        <f>'Data Vlaue (Cr)'!C180</f>
        <v>SOLARINDS</v>
      </c>
      <c r="B185" s="50">
        <f>VLOOKUP($A185,'Data shares'!$C:$FM,102)</f>
        <v>39.71</v>
      </c>
      <c r="C185" s="50">
        <f>VLOOKUP($A185,'Data shares'!$C:$FM,110)</f>
        <v>39.79</v>
      </c>
      <c r="D185" s="50">
        <f>VLOOKUP($A185,'Data shares'!$C:$FM,114)</f>
        <v>39.520000000000003</v>
      </c>
      <c r="E185" s="50">
        <f>VLOOKUP($A185,'Data shares'!$C:$FM,106)</f>
        <v>40.630000000000003</v>
      </c>
      <c r="F185" s="50">
        <f>VLOOKUP($A185,'Data shares'!$C:$FM,108)</f>
        <v>-0.92</v>
      </c>
      <c r="G185" s="50">
        <f t="shared" si="5"/>
        <v>0.97735663302978093</v>
      </c>
    </row>
    <row r="186" spans="1:7" x14ac:dyDescent="0.25">
      <c r="A186" s="49" t="str">
        <f>'Data Vlaue (Cr)'!C181</f>
        <v>SONACOMS</v>
      </c>
      <c r="B186" s="50">
        <f>VLOOKUP($A186,'Data shares'!$C:$FM,102)</f>
        <v>39.07</v>
      </c>
      <c r="C186" s="50">
        <f>VLOOKUP($A186,'Data shares'!$C:$FM,110)</f>
        <v>38.07</v>
      </c>
      <c r="D186" s="50">
        <f>VLOOKUP($A186,'Data shares'!$C:$FM,114)</f>
        <v>40.56</v>
      </c>
      <c r="E186" s="50">
        <f>VLOOKUP($A186,'Data shares'!$C:$FM,106)</f>
        <v>39.07</v>
      </c>
      <c r="F186" s="50">
        <f>VLOOKUP($A186,'Data shares'!$C:$FM,108)</f>
        <v>0</v>
      </c>
      <c r="G186" s="50">
        <f t="shared" si="5"/>
        <v>1</v>
      </c>
    </row>
    <row r="187" spans="1:7" x14ac:dyDescent="0.25">
      <c r="A187" s="49" t="str">
        <f>'Data Vlaue (Cr)'!C182</f>
        <v>SRF</v>
      </c>
      <c r="B187" s="50">
        <f>VLOOKUP($A187,'Data shares'!$C:$FM,102)</f>
        <v>35.61</v>
      </c>
      <c r="C187" s="50">
        <f>VLOOKUP($A187,'Data shares'!$C:$FM,110)</f>
        <v>34.270000000000003</v>
      </c>
      <c r="D187" s="50">
        <f>VLOOKUP($A187,'Data shares'!$C:$FM,114)</f>
        <v>38.450000000000003</v>
      </c>
      <c r="E187" s="50">
        <f>VLOOKUP($A187,'Data shares'!$C:$FM,106)</f>
        <v>34.01</v>
      </c>
      <c r="F187" s="50">
        <f>VLOOKUP($A187,'Data shares'!$C:$FM,108)</f>
        <v>1.6</v>
      </c>
      <c r="G187" s="50">
        <f t="shared" si="5"/>
        <v>1.0470449867685976</v>
      </c>
    </row>
    <row r="188" spans="1:7" x14ac:dyDescent="0.25">
      <c r="A188" s="49" t="str">
        <f>'Data Vlaue (Cr)'!C183</f>
        <v>SUNPHARMA</v>
      </c>
      <c r="B188" s="50">
        <f>VLOOKUP($A188,'Data shares'!$C:$FM,102)</f>
        <v>18.190000000000001</v>
      </c>
      <c r="C188" s="50">
        <f>VLOOKUP($A188,'Data shares'!$C:$FM,110)</f>
        <v>16.78</v>
      </c>
      <c r="D188" s="50">
        <f>VLOOKUP($A188,'Data shares'!$C:$FM,114)</f>
        <v>20.329999999999998</v>
      </c>
      <c r="E188" s="50">
        <f>VLOOKUP($A188,'Data shares'!$C:$FM,106)</f>
        <v>22.95</v>
      </c>
      <c r="F188" s="50">
        <f>VLOOKUP($A188,'Data shares'!$C:$FM,108)</f>
        <v>-4.76</v>
      </c>
      <c r="G188" s="50">
        <f t="shared" ref="G188:G204" si="6">B188/E188</f>
        <v>0.79259259259259263</v>
      </c>
    </row>
    <row r="189" spans="1:7" x14ac:dyDescent="0.25">
      <c r="A189" s="49" t="str">
        <f>'Data Vlaue (Cr)'!C184</f>
        <v>SUPREMEIND</v>
      </c>
      <c r="B189" s="50">
        <f>VLOOKUP($A189,'Data shares'!$C:$FM,102)</f>
        <v>34.99</v>
      </c>
      <c r="C189" s="50">
        <f>VLOOKUP($A189,'Data shares'!$C:$FM,110)</f>
        <v>33.380000000000003</v>
      </c>
      <c r="D189" s="50">
        <f>VLOOKUP($A189,'Data shares'!$C:$FM,114)</f>
        <v>39</v>
      </c>
      <c r="E189" s="50">
        <f>VLOOKUP($A189,'Data shares'!$C:$FM,106)</f>
        <v>38.119999999999997</v>
      </c>
      <c r="F189" s="50">
        <f>VLOOKUP($A189,'Data shares'!$C:$FM,108)</f>
        <v>-3.13</v>
      </c>
      <c r="G189" s="50">
        <f t="shared" si="6"/>
        <v>0.9178908709338931</v>
      </c>
    </row>
    <row r="190" spans="1:7" x14ac:dyDescent="0.25">
      <c r="A190" s="49" t="str">
        <f>'Data Vlaue (Cr)'!C185</f>
        <v>SUZLON</v>
      </c>
      <c r="B190" s="50">
        <f>VLOOKUP($A190,'Data shares'!$C:$FM,102)</f>
        <v>42.49</v>
      </c>
      <c r="C190" s="50">
        <f>VLOOKUP($A190,'Data shares'!$C:$FM,110)</f>
        <v>41.74</v>
      </c>
      <c r="D190" s="50">
        <f>VLOOKUP($A190,'Data shares'!$C:$FM,114)</f>
        <v>45.68</v>
      </c>
      <c r="E190" s="50">
        <f>VLOOKUP($A190,'Data shares'!$C:$FM,106)</f>
        <v>45.49</v>
      </c>
      <c r="F190" s="50">
        <f>VLOOKUP($A190,'Data shares'!$C:$FM,108)</f>
        <v>-3</v>
      </c>
      <c r="G190" s="50">
        <f t="shared" si="6"/>
        <v>0.93405143987689598</v>
      </c>
    </row>
    <row r="191" spans="1:7" x14ac:dyDescent="0.25">
      <c r="A191" s="49" t="str">
        <f>'Data Vlaue (Cr)'!C186</f>
        <v>SWIGGY</v>
      </c>
      <c r="B191" s="50">
        <f>VLOOKUP($A191,'Data shares'!$C:$FM,102)</f>
        <v>53.84</v>
      </c>
      <c r="C191" s="50">
        <f>VLOOKUP($A191,'Data shares'!$C:$FM,110)</f>
        <v>49.83</v>
      </c>
      <c r="D191" s="50">
        <f>VLOOKUP($A191,'Data shares'!$C:$FM,114)</f>
        <v>56</v>
      </c>
      <c r="E191" s="50">
        <f>VLOOKUP($A191,'Data shares'!$C:$FM,106)</f>
        <v>45.04</v>
      </c>
      <c r="F191" s="50">
        <f>VLOOKUP($A191,'Data shares'!$C:$FM,108)</f>
        <v>8.8000000000000007</v>
      </c>
      <c r="G191" s="50">
        <f t="shared" si="6"/>
        <v>1.1953818827708704</v>
      </c>
    </row>
    <row r="192" spans="1:7" x14ac:dyDescent="0.25">
      <c r="A192" s="49" t="str">
        <f>'Data Vlaue (Cr)'!C187</f>
        <v>SYNGENE</v>
      </c>
      <c r="B192" s="50">
        <f>VLOOKUP($A192,'Data shares'!$C:$FM,102)</f>
        <v>38.26</v>
      </c>
      <c r="C192" s="50">
        <f>VLOOKUP($A192,'Data shares'!$C:$FM,110)</f>
        <v>37.61</v>
      </c>
      <c r="D192" s="50">
        <f>VLOOKUP($A192,'Data shares'!$C:$FM,114)</f>
        <v>39.200000000000003</v>
      </c>
      <c r="E192" s="50">
        <f>VLOOKUP($A192,'Data shares'!$C:$FM,106)</f>
        <v>35.92</v>
      </c>
      <c r="F192" s="50">
        <f>VLOOKUP($A192,'Data shares'!$C:$FM,108)</f>
        <v>2.34</v>
      </c>
      <c r="G192" s="50">
        <f t="shared" si="6"/>
        <v>1.0651447661469933</v>
      </c>
    </row>
    <row r="193" spans="1:7" x14ac:dyDescent="0.25">
      <c r="A193" s="49" t="str">
        <f>'Data Vlaue (Cr)'!C188</f>
        <v>TATACONSUM</v>
      </c>
      <c r="B193" s="50">
        <f>VLOOKUP($A193,'Data shares'!$C:$FM,102)</f>
        <v>26.53</v>
      </c>
      <c r="C193" s="50">
        <f>VLOOKUP($A193,'Data shares'!$C:$FM,110)</f>
        <v>26.15</v>
      </c>
      <c r="D193" s="50">
        <f>VLOOKUP($A193,'Data shares'!$C:$FM,114)</f>
        <v>26.96</v>
      </c>
      <c r="E193" s="50">
        <f>VLOOKUP($A193,'Data shares'!$C:$FM,106)</f>
        <v>27.08</v>
      </c>
      <c r="F193" s="50">
        <f>VLOOKUP($A193,'Data shares'!$C:$FM,108)</f>
        <v>-0.55000000000000004</v>
      </c>
      <c r="G193" s="50">
        <f t="shared" si="6"/>
        <v>0.9796898079763664</v>
      </c>
    </row>
    <row r="194" spans="1:7" x14ac:dyDescent="0.25">
      <c r="A194" s="49" t="str">
        <f>'Data Vlaue (Cr)'!C189</f>
        <v>TATAELXSI</v>
      </c>
      <c r="B194" s="50">
        <f>VLOOKUP($A194,'Data shares'!$C:$FM,102)</f>
        <v>40.57</v>
      </c>
      <c r="C194" s="50">
        <f>VLOOKUP($A194,'Data shares'!$C:$FM,110)</f>
        <v>40.869999999999997</v>
      </c>
      <c r="D194" s="50">
        <f>VLOOKUP($A194,'Data shares'!$C:$FM,114)</f>
        <v>39.6</v>
      </c>
      <c r="E194" s="50">
        <f>VLOOKUP($A194,'Data shares'!$C:$FM,106)</f>
        <v>37.86</v>
      </c>
      <c r="F194" s="50">
        <f>VLOOKUP($A194,'Data shares'!$C:$FM,108)</f>
        <v>2.71</v>
      </c>
      <c r="G194" s="50">
        <f t="shared" si="6"/>
        <v>1.0715795034337032</v>
      </c>
    </row>
    <row r="195" spans="1:7" x14ac:dyDescent="0.25">
      <c r="A195" s="49" t="str">
        <f>'Data Vlaue (Cr)'!C190</f>
        <v>TATAPOWER</v>
      </c>
      <c r="B195" s="50">
        <f>VLOOKUP($A195,'Data shares'!$C:$FM,102)</f>
        <v>31.75</v>
      </c>
      <c r="C195" s="50">
        <f>VLOOKUP($A195,'Data shares'!$C:$FM,110)</f>
        <v>31.18</v>
      </c>
      <c r="D195" s="50">
        <f>VLOOKUP($A195,'Data shares'!$C:$FM,114)</f>
        <v>33.31</v>
      </c>
      <c r="E195" s="50">
        <f>VLOOKUP($A195,'Data shares'!$C:$FM,106)</f>
        <v>31.65</v>
      </c>
      <c r="F195" s="50">
        <f>VLOOKUP($A195,'Data shares'!$C:$FM,108)</f>
        <v>0.1</v>
      </c>
      <c r="G195" s="50">
        <f t="shared" si="6"/>
        <v>1.0031595576619274</v>
      </c>
    </row>
    <row r="196" spans="1:7" x14ac:dyDescent="0.25">
      <c r="A196" s="49" t="str">
        <f>'Data Vlaue (Cr)'!C191</f>
        <v>TATASTEEL</v>
      </c>
      <c r="B196" s="50">
        <f>VLOOKUP($A196,'Data shares'!$C:$FM,102)</f>
        <v>37.380000000000003</v>
      </c>
      <c r="C196" s="50">
        <f>VLOOKUP($A196,'Data shares'!$C:$FM,110)</f>
        <v>36.96</v>
      </c>
      <c r="D196" s="50">
        <f>VLOOKUP($A196,'Data shares'!$C:$FM,114)</f>
        <v>38.14</v>
      </c>
      <c r="E196" s="50">
        <f>VLOOKUP($A196,'Data shares'!$C:$FM,106)</f>
        <v>34.9</v>
      </c>
      <c r="F196" s="50">
        <f>VLOOKUP($A196,'Data shares'!$C:$FM,108)</f>
        <v>2.48</v>
      </c>
      <c r="G196" s="50">
        <f t="shared" si="6"/>
        <v>1.071060171919771</v>
      </c>
    </row>
    <row r="197" spans="1:7" x14ac:dyDescent="0.25">
      <c r="A197" s="49" t="str">
        <f>'Data Vlaue (Cr)'!C192</f>
        <v>TATATECH</v>
      </c>
      <c r="B197" s="50">
        <f>VLOOKUP($A197,'Data shares'!$C:$FM,102)</f>
        <v>34.82</v>
      </c>
      <c r="C197" s="50">
        <f>VLOOKUP($A197,'Data shares'!$C:$FM,110)</f>
        <v>35.1</v>
      </c>
      <c r="D197" s="50">
        <f>VLOOKUP($A197,'Data shares'!$C:$FM,114)</f>
        <v>33.950000000000003</v>
      </c>
      <c r="E197" s="50">
        <f>VLOOKUP($A197,'Data shares'!$C:$FM,106)</f>
        <v>30.65</v>
      </c>
      <c r="F197" s="50">
        <f>VLOOKUP($A197,'Data shares'!$C:$FM,108)</f>
        <v>4.17</v>
      </c>
      <c r="G197" s="50">
        <f t="shared" si="6"/>
        <v>1.13605220228385</v>
      </c>
    </row>
    <row r="198" spans="1:7" x14ac:dyDescent="0.25">
      <c r="A198" s="49" t="str">
        <f>'Data Vlaue (Cr)'!C193</f>
        <v>TCS</v>
      </c>
      <c r="B198" s="50">
        <f>VLOOKUP($A198,'Data shares'!$C:$FM,102)</f>
        <v>31.05</v>
      </c>
      <c r="C198" s="50">
        <f>VLOOKUP($A198,'Data shares'!$C:$FM,110)</f>
        <v>30.77</v>
      </c>
      <c r="D198" s="50">
        <f>VLOOKUP($A198,'Data shares'!$C:$FM,114)</f>
        <v>31.56</v>
      </c>
      <c r="E198" s="50">
        <f>VLOOKUP($A198,'Data shares'!$C:$FM,106)</f>
        <v>26.65</v>
      </c>
      <c r="F198" s="50">
        <f>VLOOKUP($A198,'Data shares'!$C:$FM,108)</f>
        <v>4.4000000000000004</v>
      </c>
      <c r="G198" s="50">
        <f t="shared" si="6"/>
        <v>1.1651031894934334</v>
      </c>
    </row>
    <row r="199" spans="1:7" x14ac:dyDescent="0.25">
      <c r="A199" s="49" t="str">
        <f>'Data Vlaue (Cr)'!C194</f>
        <v>TECHM</v>
      </c>
      <c r="B199" s="50">
        <f>VLOOKUP($A199,'Data shares'!$C:$FM,102)</f>
        <v>32.49</v>
      </c>
      <c r="C199" s="50">
        <f>VLOOKUP($A199,'Data shares'!$C:$FM,110)</f>
        <v>31.86</v>
      </c>
      <c r="D199" s="50">
        <f>VLOOKUP($A199,'Data shares'!$C:$FM,114)</f>
        <v>34.29</v>
      </c>
      <c r="E199" s="50">
        <f>VLOOKUP($A199,'Data shares'!$C:$FM,106)</f>
        <v>30.67</v>
      </c>
      <c r="F199" s="50">
        <f>VLOOKUP($A199,'Data shares'!$C:$FM,108)</f>
        <v>1.82</v>
      </c>
      <c r="G199" s="50">
        <f t="shared" si="6"/>
        <v>1.0593413759373982</v>
      </c>
    </row>
    <row r="200" spans="1:7" x14ac:dyDescent="0.25">
      <c r="A200" s="49" t="str">
        <f>'Data Vlaue (Cr)'!C195</f>
        <v>TIINDIA</v>
      </c>
      <c r="B200" s="50">
        <f>VLOOKUP($A200,'Data shares'!$C:$FM,102)</f>
        <v>42.26</v>
      </c>
      <c r="C200" s="50">
        <f>VLOOKUP($A200,'Data shares'!$C:$FM,110)</f>
        <v>40.72</v>
      </c>
      <c r="D200" s="50">
        <f>VLOOKUP($A200,'Data shares'!$C:$FM,114)</f>
        <v>43.4</v>
      </c>
      <c r="E200" s="50">
        <f>VLOOKUP($A200,'Data shares'!$C:$FM,106)</f>
        <v>43.64</v>
      </c>
      <c r="F200" s="50">
        <f>VLOOKUP($A200,'Data shares'!$C:$FM,108)</f>
        <v>-1.38</v>
      </c>
      <c r="G200" s="50">
        <f t="shared" si="6"/>
        <v>0.96837763519706688</v>
      </c>
    </row>
    <row r="201" spans="1:7" x14ac:dyDescent="0.25">
      <c r="A201" s="49" t="str">
        <f>'Data Vlaue (Cr)'!C196</f>
        <v>TITAN</v>
      </c>
      <c r="B201" s="50">
        <f>VLOOKUP($A201,'Data shares'!$C:$FM,102)</f>
        <v>25.76</v>
      </c>
      <c r="C201" s="50">
        <f>VLOOKUP($A201,'Data shares'!$C:$FM,110)</f>
        <v>25.07</v>
      </c>
      <c r="D201" s="50">
        <f>VLOOKUP($A201,'Data shares'!$C:$FM,114)</f>
        <v>26.86</v>
      </c>
      <c r="E201" s="50">
        <f>VLOOKUP($A201,'Data shares'!$C:$FM,106)</f>
        <v>24.5</v>
      </c>
      <c r="F201" s="50">
        <f>VLOOKUP($A201,'Data shares'!$C:$FM,108)</f>
        <v>1.26</v>
      </c>
      <c r="G201" s="50">
        <f t="shared" si="6"/>
        <v>1.0514285714285716</v>
      </c>
    </row>
    <row r="202" spans="1:7" x14ac:dyDescent="0.25">
      <c r="A202" s="49" t="str">
        <f>'Data Vlaue (Cr)'!C197</f>
        <v>TMPV</v>
      </c>
      <c r="B202" s="50">
        <f>VLOOKUP($A202,'Data shares'!$C:$FM,102)</f>
        <v>41.17</v>
      </c>
      <c r="C202" s="50">
        <f>VLOOKUP($A202,'Data shares'!$C:$FM,110)</f>
        <v>40.61</v>
      </c>
      <c r="D202" s="50">
        <f>VLOOKUP($A202,'Data shares'!$C:$FM,114)</f>
        <v>41.96</v>
      </c>
      <c r="E202" s="50">
        <f>VLOOKUP($A202,'Data shares'!$C:$FM,106)</f>
        <v>35.49</v>
      </c>
      <c r="F202" s="50">
        <f>VLOOKUP($A202,'Data shares'!$C:$FM,108)</f>
        <v>5.68</v>
      </c>
      <c r="G202" s="50">
        <f t="shared" si="6"/>
        <v>1.1600450831220062</v>
      </c>
    </row>
    <row r="203" spans="1:7" x14ac:dyDescent="0.25">
      <c r="A203" s="49" t="str">
        <f>'Data Vlaue (Cr)'!C198</f>
        <v>TORNTPHARM</v>
      </c>
      <c r="B203" s="50">
        <f>VLOOKUP($A203,'Data shares'!$C:$FM,102)</f>
        <v>23.9</v>
      </c>
      <c r="C203" s="50">
        <f>VLOOKUP($A203,'Data shares'!$C:$FM,110)</f>
        <v>23.24</v>
      </c>
      <c r="D203" s="50">
        <f>VLOOKUP($A203,'Data shares'!$C:$FM,114)</f>
        <v>25.68</v>
      </c>
      <c r="E203" s="50">
        <f>VLOOKUP($A203,'Data shares'!$C:$FM,106)</f>
        <v>25.21</v>
      </c>
      <c r="F203" s="50">
        <f>VLOOKUP($A203,'Data shares'!$C:$FM,108)</f>
        <v>-1.31</v>
      </c>
      <c r="G203" s="50">
        <f t="shared" si="6"/>
        <v>0.94803649345497809</v>
      </c>
    </row>
    <row r="204" spans="1:7" x14ac:dyDescent="0.25">
      <c r="A204" s="49" t="str">
        <f>'Data Vlaue (Cr)'!C199</f>
        <v>TORNTPOWER</v>
      </c>
      <c r="B204" s="50">
        <f>VLOOKUP($A204,'Data shares'!$C:$FM,102)</f>
        <v>40.590000000000003</v>
      </c>
      <c r="C204" s="50">
        <f>VLOOKUP($A204,'Data shares'!$C:$FM,110)</f>
        <v>40.35</v>
      </c>
      <c r="D204" s="50">
        <f>VLOOKUP($A204,'Data shares'!$C:$FM,114)</f>
        <v>41.66</v>
      </c>
      <c r="E204" s="50">
        <f>VLOOKUP($A204,'Data shares'!$C:$FM,106)</f>
        <v>41.39</v>
      </c>
      <c r="F204" s="50">
        <f>VLOOKUP($A204,'Data shares'!$C:$FM,108)</f>
        <v>-0.8</v>
      </c>
      <c r="G204" s="50">
        <f t="shared" si="6"/>
        <v>0.98067165982121296</v>
      </c>
    </row>
    <row r="205" spans="1:7" x14ac:dyDescent="0.25">
      <c r="A205" s="49" t="str">
        <f>'Data Vlaue (Cr)'!C200</f>
        <v>TRENT</v>
      </c>
      <c r="B205" s="50">
        <f>VLOOKUP($A205,'Data shares'!$C:$FM,102)</f>
        <v>36.69</v>
      </c>
      <c r="C205" s="50">
        <f>VLOOKUP($A205,'Data shares'!$C:$FM,110)</f>
        <v>36.619999999999997</v>
      </c>
      <c r="D205" s="50">
        <f>VLOOKUP($A205,'Data shares'!$C:$FM,114)</f>
        <v>36.799999999999997</v>
      </c>
      <c r="E205" s="50">
        <f>VLOOKUP($A205,'Data shares'!$C:$FM,106)</f>
        <v>41.71</v>
      </c>
      <c r="F205" s="50">
        <f>VLOOKUP($A205,'Data shares'!$C:$FM,108)</f>
        <v>-5.0199999999999996</v>
      </c>
      <c r="G205" s="50">
        <f t="shared" ref="G205:G214" si="7">B205/E205</f>
        <v>0.87964516902421475</v>
      </c>
    </row>
    <row r="206" spans="1:7" x14ac:dyDescent="0.25">
      <c r="A206" s="49" t="str">
        <f>'Data Vlaue (Cr)'!C201</f>
        <v>TVSMOTOR</v>
      </c>
      <c r="B206" s="50">
        <f>VLOOKUP($A206,'Data shares'!$C:$FM,102)</f>
        <v>39.07</v>
      </c>
      <c r="C206" s="50">
        <f>VLOOKUP($A206,'Data shares'!$C:$FM,110)</f>
        <v>38.99</v>
      </c>
      <c r="D206" s="50">
        <f>VLOOKUP($A206,'Data shares'!$C:$FM,114)</f>
        <v>39.14</v>
      </c>
      <c r="E206" s="50">
        <f>VLOOKUP($A206,'Data shares'!$C:$FM,106)</f>
        <v>31.62</v>
      </c>
      <c r="F206" s="50">
        <f>VLOOKUP($A206,'Data shares'!$C:$FM,108)</f>
        <v>7.45</v>
      </c>
      <c r="G206" s="50">
        <f t="shared" si="7"/>
        <v>1.2356103731815307</v>
      </c>
    </row>
    <row r="207" spans="1:7" x14ac:dyDescent="0.25">
      <c r="A207" s="49" t="str">
        <f>'Data Vlaue (Cr)'!C202</f>
        <v>ULTRACEMCO</v>
      </c>
      <c r="B207" s="50">
        <f>VLOOKUP($A207,'Data shares'!$C:$FM,102)</f>
        <v>33.44</v>
      </c>
      <c r="C207" s="50">
        <f>VLOOKUP($A207,'Data shares'!$C:$FM,110)</f>
        <v>33.049999999999997</v>
      </c>
      <c r="D207" s="50">
        <f>VLOOKUP($A207,'Data shares'!$C:$FM,114)</f>
        <v>34.35</v>
      </c>
      <c r="E207" s="50">
        <f>VLOOKUP($A207,'Data shares'!$C:$FM,106)</f>
        <v>25.84</v>
      </c>
      <c r="F207" s="50">
        <f>VLOOKUP($A207,'Data shares'!$C:$FM,108)</f>
        <v>7.6</v>
      </c>
      <c r="G207" s="50">
        <f t="shared" si="7"/>
        <v>1.2941176470588234</v>
      </c>
    </row>
    <row r="208" spans="1:7" x14ac:dyDescent="0.25">
      <c r="A208" s="49" t="str">
        <f>'Data Vlaue (Cr)'!C203</f>
        <v>UNIONBANK</v>
      </c>
      <c r="B208" s="50">
        <f>VLOOKUP($A208,'Data shares'!$C:$FM,102)</f>
        <v>40.15</v>
      </c>
      <c r="C208" s="50">
        <f>VLOOKUP($A208,'Data shares'!$C:$FM,110)</f>
        <v>39.29</v>
      </c>
      <c r="D208" s="50">
        <f>VLOOKUP($A208,'Data shares'!$C:$FM,114)</f>
        <v>42.25</v>
      </c>
      <c r="E208" s="50">
        <f>VLOOKUP($A208,'Data shares'!$C:$FM,106)</f>
        <v>41.34</v>
      </c>
      <c r="F208" s="50">
        <f>VLOOKUP($A208,'Data shares'!$C:$FM,108)</f>
        <v>-1.19</v>
      </c>
      <c r="G208" s="50">
        <f t="shared" si="7"/>
        <v>0.97121432027092391</v>
      </c>
    </row>
    <row r="209" spans="1:7" x14ac:dyDescent="0.25">
      <c r="A209" s="49" t="str">
        <f>'Data Vlaue (Cr)'!C204</f>
        <v>UNITDSPR</v>
      </c>
      <c r="B209" s="50">
        <f>VLOOKUP($A209,'Data shares'!$C:$FM,102)</f>
        <v>29.19</v>
      </c>
      <c r="C209" s="50">
        <f>VLOOKUP($A209,'Data shares'!$C:$FM,110)</f>
        <v>28.77</v>
      </c>
      <c r="D209" s="50">
        <f>VLOOKUP($A209,'Data shares'!$C:$FM,114)</f>
        <v>29.88</v>
      </c>
      <c r="E209" s="50">
        <f>VLOOKUP($A209,'Data shares'!$C:$FM,106)</f>
        <v>28.06</v>
      </c>
      <c r="F209" s="50">
        <f>VLOOKUP($A209,'Data shares'!$C:$FM,108)</f>
        <v>1.1299999999999999</v>
      </c>
      <c r="G209" s="50">
        <f t="shared" si="7"/>
        <v>1.0402708481824663</v>
      </c>
    </row>
    <row r="210" spans="1:7" x14ac:dyDescent="0.25">
      <c r="A210" s="49" t="str">
        <f>'Data Vlaue (Cr)'!C205</f>
        <v>UNOMINDA</v>
      </c>
      <c r="B210" s="50">
        <f>VLOOKUP($A210,'Data shares'!$C:$FM,102)</f>
        <v>39.090000000000003</v>
      </c>
      <c r="C210" s="50">
        <f>VLOOKUP($A210,'Data shares'!$C:$FM,110)</f>
        <v>37.18</v>
      </c>
      <c r="D210" s="50">
        <f>VLOOKUP($A210,'Data shares'!$C:$FM,114)</f>
        <v>41.67</v>
      </c>
      <c r="E210" s="50">
        <f>VLOOKUP($A210,'Data shares'!$C:$FM,106)</f>
        <v>41.29</v>
      </c>
      <c r="F210" s="50">
        <f>VLOOKUP($A210,'Data shares'!$C:$FM,108)</f>
        <v>-2.2000000000000002</v>
      </c>
      <c r="G210" s="50">
        <f t="shared" si="7"/>
        <v>0.94671833373698244</v>
      </c>
    </row>
    <row r="211" spans="1:7" x14ac:dyDescent="0.25">
      <c r="A211" s="49" t="str">
        <f>'Data Vlaue (Cr)'!C206</f>
        <v>UPL</v>
      </c>
      <c r="B211" s="50">
        <f>VLOOKUP($A211,'Data shares'!$C:$FM,102)</f>
        <v>34.56</v>
      </c>
      <c r="C211" s="50">
        <f>VLOOKUP($A211,'Data shares'!$C:$FM,110)</f>
        <v>33.880000000000003</v>
      </c>
      <c r="D211" s="50">
        <f>VLOOKUP($A211,'Data shares'!$C:$FM,114)</f>
        <v>35.82</v>
      </c>
      <c r="E211" s="50">
        <f>VLOOKUP($A211,'Data shares'!$C:$FM,106)</f>
        <v>40.450000000000003</v>
      </c>
      <c r="F211" s="50">
        <f>VLOOKUP($A211,'Data shares'!$C:$FM,108)</f>
        <v>-5.89</v>
      </c>
      <c r="G211" s="50">
        <f t="shared" si="7"/>
        <v>0.85438813349814591</v>
      </c>
    </row>
    <row r="212" spans="1:7" x14ac:dyDescent="0.25">
      <c r="A212" s="49" t="str">
        <f>'Data Vlaue (Cr)'!C207</f>
        <v>VBL</v>
      </c>
      <c r="B212" s="50">
        <f>VLOOKUP($A212,'Data shares'!$C:$FM,102)</f>
        <v>38.159999999999997</v>
      </c>
      <c r="C212" s="50">
        <f>VLOOKUP($A212,'Data shares'!$C:$FM,110)</f>
        <v>38.39</v>
      </c>
      <c r="D212" s="50">
        <f>VLOOKUP($A212,'Data shares'!$C:$FM,114)</f>
        <v>37.840000000000003</v>
      </c>
      <c r="E212" s="50">
        <f>VLOOKUP($A212,'Data shares'!$C:$FM,106)</f>
        <v>36.67</v>
      </c>
      <c r="F212" s="50">
        <f>VLOOKUP($A212,'Data shares'!$C:$FM,108)</f>
        <v>1.49</v>
      </c>
      <c r="G212" s="50">
        <f t="shared" si="7"/>
        <v>1.0406326697572947</v>
      </c>
    </row>
    <row r="213" spans="1:7" x14ac:dyDescent="0.25">
      <c r="A213" s="49" t="str">
        <f>'Data Vlaue (Cr)'!C208</f>
        <v>VEDL</v>
      </c>
      <c r="B213" s="50">
        <f>VLOOKUP($A213,'Data shares'!$C:$FM,102)</f>
        <v>41.37</v>
      </c>
      <c r="C213" s="50">
        <f>VLOOKUP($A213,'Data shares'!$C:$FM,110)</f>
        <v>41.14</v>
      </c>
      <c r="D213" s="50">
        <f>VLOOKUP($A213,'Data shares'!$C:$FM,114)</f>
        <v>41.82</v>
      </c>
      <c r="E213" s="50">
        <f>VLOOKUP($A213,'Data shares'!$C:$FM,106)</f>
        <v>40.53</v>
      </c>
      <c r="F213" s="50">
        <f>VLOOKUP($A213,'Data shares'!$C:$FM,108)</f>
        <v>0.84</v>
      </c>
      <c r="G213" s="50">
        <f t="shared" si="7"/>
        <v>1.0207253886010361</v>
      </c>
    </row>
    <row r="214" spans="1:7" x14ac:dyDescent="0.25">
      <c r="A214" s="49" t="str">
        <f>'Data Vlaue (Cr)'!C209</f>
        <v>VOLTAS</v>
      </c>
      <c r="B214" s="50">
        <f>VLOOKUP($A214,'Data shares'!$C:$FM,102)</f>
        <v>42.88</v>
      </c>
      <c r="C214" s="50">
        <f>VLOOKUP($A214,'Data shares'!$C:$FM,110)</f>
        <v>42.24</v>
      </c>
      <c r="D214" s="50">
        <f>VLOOKUP($A214,'Data shares'!$C:$FM,114)</f>
        <v>44.73</v>
      </c>
      <c r="E214" s="50">
        <f>VLOOKUP($A214,'Data shares'!$C:$FM,106)</f>
        <v>37.409999999999997</v>
      </c>
      <c r="F214" s="50">
        <f>VLOOKUP($A214,'Data shares'!$C:$FM,108)</f>
        <v>5.47</v>
      </c>
      <c r="G214" s="50">
        <f t="shared" si="7"/>
        <v>1.1462175888799788</v>
      </c>
    </row>
    <row r="215" spans="1:7" x14ac:dyDescent="0.25">
      <c r="A215" s="49" t="str">
        <f>'Data Vlaue (Cr)'!C210</f>
        <v>WAAREEENER</v>
      </c>
      <c r="B215" s="50">
        <f>VLOOKUP($A215,'Data shares'!$C:$FM,102)</f>
        <v>47.91</v>
      </c>
      <c r="C215" s="50">
        <f>VLOOKUP($A215,'Data shares'!$C:$FM,110)</f>
        <v>46.93</v>
      </c>
      <c r="D215" s="50">
        <f>VLOOKUP($A215,'Data shares'!$C:$FM,114)</f>
        <v>50.12</v>
      </c>
      <c r="E215" s="50">
        <f>VLOOKUP($A215,'Data shares'!$C:$FM,106)</f>
        <v>52.9</v>
      </c>
      <c r="F215" s="50">
        <f>VLOOKUP($A215,'Data shares'!$C:$FM,108)</f>
        <v>-4.99</v>
      </c>
      <c r="G215" s="50">
        <f t="shared" ref="G215:G217" si="8">B215/E215</f>
        <v>0.90567107750472586</v>
      </c>
    </row>
    <row r="216" spans="1:7" x14ac:dyDescent="0.25">
      <c r="A216" s="49" t="str">
        <f>'Data Vlaue (Cr)'!C211</f>
        <v>WIPRO</v>
      </c>
      <c r="B216" s="50">
        <f>VLOOKUP($A216,'Data shares'!$C:$FM,102)</f>
        <v>33.19</v>
      </c>
      <c r="C216" s="50">
        <f>VLOOKUP($A216,'Data shares'!$C:$FM,110)</f>
        <v>32.049999999999997</v>
      </c>
      <c r="D216" s="50">
        <f>VLOOKUP($A216,'Data shares'!$C:$FM,114)</f>
        <v>35.75</v>
      </c>
      <c r="E216" s="50">
        <f>VLOOKUP($A216,'Data shares'!$C:$FM,106)</f>
        <v>30.9</v>
      </c>
      <c r="F216" s="50">
        <f>VLOOKUP($A216,'Data shares'!$C:$FM,108)</f>
        <v>2.29</v>
      </c>
      <c r="G216" s="50">
        <f t="shared" si="8"/>
        <v>1.0741100323624595</v>
      </c>
    </row>
    <row r="217" spans="1:7" x14ac:dyDescent="0.25">
      <c r="A217" s="49" t="str">
        <f>'Data Vlaue (Cr)'!C213</f>
        <v>ZYDUSLIFE</v>
      </c>
      <c r="B217" s="50">
        <f>VLOOKUP($A217,'Data shares'!$C:$FM,102)</f>
        <v>26.12</v>
      </c>
      <c r="C217" s="50">
        <f>VLOOKUP($A217,'Data shares'!$C:$FM,110)</f>
        <v>25.7</v>
      </c>
      <c r="D217" s="50">
        <f>VLOOKUP($A217,'Data shares'!$C:$FM,114)</f>
        <v>27.3</v>
      </c>
      <c r="E217" s="50">
        <f>VLOOKUP($A217,'Data shares'!$C:$FM,106)</f>
        <v>27.74</v>
      </c>
      <c r="F217" s="50">
        <f>VLOOKUP($A217,'Data shares'!$C:$FM,108)</f>
        <v>-1.62</v>
      </c>
      <c r="G217" s="50">
        <f t="shared" si="8"/>
        <v>0.94160057678442688</v>
      </c>
    </row>
    <row r="218" spans="1:7" x14ac:dyDescent="0.25">
      <c r="A218" s="49"/>
      <c r="B218" s="50"/>
      <c r="C218" s="50"/>
      <c r="D218" s="50"/>
      <c r="E218" s="50"/>
      <c r="F218" s="50"/>
      <c r="G218" s="50"/>
    </row>
    <row r="219" spans="1:7" x14ac:dyDescent="0.25">
      <c r="A219" s="49"/>
      <c r="B219" s="50"/>
      <c r="C219" s="50"/>
      <c r="D219" s="50"/>
      <c r="E219" s="50"/>
      <c r="F219" s="50"/>
      <c r="G219" s="50"/>
    </row>
    <row r="220" spans="1:7" x14ac:dyDescent="0.25">
      <c r="A220" s="49"/>
      <c r="B220" s="50"/>
      <c r="C220" s="50"/>
      <c r="D220" s="50"/>
      <c r="E220" s="50"/>
      <c r="F220" s="50"/>
      <c r="G220"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L20" sqref="L20"/>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20" t="s">
        <v>416</v>
      </c>
      <c r="B3" s="321"/>
      <c r="C3" s="321"/>
      <c r="D3" s="321"/>
      <c r="E3" s="321"/>
      <c r="F3" s="321"/>
    </row>
    <row r="4" spans="1:6" s="107" customFormat="1" ht="16.5" customHeight="1" x14ac:dyDescent="0.25">
      <c r="A4" s="174" t="s">
        <v>366</v>
      </c>
      <c r="B4" s="76" t="s">
        <v>417</v>
      </c>
      <c r="C4" s="76" t="s">
        <v>412</v>
      </c>
      <c r="D4" s="162" t="s">
        <v>418</v>
      </c>
      <c r="E4" s="162" t="s">
        <v>419</v>
      </c>
      <c r="F4" s="162" t="s">
        <v>419</v>
      </c>
    </row>
    <row r="5" spans="1:6" x14ac:dyDescent="0.25">
      <c r="A5" s="99" t="s">
        <v>681</v>
      </c>
      <c r="B5" s="49">
        <v>36943219</v>
      </c>
      <c r="C5" s="49">
        <v>4588500</v>
      </c>
      <c r="D5" s="49">
        <v>2955432.5806450001</v>
      </c>
      <c r="E5" s="50">
        <f>VLOOKUP($A5,'Data shares'!$C:$FA,154)*100</f>
        <v>12.78</v>
      </c>
      <c r="F5" s="173">
        <f>C5/B5</f>
        <v>0.12420411984131648</v>
      </c>
    </row>
    <row r="6" spans="1:6" x14ac:dyDescent="0.25">
      <c r="A6" s="99" t="s">
        <v>553</v>
      </c>
      <c r="B6" s="49">
        <v>7946564</v>
      </c>
      <c r="C6" s="49">
        <v>4155500</v>
      </c>
      <c r="D6" s="49">
        <v>2119183.44924</v>
      </c>
      <c r="E6" s="50">
        <f>VLOOKUP($A6,'Data shares'!$C:$FA,154)*100</f>
        <v>53.680000000000007</v>
      </c>
      <c r="F6" s="173">
        <f>C6/B6</f>
        <v>0.52293041369829774</v>
      </c>
    </row>
    <row r="7" spans="1:6" x14ac:dyDescent="0.25">
      <c r="A7" s="99" t="s">
        <v>544</v>
      </c>
      <c r="B7" s="49">
        <v>122657000</v>
      </c>
      <c r="C7" s="49">
        <v>71727800</v>
      </c>
      <c r="D7" s="49">
        <v>46370944.416274004</v>
      </c>
      <c r="E7" s="50">
        <f>VLOOKUP($A7,'Data shares'!$C:$FA,154)*100</f>
        <v>59.230000000000004</v>
      </c>
      <c r="F7" s="173">
        <f>C7/B7</f>
        <v>0.58478358348891624</v>
      </c>
    </row>
    <row r="8" spans="1:6" x14ac:dyDescent="0.25">
      <c r="A8" s="99" t="s">
        <v>579</v>
      </c>
      <c r="B8" s="49">
        <v>43791427</v>
      </c>
      <c r="C8" s="49">
        <v>26503200</v>
      </c>
      <c r="D8" s="49">
        <v>19039770.957428999</v>
      </c>
      <c r="E8" s="50">
        <f>VLOOKUP($A8,'Data shares'!$C:$FA,154)*100</f>
        <v>60.96</v>
      </c>
      <c r="F8" s="173">
        <f>C8/B8</f>
        <v>0.60521434937482166</v>
      </c>
    </row>
    <row r="9" spans="1:6" x14ac:dyDescent="0.25">
      <c r="A9" s="99" t="s">
        <v>159</v>
      </c>
      <c r="B9" s="49">
        <v>49117354</v>
      </c>
      <c r="C9" s="49">
        <v>28700229</v>
      </c>
      <c r="D9" s="49">
        <v>14610945.375217</v>
      </c>
      <c r="E9" s="50">
        <f>VLOOKUP($A9,'Data shares'!$C:$FA,154)*100</f>
        <v>63.79</v>
      </c>
      <c r="F9" s="173">
        <f>C9/B9</f>
        <v>0.58431952584416502</v>
      </c>
    </row>
    <row r="10" spans="1:6" x14ac:dyDescent="0.25">
      <c r="A10" s="99" t="s">
        <v>606</v>
      </c>
      <c r="B10" s="49">
        <v>92816927</v>
      </c>
      <c r="C10" s="49">
        <v>37887600</v>
      </c>
      <c r="D10" s="49">
        <v>20725339.833629999</v>
      </c>
      <c r="E10" s="50">
        <f>VLOOKUP($A10,'Data shares'!$C:$FA,154)*100</f>
        <v>41.620000000000005</v>
      </c>
      <c r="F10" s="173">
        <f>C10/B10</f>
        <v>0.40819709534231835</v>
      </c>
    </row>
    <row r="11" spans="1:6" x14ac:dyDescent="0.25">
      <c r="A11" s="99" t="s">
        <v>160</v>
      </c>
      <c r="B11" s="49">
        <v>84394936</v>
      </c>
      <c r="C11" s="49">
        <v>37129325</v>
      </c>
      <c r="D11" s="49">
        <v>21564716.593245</v>
      </c>
      <c r="E11" s="50">
        <f>VLOOKUP($A11,'Data shares'!$C:$FA,154)*100</f>
        <v>44.84</v>
      </c>
      <c r="F11" s="173">
        <f>C11/B11</f>
        <v>0.43994730916082453</v>
      </c>
    </row>
    <row r="12" spans="1:6" x14ac:dyDescent="0.25">
      <c r="A12" s="99" t="s">
        <v>497</v>
      </c>
      <c r="B12" s="49">
        <v>7334235</v>
      </c>
      <c r="C12" s="49">
        <v>1656500</v>
      </c>
      <c r="D12" s="49">
        <v>1244829.2858925001</v>
      </c>
      <c r="E12" s="50">
        <f>VLOOKUP($A12,'Data shares'!$C:$FA,154)*100</f>
        <v>22.689999999999998</v>
      </c>
      <c r="F12" s="173">
        <f>C12/B12</f>
        <v>0.22585859329568797</v>
      </c>
    </row>
    <row r="13" spans="1:6" x14ac:dyDescent="0.25">
      <c r="A13" s="99" t="s">
        <v>680</v>
      </c>
      <c r="B13" s="49">
        <v>3257355</v>
      </c>
      <c r="C13" s="49">
        <v>2938100</v>
      </c>
      <c r="D13" s="49">
        <v>1103371.4353990001</v>
      </c>
      <c r="E13" s="50"/>
      <c r="F13" s="173">
        <f>C13/B13</f>
        <v>0.9019894976138616</v>
      </c>
    </row>
    <row r="14" spans="1:6" x14ac:dyDescent="0.25">
      <c r="A14" s="99" t="s">
        <v>164</v>
      </c>
      <c r="B14" s="49">
        <v>79841849</v>
      </c>
      <c r="C14" s="49">
        <v>82561500</v>
      </c>
      <c r="D14" s="49">
        <v>51768152.122952998</v>
      </c>
      <c r="E14" s="50"/>
      <c r="F14" s="173">
        <f>C14/B14</f>
        <v>1.0340629761718068</v>
      </c>
    </row>
    <row r="15" spans="1:6" x14ac:dyDescent="0.25">
      <c r="A15" s="99" t="s">
        <v>609</v>
      </c>
      <c r="B15" s="49">
        <v>96733080</v>
      </c>
      <c r="C15" s="49">
        <v>78705000</v>
      </c>
      <c r="D15" s="49">
        <v>33177224.249125</v>
      </c>
      <c r="E15" s="50">
        <f>VLOOKUP($A15,'Data shares'!$C:$FA,154)*100</f>
        <v>83.55</v>
      </c>
      <c r="F15" s="173">
        <f>C15/B15</f>
        <v>0.81363066285080554</v>
      </c>
    </row>
    <row r="16" spans="1:6" x14ac:dyDescent="0.25">
      <c r="A16" s="99" t="s">
        <v>598</v>
      </c>
      <c r="B16" s="49">
        <v>23068453</v>
      </c>
      <c r="C16" s="49">
        <v>7886200</v>
      </c>
      <c r="D16" s="49">
        <v>4955916.3949924996</v>
      </c>
      <c r="E16" s="50">
        <f>VLOOKUP($A16,'Data shares'!$C:$FA,154)*100</f>
        <v>34.510000000000005</v>
      </c>
      <c r="F16" s="173">
        <f>C16/B16</f>
        <v>0.34186080878505376</v>
      </c>
    </row>
    <row r="17" spans="1:6" x14ac:dyDescent="0.25">
      <c r="A17" s="99" t="s">
        <v>165</v>
      </c>
      <c r="B17" s="49">
        <v>15524629</v>
      </c>
      <c r="C17" s="49">
        <v>4250625</v>
      </c>
      <c r="D17" s="49">
        <v>2480711.65222375</v>
      </c>
      <c r="E17" s="50">
        <f>VLOOKUP($A17,'Data shares'!$C:$FA,154)*100</f>
        <v>27.67</v>
      </c>
      <c r="F17" s="173">
        <f>C17/B17</f>
        <v>0.27379881348533353</v>
      </c>
    </row>
    <row r="18" spans="1:6" x14ac:dyDescent="0.25">
      <c r="A18" s="99" t="s">
        <v>167</v>
      </c>
      <c r="B18" s="49">
        <v>423719104</v>
      </c>
      <c r="C18" s="49">
        <v>272685000</v>
      </c>
      <c r="D18" s="49">
        <v>132325820.85995001</v>
      </c>
      <c r="E18" s="50">
        <f>VLOOKUP($A18,'Data shares'!$C:$FA,154)*100</f>
        <v>66.34</v>
      </c>
      <c r="F18" s="173">
        <f>C18/B18</f>
        <v>0.64355134669594694</v>
      </c>
    </row>
    <row r="19" spans="1:6" x14ac:dyDescent="0.25">
      <c r="A19" s="99" t="s">
        <v>169</v>
      </c>
      <c r="B19" s="49">
        <v>49389162</v>
      </c>
      <c r="C19" s="49">
        <v>22985750</v>
      </c>
      <c r="D19" s="49">
        <v>13977379.9210975</v>
      </c>
      <c r="E19" s="50">
        <f>VLOOKUP($A19,'Data shares'!$C:$FA,154)*100</f>
        <v>47.27</v>
      </c>
      <c r="F19" s="173">
        <f>C19/B19</f>
        <v>0.46540068851542776</v>
      </c>
    </row>
    <row r="20" spans="1:6" x14ac:dyDescent="0.25">
      <c r="A20" s="99" t="s">
        <v>503</v>
      </c>
      <c r="B20" s="49">
        <v>18450534</v>
      </c>
      <c r="C20" s="49">
        <v>16026750</v>
      </c>
      <c r="D20" s="49">
        <v>9817065.7644609995</v>
      </c>
      <c r="E20" s="50">
        <f>VLOOKUP($A20,'Data shares'!$C:$FA,154)*100</f>
        <v>88.14</v>
      </c>
      <c r="F20" s="173">
        <f>C20/B20</f>
        <v>0.86863339565131281</v>
      </c>
    </row>
    <row r="21" spans="1:6" x14ac:dyDescent="0.25">
      <c r="A21" s="99" t="s">
        <v>495</v>
      </c>
      <c r="B21" s="49">
        <v>86371921</v>
      </c>
      <c r="C21" s="49">
        <v>40161000</v>
      </c>
      <c r="D21" s="49">
        <v>23922423.681120001</v>
      </c>
      <c r="E21" s="50">
        <f>VLOOKUP($A21,'Data shares'!$C:$FA,154)*100</f>
        <v>47.06</v>
      </c>
      <c r="F21" s="173">
        <f>C21/B21</f>
        <v>0.46497750119509323</v>
      </c>
    </row>
    <row r="22" spans="1:6" x14ac:dyDescent="0.25">
      <c r="A22" s="99" t="s">
        <v>171</v>
      </c>
      <c r="B22" s="49">
        <v>41977935</v>
      </c>
      <c r="C22" s="49">
        <v>32872400</v>
      </c>
      <c r="D22" s="49">
        <v>21215001.239916001</v>
      </c>
      <c r="E22" s="50">
        <f>VLOOKUP($A22,'Data shares'!$C:$FA,154)*100</f>
        <v>79.3</v>
      </c>
      <c r="F22" s="173">
        <f>C22/B22</f>
        <v>0.78308759113567639</v>
      </c>
    </row>
    <row r="23" spans="1:6" x14ac:dyDescent="0.25">
      <c r="A23" s="99" t="s">
        <v>173</v>
      </c>
      <c r="B23" s="49">
        <v>296371456</v>
      </c>
      <c r="C23" s="49">
        <v>100946250</v>
      </c>
      <c r="D23" s="49">
        <v>67129512.344468698</v>
      </c>
      <c r="E23" s="50">
        <f>VLOOKUP($A23,'Data shares'!$C:$FA,154)*100</f>
        <v>34.449999999999996</v>
      </c>
      <c r="F23" s="173">
        <f>C23/B23</f>
        <v>0.3406071939667496</v>
      </c>
    </row>
    <row r="24" spans="1:6" x14ac:dyDescent="0.25">
      <c r="A24" s="99" t="s">
        <v>174</v>
      </c>
      <c r="B24" s="49">
        <v>15906526</v>
      </c>
      <c r="C24" s="49">
        <v>5888625</v>
      </c>
      <c r="D24" s="49">
        <v>2909121.0172979999</v>
      </c>
      <c r="E24" s="50"/>
      <c r="F24" s="173">
        <f>C24/B24</f>
        <v>0.37020182785354894</v>
      </c>
    </row>
    <row r="25" spans="1:6" x14ac:dyDescent="0.25">
      <c r="A25" s="99" t="s">
        <v>176</v>
      </c>
      <c r="B25" s="49">
        <v>65701623</v>
      </c>
      <c r="C25" s="49">
        <v>26063500</v>
      </c>
      <c r="D25" s="49">
        <v>13681483.081805</v>
      </c>
      <c r="E25" s="50">
        <f>VLOOKUP($A25,'Data shares'!$C:$FA,154)*100</f>
        <v>40.17</v>
      </c>
      <c r="F25" s="173">
        <f>C25/B25</f>
        <v>0.39669491878457858</v>
      </c>
    </row>
    <row r="26" spans="1:6" x14ac:dyDescent="0.25">
      <c r="A26" s="99" t="s">
        <v>690</v>
      </c>
      <c r="B26" s="49">
        <v>5401993</v>
      </c>
      <c r="C26" s="49">
        <v>438050</v>
      </c>
      <c r="D26" s="49">
        <v>224883.25124899999</v>
      </c>
      <c r="E26" s="50">
        <f>VLOOKUP($A26,'Data shares'!$C:$FA,154)*100</f>
        <v>8.16</v>
      </c>
      <c r="F26" s="173">
        <f>C26/B26</f>
        <v>8.109044199057644E-2</v>
      </c>
    </row>
    <row r="27" spans="1:6" x14ac:dyDescent="0.25">
      <c r="A27" s="99" t="s">
        <v>177</v>
      </c>
      <c r="B27" s="49">
        <v>317526833</v>
      </c>
      <c r="C27" s="49">
        <v>116516250</v>
      </c>
      <c r="D27" s="49">
        <v>76011503.586847499</v>
      </c>
      <c r="E27" s="50">
        <f>VLOOKUP($A27,'Data shares'!$C:$FA,154)*100</f>
        <v>37.450000000000003</v>
      </c>
      <c r="F27" s="173">
        <f>C27/B27</f>
        <v>0.36694930283262078</v>
      </c>
    </row>
    <row r="28" spans="1:6" x14ac:dyDescent="0.25">
      <c r="A28" s="99" t="s">
        <v>179</v>
      </c>
      <c r="B28" s="49">
        <v>144289555</v>
      </c>
      <c r="C28" s="49">
        <v>150339600</v>
      </c>
      <c r="D28" s="49">
        <v>85646794.683564007</v>
      </c>
      <c r="E28" s="50">
        <f>VLOOKUP($A28,'Data shares'!$C:$FA,154)*100</f>
        <v>105.99000000000001</v>
      </c>
      <c r="F28" s="173">
        <f>C28/B28</f>
        <v>1.0419298888266721</v>
      </c>
    </row>
    <row r="29" spans="1:6" x14ac:dyDescent="0.25">
      <c r="A29" s="99" t="s">
        <v>180</v>
      </c>
      <c r="B29" s="49">
        <v>279476623</v>
      </c>
      <c r="C29" s="49">
        <v>173177550</v>
      </c>
      <c r="D29" s="49">
        <v>87400805.786453202</v>
      </c>
      <c r="E29" s="50">
        <f>VLOOKUP($A29,'Data shares'!$C:$FA,154)*100</f>
        <v>64.53</v>
      </c>
      <c r="F29" s="173">
        <f>C29/B29</f>
        <v>0.61964950106041605</v>
      </c>
    </row>
    <row r="30" spans="1:6" x14ac:dyDescent="0.25">
      <c r="A30" s="99" t="s">
        <v>602</v>
      </c>
      <c r="B30" s="49">
        <v>181770921</v>
      </c>
      <c r="C30" s="49">
        <v>102034400</v>
      </c>
      <c r="D30" s="49">
        <v>53895411.295024</v>
      </c>
      <c r="E30" s="50">
        <f>VLOOKUP($A30,'Data shares'!$C:$FA,154)*100</f>
        <v>56.74</v>
      </c>
      <c r="F30" s="173">
        <f>C30/B30</f>
        <v>0.56133511036124417</v>
      </c>
    </row>
    <row r="31" spans="1:6" x14ac:dyDescent="0.25">
      <c r="A31" s="99" t="s">
        <v>670</v>
      </c>
      <c r="B31" s="49">
        <v>13786716</v>
      </c>
      <c r="C31" s="49">
        <v>11943750</v>
      </c>
      <c r="D31" s="49">
        <v>4341161.863283</v>
      </c>
      <c r="E31" s="50">
        <f>VLOOKUP($A31,'Data shares'!$C:$FA,154)*100</f>
        <v>88.29</v>
      </c>
      <c r="F31" s="173">
        <f>C31/B31</f>
        <v>0.8663230605461083</v>
      </c>
    </row>
    <row r="32" spans="1:6" x14ac:dyDescent="0.25">
      <c r="A32" s="99" t="s">
        <v>185</v>
      </c>
      <c r="B32" s="49">
        <v>535778534</v>
      </c>
      <c r="C32" s="49">
        <v>186989925</v>
      </c>
      <c r="D32" s="49">
        <v>101238469.195363</v>
      </c>
      <c r="E32" s="50">
        <f>VLOOKUP($A32,'Data shares'!$C:$FA,154)*100</f>
        <v>35.549999999999997</v>
      </c>
      <c r="F32" s="173">
        <f>C32/B32</f>
        <v>0.34900600366344653</v>
      </c>
    </row>
    <row r="33" spans="1:6" x14ac:dyDescent="0.25">
      <c r="A33" s="99" t="s">
        <v>187</v>
      </c>
      <c r="B33" s="49">
        <v>40107751</v>
      </c>
      <c r="C33" s="49">
        <v>13819000</v>
      </c>
      <c r="D33" s="49">
        <v>6835658.7566600004</v>
      </c>
      <c r="E33" s="50">
        <f>VLOOKUP($A33,'Data shares'!$C:$FA,154)*100</f>
        <v>35.24</v>
      </c>
      <c r="F33" s="173">
        <f>C33/B33</f>
        <v>0.34454686825995307</v>
      </c>
    </row>
    <row r="34" spans="1:6" x14ac:dyDescent="0.25">
      <c r="A34" s="99" t="s">
        <v>189</v>
      </c>
      <c r="B34" s="49">
        <v>367085962</v>
      </c>
      <c r="C34" s="49">
        <v>95285475</v>
      </c>
      <c r="D34" s="49">
        <v>63480765.697036996</v>
      </c>
      <c r="E34" s="50">
        <f>VLOOKUP($A34,'Data shares'!$C:$FA,154)*100</f>
        <v>26.450000000000003</v>
      </c>
      <c r="F34" s="173">
        <f>C34/B34</f>
        <v>0.25957264745525738</v>
      </c>
    </row>
    <row r="35" spans="1:6" x14ac:dyDescent="0.25">
      <c r="A35" s="99" t="s">
        <v>190</v>
      </c>
      <c r="B35" s="49">
        <v>192361942</v>
      </c>
      <c r="C35" s="49">
        <v>179752125</v>
      </c>
      <c r="D35" s="49">
        <v>96064586.011537507</v>
      </c>
      <c r="E35" s="50">
        <f>VLOOKUP($A35,'Data shares'!$C:$FA,154)*100</f>
        <v>97.72999999999999</v>
      </c>
      <c r="F35" s="173">
        <f>C35/B35</f>
        <v>0.93444744387119982</v>
      </c>
    </row>
    <row r="36" spans="1:6" x14ac:dyDescent="0.25">
      <c r="A36" s="99" t="s">
        <v>191</v>
      </c>
      <c r="B36" s="49">
        <v>91057772</v>
      </c>
      <c r="C36" s="49">
        <v>68885000</v>
      </c>
      <c r="D36" s="49">
        <v>31737946.525874998</v>
      </c>
      <c r="E36" s="50">
        <f>VLOOKUP($A36,'Data shares'!$C:$FA,154)*100</f>
        <v>76.819999999999993</v>
      </c>
      <c r="F36" s="173">
        <f>C36/B36</f>
        <v>0.75649775397535535</v>
      </c>
    </row>
    <row r="37" spans="1:6" x14ac:dyDescent="0.25">
      <c r="A37" s="99" t="s">
        <v>678</v>
      </c>
      <c r="B37" s="49">
        <v>17213286</v>
      </c>
      <c r="C37" s="49">
        <v>4389775</v>
      </c>
      <c r="D37" s="49">
        <v>2089891.6891125001</v>
      </c>
      <c r="E37" s="50">
        <f>VLOOKUP($A37,'Data shares'!$C:$FA,154)*100</f>
        <v>26.02</v>
      </c>
      <c r="F37" s="173">
        <f>C37/B37</f>
        <v>0.25502248670009897</v>
      </c>
    </row>
    <row r="38" spans="1:6" x14ac:dyDescent="0.25">
      <c r="A38" s="99" t="s">
        <v>192</v>
      </c>
      <c r="B38" s="49">
        <v>882048</v>
      </c>
      <c r="C38" s="49">
        <v>596950</v>
      </c>
      <c r="D38" s="49">
        <v>206988.163478</v>
      </c>
      <c r="E38" s="50">
        <f>VLOOKUP($A38,'Data shares'!$C:$FA,154)*100</f>
        <v>68.33</v>
      </c>
      <c r="F38" s="173">
        <f>C38/B38</f>
        <v>0.67677722754317227</v>
      </c>
    </row>
    <row r="39" spans="1:6" x14ac:dyDescent="0.25">
      <c r="A39" s="99" t="s">
        <v>194</v>
      </c>
      <c r="B39" s="49">
        <v>306020745</v>
      </c>
      <c r="C39" s="49">
        <v>88817725</v>
      </c>
      <c r="D39" s="49">
        <v>47290938.487020701</v>
      </c>
      <c r="E39" s="50">
        <f>VLOOKUP($A39,'Data shares'!$C:$FA,154)*100</f>
        <v>29.45</v>
      </c>
      <c r="F39" s="173">
        <f>C39/B39</f>
        <v>0.29023432708785807</v>
      </c>
    </row>
    <row r="40" spans="1:6" x14ac:dyDescent="0.25">
      <c r="A40" s="99" t="s">
        <v>195</v>
      </c>
      <c r="B40" s="49">
        <v>16370935</v>
      </c>
      <c r="C40" s="49">
        <v>4002125</v>
      </c>
      <c r="D40" s="49">
        <v>2841286.2464937498</v>
      </c>
      <c r="E40" s="50">
        <f>VLOOKUP($A40,'Data shares'!$C:$FA,154)*100</f>
        <v>24.77</v>
      </c>
      <c r="F40" s="173">
        <f>C40/B40</f>
        <v>0.24446526725565768</v>
      </c>
    </row>
    <row r="41" spans="1:6" x14ac:dyDescent="0.25">
      <c r="A41" s="99" t="s">
        <v>584</v>
      </c>
      <c r="B41" s="49">
        <v>61094861</v>
      </c>
      <c r="C41" s="49">
        <v>19887000</v>
      </c>
      <c r="D41" s="49">
        <v>8129317.8669487499</v>
      </c>
      <c r="E41" s="50">
        <f>VLOOKUP($A41,'Data shares'!$C:$FA,154)*100</f>
        <v>34</v>
      </c>
      <c r="F41" s="173">
        <f>C41/B41</f>
        <v>0.32551019307499529</v>
      </c>
    </row>
    <row r="42" spans="1:6" x14ac:dyDescent="0.25">
      <c r="A42" s="99" t="s">
        <v>611</v>
      </c>
      <c r="B42" s="49">
        <v>37122288</v>
      </c>
      <c r="C42" s="49">
        <v>12885750</v>
      </c>
      <c r="D42" s="49">
        <v>6033491.4914325001</v>
      </c>
      <c r="E42" s="50">
        <f>VLOOKUP($A42,'Data shares'!$C:$FA,154)*100</f>
        <v>35.199999999999996</v>
      </c>
      <c r="F42" s="173">
        <f>C42/B42</f>
        <v>0.34711626610945961</v>
      </c>
    </row>
    <row r="43" spans="1:6" x14ac:dyDescent="0.25">
      <c r="A43" s="99" t="s">
        <v>196</v>
      </c>
      <c r="B43" s="49">
        <v>504315430</v>
      </c>
      <c r="C43" s="49">
        <v>369852750</v>
      </c>
      <c r="D43" s="49">
        <v>174594549.54917201</v>
      </c>
      <c r="E43" s="50">
        <f>VLOOKUP($A43,'Data shares'!$C:$FA,154)*100</f>
        <v>74.489999999999995</v>
      </c>
      <c r="F43" s="173">
        <f>C43/B43</f>
        <v>0.73337583583353771</v>
      </c>
    </row>
    <row r="44" spans="1:6" x14ac:dyDescent="0.25">
      <c r="A44" s="99" t="s">
        <v>597</v>
      </c>
      <c r="B44" s="49">
        <v>26647500</v>
      </c>
      <c r="C44" s="49">
        <v>23478775</v>
      </c>
      <c r="D44" s="49">
        <v>9389705.1200942509</v>
      </c>
      <c r="E44" s="50">
        <f>VLOOKUP($A44,'Data shares'!$C:$FA,154)*100</f>
        <v>90.4</v>
      </c>
      <c r="F44" s="173">
        <f>C44/B44</f>
        <v>0.88108734402852051</v>
      </c>
    </row>
    <row r="45" spans="1:6" x14ac:dyDescent="0.25">
      <c r="A45" s="99" t="s">
        <v>612</v>
      </c>
      <c r="B45" s="49">
        <v>103060454</v>
      </c>
      <c r="C45" s="49">
        <v>25432000</v>
      </c>
      <c r="D45" s="49">
        <v>16697847.583140001</v>
      </c>
      <c r="E45" s="50"/>
      <c r="F45" s="173">
        <f>C45/B45</f>
        <v>0.24676778543979633</v>
      </c>
    </row>
    <row r="46" spans="1:6" x14ac:dyDescent="0.25">
      <c r="A46" s="99" t="s">
        <v>198</v>
      </c>
      <c r="B46" s="49">
        <v>63257923</v>
      </c>
      <c r="C46" s="49">
        <v>24276250</v>
      </c>
      <c r="D46" s="49">
        <v>16839016.6919875</v>
      </c>
      <c r="E46" s="50">
        <f>VLOOKUP($A46,'Data shares'!$C:$FA,154)*100</f>
        <v>38.9</v>
      </c>
      <c r="F46" s="173">
        <f>C46/B46</f>
        <v>0.38376615684963289</v>
      </c>
    </row>
    <row r="47" spans="1:6" x14ac:dyDescent="0.25">
      <c r="A47" s="99" t="s">
        <v>199</v>
      </c>
      <c r="B47" s="49">
        <v>59297360</v>
      </c>
      <c r="C47" s="49">
        <v>24445500</v>
      </c>
      <c r="D47" s="49">
        <v>13952040.0190762</v>
      </c>
      <c r="E47" s="50">
        <f>VLOOKUP($A47,'Data shares'!$C:$FA,154)*100</f>
        <v>41.660000000000004</v>
      </c>
      <c r="F47" s="173">
        <f>C47/B47</f>
        <v>0.41225275459143546</v>
      </c>
    </row>
    <row r="48" spans="1:6" x14ac:dyDescent="0.25">
      <c r="A48" s="99" t="s">
        <v>200</v>
      </c>
      <c r="B48" s="49">
        <v>278206904</v>
      </c>
      <c r="C48" s="49">
        <v>111505950</v>
      </c>
      <c r="D48" s="49">
        <v>51461489.683773004</v>
      </c>
      <c r="E48" s="50">
        <f>VLOOKUP($A48,'Data shares'!$C:$FA,154)*100</f>
        <v>40.81</v>
      </c>
      <c r="F48" s="173">
        <f>C48/B48</f>
        <v>0.400802238897709</v>
      </c>
    </row>
    <row r="49" spans="1:6" x14ac:dyDescent="0.25">
      <c r="A49" s="99" t="s">
        <v>470</v>
      </c>
      <c r="B49" s="49">
        <v>50189409</v>
      </c>
      <c r="C49" s="49">
        <v>43698750</v>
      </c>
      <c r="D49" s="49">
        <v>26737443.453558698</v>
      </c>
      <c r="E49" s="50">
        <f>VLOOKUP($A49,'Data shares'!$C:$FA,154)*100</f>
        <v>90.59</v>
      </c>
      <c r="F49" s="173">
        <f>C49/B49</f>
        <v>0.87067671986334805</v>
      </c>
    </row>
    <row r="50" spans="1:6" x14ac:dyDescent="0.25">
      <c r="A50" s="99" t="s">
        <v>201</v>
      </c>
      <c r="B50" s="49">
        <v>19546143</v>
      </c>
      <c r="C50" s="49">
        <v>13191750</v>
      </c>
      <c r="D50" s="49">
        <v>6113895.9486929998</v>
      </c>
      <c r="E50" s="50">
        <f>VLOOKUP($A50,'Data shares'!$C:$FA,154)*100</f>
        <v>68.63</v>
      </c>
      <c r="F50" s="173">
        <f>C50/B50</f>
        <v>0.67490297190601745</v>
      </c>
    </row>
    <row r="51" spans="1:6" x14ac:dyDescent="0.25">
      <c r="A51" s="99" t="s">
        <v>202</v>
      </c>
      <c r="B51" s="49">
        <v>51639257</v>
      </c>
      <c r="C51" s="49">
        <v>46987500</v>
      </c>
      <c r="D51" s="49">
        <v>27296764.258450001</v>
      </c>
      <c r="E51" s="50">
        <f>VLOOKUP($A51,'Data shares'!$C:$FA,154)*100</f>
        <v>91.990000000000009</v>
      </c>
      <c r="F51" s="173">
        <f>C51/B51</f>
        <v>0.9099182042840005</v>
      </c>
    </row>
    <row r="52" spans="1:6" x14ac:dyDescent="0.25">
      <c r="A52" s="99" t="s">
        <v>523</v>
      </c>
      <c r="B52" s="49">
        <v>96587231</v>
      </c>
      <c r="C52" s="49">
        <v>61471800</v>
      </c>
      <c r="D52" s="49">
        <v>44183019.675384</v>
      </c>
      <c r="E52" s="50">
        <f>VLOOKUP($A52,'Data shares'!$C:$FA,154)*100</f>
        <v>64.11</v>
      </c>
      <c r="F52" s="173">
        <f>C52/B52</f>
        <v>0.63643816437806355</v>
      </c>
    </row>
    <row r="53" spans="1:6" x14ac:dyDescent="0.25">
      <c r="A53" s="99" t="s">
        <v>203</v>
      </c>
      <c r="B53" s="49">
        <v>19131188</v>
      </c>
      <c r="C53" s="49">
        <v>5243400</v>
      </c>
      <c r="D53" s="49">
        <v>3473677.7571840002</v>
      </c>
      <c r="E53" s="50">
        <f>VLOOKUP($A53,'Data shares'!$C:$FA,154)*100</f>
        <v>27.99</v>
      </c>
      <c r="F53" s="173">
        <f>C53/B53</f>
        <v>0.27407602706115269</v>
      </c>
    </row>
    <row r="54" spans="1:6" x14ac:dyDescent="0.25">
      <c r="A54" s="99" t="s">
        <v>204</v>
      </c>
      <c r="B54" s="49">
        <v>89873278</v>
      </c>
      <c r="C54" s="49">
        <v>43111250</v>
      </c>
      <c r="D54" s="49">
        <v>25066517.126075</v>
      </c>
      <c r="E54" s="50">
        <f>VLOOKUP($A54,'Data shares'!$C:$FA,154)*100</f>
        <v>48.370000000000005</v>
      </c>
      <c r="F54" s="173">
        <f>C54/B54</f>
        <v>0.47968930208598826</v>
      </c>
    </row>
    <row r="55" spans="1:6" x14ac:dyDescent="0.25">
      <c r="A55" s="99" t="s">
        <v>524</v>
      </c>
      <c r="B55" s="49">
        <v>12425041</v>
      </c>
      <c r="C55" s="49">
        <v>5520775</v>
      </c>
      <c r="D55" s="49">
        <v>2275969.5999332499</v>
      </c>
      <c r="E55" s="50">
        <f>VLOOKUP($A55,'Data shares'!$C:$FA,154)*100</f>
        <v>45.4</v>
      </c>
      <c r="F55" s="173">
        <f>C55/B55</f>
        <v>0.4443265016187874</v>
      </c>
    </row>
    <row r="56" spans="1:6" x14ac:dyDescent="0.25">
      <c r="A56" s="99" t="s">
        <v>600</v>
      </c>
      <c r="B56" s="49">
        <v>112112283</v>
      </c>
      <c r="C56" s="49">
        <v>35943150</v>
      </c>
      <c r="D56" s="49">
        <v>24597016.182542201</v>
      </c>
      <c r="E56" s="50">
        <f>VLOOKUP($A56,'Data shares'!$C:$FA,154)*100</f>
        <v>32.340000000000003</v>
      </c>
      <c r="F56" s="173">
        <f>C56/B56</f>
        <v>0.32059957248395343</v>
      </c>
    </row>
    <row r="57" spans="1:6" x14ac:dyDescent="0.25">
      <c r="A57" s="99" t="s">
        <v>205</v>
      </c>
      <c r="B57" s="49">
        <v>14898112</v>
      </c>
      <c r="C57" s="49">
        <v>3904500</v>
      </c>
      <c r="D57" s="49">
        <v>2637017.3753900002</v>
      </c>
      <c r="E57" s="50"/>
      <c r="F57" s="173">
        <f>C57/B57</f>
        <v>0.26208018841582076</v>
      </c>
    </row>
    <row r="58" spans="1:6" x14ac:dyDescent="0.25">
      <c r="A58" s="99" t="s">
        <v>512</v>
      </c>
      <c r="B58" s="49">
        <v>6452220</v>
      </c>
      <c r="C58" s="49">
        <v>6285700</v>
      </c>
      <c r="D58" s="49">
        <v>2283217.6592339999</v>
      </c>
      <c r="E58" s="50">
        <f>VLOOKUP($A58,'Data shares'!$C:$FA,154)*100</f>
        <v>101.32000000000001</v>
      </c>
      <c r="F58" s="173">
        <f>C58/B58</f>
        <v>0.97419182854893349</v>
      </c>
    </row>
    <row r="59" spans="1:6" x14ac:dyDescent="0.25">
      <c r="A59" s="99" t="s">
        <v>207</v>
      </c>
      <c r="B59" s="49">
        <v>96058266</v>
      </c>
      <c r="C59" s="49">
        <v>76068300</v>
      </c>
      <c r="D59" s="49">
        <v>53918633.723971501</v>
      </c>
      <c r="E59" s="50">
        <f>VLOOKUP($A59,'Data shares'!$C:$FA,154)*100</f>
        <v>80.17</v>
      </c>
      <c r="F59" s="173">
        <f>C59/B59</f>
        <v>0.79189749271551502</v>
      </c>
    </row>
    <row r="60" spans="1:6" x14ac:dyDescent="0.25">
      <c r="A60" s="99" t="s">
        <v>583</v>
      </c>
      <c r="B60" s="49">
        <v>18750186</v>
      </c>
      <c r="C60" s="49">
        <v>8475300</v>
      </c>
      <c r="D60" s="49">
        <v>4703293.7358015003</v>
      </c>
      <c r="E60" s="50">
        <f>VLOOKUP($A60,'Data shares'!$C:$FA,154)*100</f>
        <v>45.72</v>
      </c>
      <c r="F60" s="173">
        <f>C60/B60</f>
        <v>0.45201151604576084</v>
      </c>
    </row>
    <row r="61" spans="1:6" x14ac:dyDescent="0.25">
      <c r="A61" s="99" t="s">
        <v>208</v>
      </c>
      <c r="B61" s="49">
        <v>91531454</v>
      </c>
      <c r="C61" s="49">
        <v>29131875</v>
      </c>
      <c r="D61" s="49">
        <v>16149007.3995375</v>
      </c>
      <c r="E61" s="50">
        <f>VLOOKUP($A61,'Data shares'!$C:$FA,154)*100</f>
        <v>32.24</v>
      </c>
      <c r="F61" s="173">
        <f>C61/B61</f>
        <v>0.31827173858726204</v>
      </c>
    </row>
    <row r="62" spans="1:6" x14ac:dyDescent="0.25">
      <c r="A62" s="99" t="s">
        <v>209</v>
      </c>
      <c r="B62" s="49">
        <v>19199175</v>
      </c>
      <c r="C62" s="49">
        <v>7473100</v>
      </c>
      <c r="D62" s="49">
        <v>3451651.037484</v>
      </c>
      <c r="E62" s="50">
        <f>VLOOKUP($A62,'Data shares'!$C:$FA,154)*100</f>
        <v>39.489999999999995</v>
      </c>
      <c r="F62" s="173">
        <f>C62/B62</f>
        <v>0.3892406835189533</v>
      </c>
    </row>
    <row r="63" spans="1:6" x14ac:dyDescent="0.25">
      <c r="A63" s="99" t="s">
        <v>666</v>
      </c>
      <c r="B63" s="49">
        <v>1251309857</v>
      </c>
      <c r="C63" s="49">
        <v>477058125</v>
      </c>
      <c r="D63" s="49">
        <v>266918786.69283</v>
      </c>
      <c r="E63" s="50">
        <f>VLOOKUP($A63,'Data shares'!$C:$FA,154)*100</f>
        <v>39.5</v>
      </c>
      <c r="F63" s="173">
        <f>C63/B63</f>
        <v>0.38124699676204982</v>
      </c>
    </row>
    <row r="64" spans="1:6" x14ac:dyDescent="0.25">
      <c r="A64" s="99" t="s">
        <v>211</v>
      </c>
      <c r="B64" s="49">
        <v>68856800</v>
      </c>
      <c r="C64" s="49">
        <v>49712400</v>
      </c>
      <c r="D64" s="49">
        <v>22080808.101546001</v>
      </c>
      <c r="E64" s="50">
        <f>VLOOKUP($A64,'Data shares'!$C:$FA,154)*100</f>
        <v>73.13</v>
      </c>
      <c r="F64" s="173">
        <f>C64/B64</f>
        <v>0.7219679102136608</v>
      </c>
    </row>
    <row r="65" spans="1:6" x14ac:dyDescent="0.25">
      <c r="A65" s="99" t="s">
        <v>212</v>
      </c>
      <c r="B65" s="49">
        <v>320636733</v>
      </c>
      <c r="C65" s="49">
        <v>175220000</v>
      </c>
      <c r="D65" s="49">
        <v>77494375.966000006</v>
      </c>
      <c r="E65" s="50">
        <f>VLOOKUP($A65,'Data shares'!$C:$FA,154)*100</f>
        <v>56.02</v>
      </c>
      <c r="F65" s="173">
        <f>C65/B65</f>
        <v>0.54647512891169581</v>
      </c>
    </row>
    <row r="66" spans="1:6" x14ac:dyDescent="0.25">
      <c r="A66" s="99" t="s">
        <v>676</v>
      </c>
      <c r="B66" s="49">
        <v>77949604</v>
      </c>
      <c r="C66" s="49">
        <v>17822675</v>
      </c>
      <c r="D66" s="49">
        <v>11850572.9967962</v>
      </c>
      <c r="E66" s="50">
        <f>VLOOKUP($A66,'Data shares'!$C:$FA,154)*100</f>
        <v>23.09</v>
      </c>
      <c r="F66" s="173">
        <f>C66/B66</f>
        <v>0.22864356052405346</v>
      </c>
    </row>
    <row r="67" spans="1:6" x14ac:dyDescent="0.25">
      <c r="A67" s="99" t="s">
        <v>213</v>
      </c>
      <c r="B67" s="49">
        <v>435694919</v>
      </c>
      <c r="C67" s="49">
        <v>184779000</v>
      </c>
      <c r="D67" s="49">
        <v>107610943.15402199</v>
      </c>
      <c r="E67" s="50">
        <f>VLOOKUP($A67,'Data shares'!$C:$FA,154)*100</f>
        <v>42.79</v>
      </c>
      <c r="F67" s="173">
        <f>C67/B67</f>
        <v>0.42410180137996972</v>
      </c>
    </row>
    <row r="68" spans="1:6" x14ac:dyDescent="0.25">
      <c r="A68" s="99" t="s">
        <v>214</v>
      </c>
      <c r="B68" s="49">
        <v>22585180</v>
      </c>
      <c r="C68" s="49">
        <v>14802375</v>
      </c>
      <c r="D68" s="49">
        <v>11235804.225284999</v>
      </c>
      <c r="E68" s="50">
        <f>VLOOKUP($A68,'Data shares'!$C:$FA,154)*100</f>
        <v>65.95</v>
      </c>
      <c r="F68" s="173">
        <f>C68/B68</f>
        <v>0.6554021265272183</v>
      </c>
    </row>
    <row r="69" spans="1:6" x14ac:dyDescent="0.25">
      <c r="A69" s="99" t="s">
        <v>631</v>
      </c>
      <c r="B69" s="49">
        <v>534704421</v>
      </c>
      <c r="C69" s="49">
        <v>235636425</v>
      </c>
      <c r="D69" s="49">
        <v>131802687.55308101</v>
      </c>
      <c r="E69" s="50">
        <f>VLOOKUP($A69,'Data shares'!$C:$FA,154)*100</f>
        <v>44.440000000000005</v>
      </c>
      <c r="F69" s="173">
        <f>C69/B69</f>
        <v>0.44068538756293546</v>
      </c>
    </row>
    <row r="70" spans="1:6" x14ac:dyDescent="0.25">
      <c r="A70" s="99" t="s">
        <v>217</v>
      </c>
      <c r="B70" s="49">
        <v>72031016</v>
      </c>
      <c r="C70" s="49">
        <v>12609000</v>
      </c>
      <c r="D70" s="49">
        <v>9090914.1965200007</v>
      </c>
      <c r="E70" s="50">
        <f>VLOOKUP($A70,'Data shares'!$C:$FA,154)*100</f>
        <v>17.75</v>
      </c>
      <c r="F70" s="173">
        <f>C70/B70</f>
        <v>0.17504959252553096</v>
      </c>
    </row>
    <row r="71" spans="1:6" x14ac:dyDescent="0.25">
      <c r="A71" s="99" t="s">
        <v>218</v>
      </c>
      <c r="B71" s="49">
        <v>17263909</v>
      </c>
      <c r="C71" s="49">
        <v>13366100</v>
      </c>
      <c r="D71" s="49">
        <v>8553341.1942825001</v>
      </c>
      <c r="E71" s="50">
        <f>VLOOKUP($A71,'Data shares'!$C:$FA,154)*100</f>
        <v>78.22</v>
      </c>
      <c r="F71" s="173">
        <f>C71/B71</f>
        <v>0.77422210693997517</v>
      </c>
    </row>
    <row r="72" spans="1:6" x14ac:dyDescent="0.25">
      <c r="A72" s="99" t="s">
        <v>219</v>
      </c>
      <c r="B72" s="49">
        <v>38505832</v>
      </c>
      <c r="C72" s="49">
        <v>18071750</v>
      </c>
      <c r="D72" s="49">
        <v>13063726.973905001</v>
      </c>
      <c r="E72" s="50">
        <f>VLOOKUP($A72,'Data shares'!$C:$FA,154)*100</f>
        <v>47.160000000000004</v>
      </c>
      <c r="F72" s="173">
        <f>C72/B72</f>
        <v>0.4693250102997385</v>
      </c>
    </row>
    <row r="73" spans="1:6" x14ac:dyDescent="0.25">
      <c r="A73" s="99" t="s">
        <v>513</v>
      </c>
      <c r="B73" s="49">
        <v>28450886</v>
      </c>
      <c r="C73" s="49">
        <v>19349250</v>
      </c>
      <c r="D73" s="49">
        <v>9401200.3841175009</v>
      </c>
      <c r="E73" s="50">
        <f>VLOOKUP($A73,'Data shares'!$C:$FA,154)*100</f>
        <v>69.11</v>
      </c>
      <c r="F73" s="173">
        <f>C73/B73</f>
        <v>0.68009305580149593</v>
      </c>
    </row>
    <row r="74" spans="1:6" x14ac:dyDescent="0.25">
      <c r="A74" s="99" t="s">
        <v>220</v>
      </c>
      <c r="B74" s="49">
        <v>35667502</v>
      </c>
      <c r="C74" s="49">
        <v>13510500</v>
      </c>
      <c r="D74" s="49">
        <v>8791303.5162950009</v>
      </c>
      <c r="E74" s="50">
        <f>VLOOKUP($A74,'Data shares'!$C:$FA,154)*100</f>
        <v>38.14</v>
      </c>
      <c r="F74" s="173">
        <f>C74/B74</f>
        <v>0.3787901939418129</v>
      </c>
    </row>
    <row r="75" spans="1:6" x14ac:dyDescent="0.25">
      <c r="A75" s="99" t="s">
        <v>222</v>
      </c>
      <c r="B75" s="49">
        <v>106857976</v>
      </c>
      <c r="C75" s="49">
        <v>37924950</v>
      </c>
      <c r="D75" s="49">
        <v>26720507.661876</v>
      </c>
      <c r="E75" s="50">
        <f>VLOOKUP($A75,'Data shares'!$C:$FA,154)*100</f>
        <v>35.809999999999995</v>
      </c>
      <c r="F75" s="173">
        <f>C75/B75</f>
        <v>0.35490986653162887</v>
      </c>
    </row>
    <row r="76" spans="1:6" x14ac:dyDescent="0.25">
      <c r="A76" s="99" t="s">
        <v>475</v>
      </c>
      <c r="B76" s="49">
        <v>30592324</v>
      </c>
      <c r="C76" s="49">
        <v>8179500</v>
      </c>
      <c r="D76" s="49">
        <v>5592794.2746750005</v>
      </c>
      <c r="E76" s="50">
        <f>VLOOKUP($A76,'Data shares'!$C:$FA,154)*100</f>
        <v>27.169999999999998</v>
      </c>
      <c r="F76" s="173">
        <f>C76/B76</f>
        <v>0.26737099149446769</v>
      </c>
    </row>
    <row r="77" spans="1:6" x14ac:dyDescent="0.25">
      <c r="A77" s="99" t="s">
        <v>224</v>
      </c>
      <c r="B77" s="49">
        <v>1330694977</v>
      </c>
      <c r="C77" s="49">
        <v>454578850</v>
      </c>
      <c r="D77" s="49">
        <v>314730060.99690098</v>
      </c>
      <c r="E77" s="50">
        <f>VLOOKUP($A77,'Data shares'!$C:$FA,154)*100</f>
        <v>34.449999999999996</v>
      </c>
      <c r="F77" s="173">
        <f>C77/B77</f>
        <v>0.34161010438682976</v>
      </c>
    </row>
    <row r="78" spans="1:6" x14ac:dyDescent="0.25">
      <c r="A78" s="99" t="s">
        <v>225</v>
      </c>
      <c r="B78" s="49">
        <v>128849634</v>
      </c>
      <c r="C78" s="49">
        <v>56951400</v>
      </c>
      <c r="D78" s="49">
        <v>37383698.276496001</v>
      </c>
      <c r="E78" s="50">
        <f>VLOOKUP($A78,'Data shares'!$C:$FA,154)*100</f>
        <v>44.800000000000004</v>
      </c>
      <c r="F78" s="173">
        <f>C78/B78</f>
        <v>0.44199892721464773</v>
      </c>
    </row>
    <row r="79" spans="1:6" x14ac:dyDescent="0.25">
      <c r="A79" s="99" t="s">
        <v>226</v>
      </c>
      <c r="B79" s="49">
        <v>19586951</v>
      </c>
      <c r="C79" s="49">
        <v>6675150</v>
      </c>
      <c r="D79" s="49">
        <v>3523851.6909464998</v>
      </c>
      <c r="E79" s="50">
        <f>VLOOKUP($A79,'Data shares'!$C:$FA,154)*100</f>
        <v>34.93</v>
      </c>
      <c r="F79" s="173">
        <f>C79/B79</f>
        <v>0.34079576754952823</v>
      </c>
    </row>
    <row r="80" spans="1:6" x14ac:dyDescent="0.25">
      <c r="A80" s="99" t="s">
        <v>228</v>
      </c>
      <c r="B80" s="49">
        <v>212176873</v>
      </c>
      <c r="C80" s="49">
        <v>61323500</v>
      </c>
      <c r="D80" s="49">
        <v>37591414.358994998</v>
      </c>
      <c r="E80" s="50">
        <f>VLOOKUP($A80,'Data shares'!$C:$FA,154)*100</f>
        <v>30.709999999999997</v>
      </c>
      <c r="F80" s="173">
        <f>C80/B80</f>
        <v>0.28902066060705872</v>
      </c>
    </row>
    <row r="81" spans="1:6" x14ac:dyDescent="0.25">
      <c r="A81" s="99" t="s">
        <v>229</v>
      </c>
      <c r="B81" s="49">
        <v>143933168</v>
      </c>
      <c r="C81" s="49">
        <v>88085475</v>
      </c>
      <c r="D81" s="49">
        <v>47696690.541476198</v>
      </c>
      <c r="E81" s="50">
        <f>VLOOKUP($A81,'Data shares'!$C:$FA,154)*100</f>
        <v>63.05</v>
      </c>
      <c r="F81" s="173">
        <f>C81/B81</f>
        <v>0.61198871826402101</v>
      </c>
    </row>
    <row r="82" spans="1:6" x14ac:dyDescent="0.25">
      <c r="A82" s="99" t="s">
        <v>230</v>
      </c>
      <c r="B82" s="49">
        <v>91001773</v>
      </c>
      <c r="C82" s="49">
        <v>26109300</v>
      </c>
      <c r="D82" s="49">
        <v>16107214.049577</v>
      </c>
      <c r="E82" s="50">
        <f>VLOOKUP($A82,'Data shares'!$C:$FA,154)*100</f>
        <v>29.12</v>
      </c>
      <c r="F82" s="173">
        <f>C82/B82</f>
        <v>0.28690979460367216</v>
      </c>
    </row>
    <row r="83" spans="1:6" x14ac:dyDescent="0.25">
      <c r="A83" s="99" t="s">
        <v>667</v>
      </c>
      <c r="B83" s="49">
        <v>161247058</v>
      </c>
      <c r="C83" s="49">
        <v>78343650</v>
      </c>
      <c r="D83" s="49">
        <v>33414612.350491699</v>
      </c>
      <c r="E83" s="50"/>
      <c r="F83" s="173">
        <f>C83/B83</f>
        <v>0.48586095753759428</v>
      </c>
    </row>
    <row r="84" spans="1:6" x14ac:dyDescent="0.25">
      <c r="A84" s="99" t="s">
        <v>608</v>
      </c>
      <c r="B84" s="49">
        <v>75071250</v>
      </c>
      <c r="C84" s="49">
        <v>72330375</v>
      </c>
      <c r="D84" s="49">
        <v>33980920.0775152</v>
      </c>
      <c r="E84" s="50"/>
      <c r="F84" s="173">
        <f>C84/B84</f>
        <v>0.96348968479944053</v>
      </c>
    </row>
    <row r="85" spans="1:6" x14ac:dyDescent="0.25">
      <c r="A85" s="99" t="s">
        <v>232</v>
      </c>
      <c r="B85" s="49">
        <v>580601807</v>
      </c>
      <c r="C85" s="49">
        <v>184249800</v>
      </c>
      <c r="D85" s="49">
        <v>128920872.823722</v>
      </c>
      <c r="E85" s="50">
        <f>VLOOKUP($A85,'Data shares'!$C:$FA,154)*100</f>
        <v>32.06</v>
      </c>
      <c r="F85" s="173">
        <f>C85/B85</f>
        <v>0.31734279462895298</v>
      </c>
    </row>
    <row r="86" spans="1:6" x14ac:dyDescent="0.25">
      <c r="A86" s="99" t="s">
        <v>472</v>
      </c>
      <c r="B86" s="49">
        <v>28747897</v>
      </c>
      <c r="C86" s="49">
        <v>6669650</v>
      </c>
      <c r="D86" s="49">
        <v>4826802.7613357501</v>
      </c>
      <c r="E86" s="50">
        <f>VLOOKUP($A86,'Data shares'!$C:$FA,154)*100</f>
        <v>23.51</v>
      </c>
      <c r="F86" s="173">
        <f>C86/B86</f>
        <v>0.23200479673347932</v>
      </c>
    </row>
    <row r="87" spans="1:6" x14ac:dyDescent="0.25">
      <c r="A87" s="99" t="s">
        <v>233</v>
      </c>
      <c r="B87" s="49">
        <v>58746582</v>
      </c>
      <c r="C87" s="49">
        <v>22696725</v>
      </c>
      <c r="D87" s="49">
        <v>16829262.158511002</v>
      </c>
      <c r="E87" s="50">
        <f>VLOOKUP($A87,'Data shares'!$C:$FA,154)*100</f>
        <v>38.729999999999997</v>
      </c>
      <c r="F87" s="173">
        <f>C87/B87</f>
        <v>0.38634971137554863</v>
      </c>
    </row>
    <row r="88" spans="1:6" x14ac:dyDescent="0.25">
      <c r="A88" s="99" t="s">
        <v>234</v>
      </c>
      <c r="B88" s="49">
        <v>12037179660</v>
      </c>
      <c r="C88" s="49">
        <v>9974908050</v>
      </c>
      <c r="D88" s="49">
        <v>6271147267.1757498</v>
      </c>
      <c r="E88" s="50">
        <f>VLOOKUP($A88,'Data shares'!$C:$FA,154)*100</f>
        <v>84.1</v>
      </c>
      <c r="F88" s="173">
        <f>C88/B88</f>
        <v>0.82867485006865804</v>
      </c>
    </row>
    <row r="89" spans="1:6" x14ac:dyDescent="0.25">
      <c r="A89" s="99" t="s">
        <v>235</v>
      </c>
      <c r="B89" s="49">
        <v>936861183</v>
      </c>
      <c r="C89" s="49">
        <v>1023913625</v>
      </c>
      <c r="D89" s="49">
        <v>455022088.61168098</v>
      </c>
      <c r="E89" s="50">
        <f>VLOOKUP($A89,'Data shares'!$C:$FA,154)*100</f>
        <v>111.16999999999999</v>
      </c>
      <c r="F89" s="173">
        <f>C89/B89</f>
        <v>1.092919253758857</v>
      </c>
    </row>
    <row r="90" spans="1:6" x14ac:dyDescent="0.25">
      <c r="A90" s="99" t="s">
        <v>514</v>
      </c>
      <c r="B90" s="49">
        <v>133395043</v>
      </c>
      <c r="C90" s="49">
        <v>146190000</v>
      </c>
      <c r="D90" s="49">
        <v>67836265.746412501</v>
      </c>
      <c r="E90" s="50">
        <f>VLOOKUP($A90,'Data shares'!$C:$FA,154)*100</f>
        <v>111.03</v>
      </c>
      <c r="F90" s="173">
        <f>C90/B90</f>
        <v>1.095917784591141</v>
      </c>
    </row>
    <row r="91" spans="1:6" x14ac:dyDescent="0.25">
      <c r="A91" s="99" t="s">
        <v>501</v>
      </c>
      <c r="B91" s="49">
        <v>132129624</v>
      </c>
      <c r="C91" s="49">
        <v>35696000</v>
      </c>
      <c r="D91" s="49">
        <v>19967423.915520001</v>
      </c>
      <c r="E91" s="50">
        <f>VLOOKUP($A91,'Data shares'!$C:$FA,154)*100</f>
        <v>27.41</v>
      </c>
      <c r="F91" s="173">
        <f>C91/B91</f>
        <v>0.27015894633893761</v>
      </c>
    </row>
    <row r="92" spans="1:6" x14ac:dyDescent="0.25">
      <c r="A92" s="99" t="s">
        <v>578</v>
      </c>
      <c r="B92" s="49">
        <v>52862157</v>
      </c>
      <c r="C92" s="49">
        <v>17314000</v>
      </c>
      <c r="D92" s="49">
        <v>8082394.7536699995</v>
      </c>
      <c r="E92" s="50">
        <f>VLOOKUP($A92,'Data shares'!$C:$FA,154)*100</f>
        <v>33.339999999999996</v>
      </c>
      <c r="F92" s="173">
        <f>C92/B92</f>
        <v>0.32753109185461349</v>
      </c>
    </row>
    <row r="93" spans="1:6" x14ac:dyDescent="0.25">
      <c r="A93" s="99" t="s">
        <v>238</v>
      </c>
      <c r="B93" s="49">
        <v>33874835</v>
      </c>
      <c r="C93" s="49">
        <v>21396900</v>
      </c>
      <c r="D93" s="49">
        <v>8966610.6636629999</v>
      </c>
      <c r="E93" s="50">
        <f>VLOOKUP($A93,'Data shares'!$C:$FA,154)*100</f>
        <v>64.69</v>
      </c>
      <c r="F93" s="173">
        <f>C93/B93</f>
        <v>0.63164588107956832</v>
      </c>
    </row>
    <row r="94" spans="1:6" x14ac:dyDescent="0.25">
      <c r="A94" s="99" t="s">
        <v>239</v>
      </c>
      <c r="B94" s="49">
        <v>93808799</v>
      </c>
      <c r="C94" s="49">
        <v>57137500</v>
      </c>
      <c r="D94" s="49">
        <v>37361612.865079999</v>
      </c>
      <c r="E94" s="50">
        <f>VLOOKUP($A94,'Data shares'!$C:$FA,154)*100</f>
        <v>61.47</v>
      </c>
      <c r="F94" s="173">
        <f>C94/B94</f>
        <v>0.60908465526778566</v>
      </c>
    </row>
    <row r="95" spans="1:6" x14ac:dyDescent="0.25">
      <c r="A95" s="99" t="s">
        <v>473</v>
      </c>
      <c r="B95" s="49">
        <v>193623116</v>
      </c>
      <c r="C95" s="49">
        <v>92255600</v>
      </c>
      <c r="D95" s="49">
        <v>62086056.096790001</v>
      </c>
      <c r="E95" s="50">
        <f>VLOOKUP($A95,'Data shares'!$C:$FA,154)*100</f>
        <v>48.03</v>
      </c>
      <c r="F95" s="173">
        <f>C95/B95</f>
        <v>0.47646996859610502</v>
      </c>
    </row>
    <row r="96" spans="1:6" x14ac:dyDescent="0.25">
      <c r="A96" s="99" t="s">
        <v>240</v>
      </c>
      <c r="B96" s="49">
        <v>368703409</v>
      </c>
      <c r="C96" s="49">
        <v>135220000</v>
      </c>
      <c r="D96" s="49">
        <v>77767485.137728006</v>
      </c>
      <c r="E96" s="50">
        <f>VLOOKUP($A96,'Data shares'!$C:$FA,154)*100</f>
        <v>37.769999999999996</v>
      </c>
      <c r="F96" s="173">
        <f>C96/B96</f>
        <v>0.36674464271091128</v>
      </c>
    </row>
    <row r="97" spans="1:6" x14ac:dyDescent="0.25">
      <c r="A97" s="99" t="s">
        <v>668</v>
      </c>
      <c r="B97" s="49">
        <v>144708707</v>
      </c>
      <c r="C97" s="49">
        <v>163409675</v>
      </c>
      <c r="D97" s="49">
        <v>86666344.637050703</v>
      </c>
      <c r="E97" s="50">
        <f>VLOOKUP($A97,'Data shares'!$C:$FA,154)*100</f>
        <v>114.04</v>
      </c>
      <c r="F97" s="173">
        <f>C97/B97</f>
        <v>1.1292318091129099</v>
      </c>
    </row>
    <row r="98" spans="1:6" x14ac:dyDescent="0.25">
      <c r="A98" s="99" t="s">
        <v>241</v>
      </c>
      <c r="B98" s="49">
        <v>684903861</v>
      </c>
      <c r="C98" s="49">
        <v>228486375</v>
      </c>
      <c r="D98" s="49">
        <v>98690411.125410005</v>
      </c>
      <c r="E98" s="50">
        <f>VLOOKUP($A98,'Data shares'!$C:$FA,154)*100</f>
        <v>33.93</v>
      </c>
      <c r="F98" s="173">
        <f>C98/B98</f>
        <v>0.33360357272098951</v>
      </c>
    </row>
    <row r="99" spans="1:6" x14ac:dyDescent="0.25">
      <c r="A99" s="99" t="s">
        <v>664</v>
      </c>
      <c r="B99" s="49">
        <v>119011160</v>
      </c>
      <c r="C99" s="49">
        <v>112083600</v>
      </c>
      <c r="D99" s="49">
        <v>47623004.369521499</v>
      </c>
      <c r="E99" s="50">
        <f>VLOOKUP($A99,'Data shares'!$C:$FA,154)*100</f>
        <v>95.67</v>
      </c>
      <c r="F99" s="173">
        <f>C99/B99</f>
        <v>0.94179066904313846</v>
      </c>
    </row>
    <row r="100" spans="1:6" x14ac:dyDescent="0.25">
      <c r="A100" s="99" t="s">
        <v>592</v>
      </c>
      <c r="B100" s="49">
        <v>200960551</v>
      </c>
      <c r="C100" s="49">
        <v>201139750</v>
      </c>
      <c r="D100" s="49">
        <v>58348778.106530003</v>
      </c>
      <c r="E100" s="50">
        <f>VLOOKUP($A100,'Data shares'!$C:$FA,154)*100</f>
        <v>101.4</v>
      </c>
      <c r="F100" s="173">
        <f>C100/B100</f>
        <v>1.0008917123241765</v>
      </c>
    </row>
    <row r="101" spans="1:6" x14ac:dyDescent="0.25">
      <c r="A101" s="99" t="s">
        <v>242</v>
      </c>
      <c r="B101" s="49">
        <v>1252401670</v>
      </c>
      <c r="C101" s="49">
        <v>339824000</v>
      </c>
      <c r="D101" s="49">
        <v>166574463.60702401</v>
      </c>
      <c r="E101" s="50">
        <f>VLOOKUP($A101,'Data shares'!$C:$FA,154)*100</f>
        <v>27.57</v>
      </c>
      <c r="F101" s="173">
        <f>C101/B101</f>
        <v>0.27133786878454097</v>
      </c>
    </row>
    <row r="102" spans="1:6" x14ac:dyDescent="0.25">
      <c r="A102" s="99" t="s">
        <v>243</v>
      </c>
      <c r="B102" s="49">
        <v>48257090</v>
      </c>
      <c r="C102" s="49">
        <v>16734375</v>
      </c>
      <c r="D102" s="49">
        <v>10081839.437093699</v>
      </c>
      <c r="E102" s="50">
        <f>VLOOKUP($A102,'Data shares'!$C:$FA,154)*100</f>
        <v>35.549999999999997</v>
      </c>
      <c r="F102" s="173">
        <f>C102/B102</f>
        <v>0.34677546864098102</v>
      </c>
    </row>
    <row r="103" spans="1:6" x14ac:dyDescent="0.25">
      <c r="A103" s="99" t="s">
        <v>570</v>
      </c>
      <c r="B103" s="49">
        <v>355358091</v>
      </c>
      <c r="C103" s="49">
        <v>265129350</v>
      </c>
      <c r="D103" s="49">
        <v>164818730.648379</v>
      </c>
      <c r="E103" s="50">
        <f>VLOOKUP($A103,'Data shares'!$C:$FA,154)*100</f>
        <v>75.81</v>
      </c>
      <c r="F103" s="173">
        <f>C103/B103</f>
        <v>0.74609065254124185</v>
      </c>
    </row>
    <row r="104" spans="1:6" x14ac:dyDescent="0.25">
      <c r="A104" s="99" t="s">
        <v>580</v>
      </c>
      <c r="B104" s="49">
        <v>80385888</v>
      </c>
      <c r="C104" s="49">
        <v>39903000</v>
      </c>
      <c r="D104" s="49">
        <v>26606536.525959998</v>
      </c>
      <c r="E104" s="50">
        <f>VLOOKUP($A104,'Data shares'!$C:$FA,154)*100</f>
        <v>49.93</v>
      </c>
      <c r="F104" s="173">
        <f>C104/B104</f>
        <v>0.49639309825127514</v>
      </c>
    </row>
    <row r="105" spans="1:6" x14ac:dyDescent="0.25">
      <c r="A105" s="99" t="s">
        <v>244</v>
      </c>
      <c r="B105" s="49">
        <v>133434355</v>
      </c>
      <c r="C105" s="49">
        <v>62752050</v>
      </c>
      <c r="D105" s="49">
        <v>49962900.926099204</v>
      </c>
      <c r="E105" s="50">
        <f>VLOOKUP($A105,'Data shares'!$C:$FA,154)*100</f>
        <v>47.39</v>
      </c>
      <c r="F105" s="173">
        <f>C105/B105</f>
        <v>0.47028405840459903</v>
      </c>
    </row>
    <row r="106" spans="1:6" x14ac:dyDescent="0.25">
      <c r="A106" s="99" t="s">
        <v>245</v>
      </c>
      <c r="B106" s="49">
        <v>58761693</v>
      </c>
      <c r="C106" s="49">
        <v>44296250</v>
      </c>
      <c r="D106" s="49">
        <v>24365422.6435875</v>
      </c>
      <c r="E106" s="50">
        <f>VLOOKUP($A106,'Data shares'!$C:$FA,154)*100</f>
        <v>76.67</v>
      </c>
      <c r="F106" s="173">
        <f>C106/B106</f>
        <v>0.75382868904066469</v>
      </c>
    </row>
    <row r="107" spans="1:6" x14ac:dyDescent="0.25">
      <c r="A107" s="99" t="s">
        <v>582</v>
      </c>
      <c r="B107" s="49">
        <v>57654984</v>
      </c>
      <c r="C107" s="49">
        <v>38602275</v>
      </c>
      <c r="D107" s="49">
        <v>20210563.408822201</v>
      </c>
      <c r="E107" s="50">
        <f>VLOOKUP($A107,'Data shares'!$C:$FA,154)*100</f>
        <v>67.56</v>
      </c>
      <c r="F107" s="173">
        <f>C107/B107</f>
        <v>0.66953925440340079</v>
      </c>
    </row>
    <row r="108" spans="1:6" x14ac:dyDescent="0.25">
      <c r="A108" s="99" t="s">
        <v>675</v>
      </c>
      <c r="B108" s="49">
        <v>4679418</v>
      </c>
      <c r="C108" s="49">
        <v>6932500</v>
      </c>
      <c r="D108" s="49">
        <v>3526903.2473539999</v>
      </c>
      <c r="E108" s="50">
        <f>VLOOKUP($A108,'Data shares'!$C:$FA,154)*100</f>
        <v>150.35</v>
      </c>
      <c r="F108" s="173">
        <f>C108/B108</f>
        <v>1.481487655088731</v>
      </c>
    </row>
    <row r="109" spans="1:6" x14ac:dyDescent="0.25">
      <c r="A109" s="99" t="s">
        <v>610</v>
      </c>
      <c r="B109" s="49">
        <v>8553821</v>
      </c>
      <c r="C109" s="49">
        <v>3606750</v>
      </c>
      <c r="D109" s="49">
        <v>1456477.0309144999</v>
      </c>
      <c r="E109" s="50"/>
      <c r="F109" s="173">
        <f>C109/B109</f>
        <v>0.42165366799235104</v>
      </c>
    </row>
    <row r="110" spans="1:6" x14ac:dyDescent="0.25">
      <c r="A110" s="99" t="s">
        <v>682</v>
      </c>
      <c r="B110" s="49">
        <v>19924232</v>
      </c>
      <c r="C110" s="49">
        <v>5378000</v>
      </c>
      <c r="D110" s="49">
        <v>1836387.5393300001</v>
      </c>
      <c r="E110" s="50">
        <f>VLOOKUP($A110,'Data shares'!$C:$FA,154)*100</f>
        <v>27.279999999999998</v>
      </c>
      <c r="F110" s="173">
        <f>C110/B110</f>
        <v>0.26992257468192499</v>
      </c>
    </row>
    <row r="111" spans="1:6" x14ac:dyDescent="0.25">
      <c r="A111" s="99" t="s">
        <v>246</v>
      </c>
      <c r="B111" s="49">
        <v>781025350</v>
      </c>
      <c r="C111" s="49">
        <v>288240000</v>
      </c>
      <c r="D111" s="49">
        <v>217056880.35246</v>
      </c>
      <c r="E111" s="50"/>
      <c r="F111" s="173">
        <f>C111/B111</f>
        <v>0.36905332202085372</v>
      </c>
    </row>
    <row r="112" spans="1:6" x14ac:dyDescent="0.25">
      <c r="A112" s="99" t="s">
        <v>577</v>
      </c>
      <c r="B112" s="49">
        <v>24589408</v>
      </c>
      <c r="C112" s="49">
        <v>16598375</v>
      </c>
      <c r="D112" s="49">
        <v>7277319.0669750003</v>
      </c>
      <c r="E112" s="50">
        <f>VLOOKUP($A112,'Data shares'!$C:$FA,154)*100</f>
        <v>68.87</v>
      </c>
      <c r="F112" s="173">
        <f>C112/B112</f>
        <v>0.67502133438918088</v>
      </c>
    </row>
    <row r="113" spans="1:6" x14ac:dyDescent="0.25">
      <c r="A113" s="99" t="s">
        <v>535</v>
      </c>
      <c r="B113" s="49">
        <v>58629477</v>
      </c>
      <c r="C113" s="49">
        <v>33438150</v>
      </c>
      <c r="D113" s="49">
        <v>16942205.040219501</v>
      </c>
      <c r="E113" s="50">
        <f>VLOOKUP($A113,'Data shares'!$C:$FA,154)*100</f>
        <v>58.209999999999994</v>
      </c>
      <c r="F113" s="173">
        <f>C113/B113</f>
        <v>0.5703300065255571</v>
      </c>
    </row>
    <row r="114" spans="1:6" x14ac:dyDescent="0.25">
      <c r="A114" s="99" t="s">
        <v>248</v>
      </c>
      <c r="B114" s="49">
        <v>45183075</v>
      </c>
      <c r="C114" s="49">
        <v>46534000</v>
      </c>
      <c r="D114" s="49">
        <v>30664734.139660001</v>
      </c>
      <c r="E114" s="50">
        <f>VLOOKUP($A114,'Data shares'!$C:$FA,154)*100</f>
        <v>103.64</v>
      </c>
      <c r="F114" s="173">
        <f>C114/B114</f>
        <v>1.0298989167957249</v>
      </c>
    </row>
    <row r="115" spans="1:6" x14ac:dyDescent="0.25">
      <c r="A115" s="99" t="s">
        <v>607</v>
      </c>
      <c r="B115" s="49">
        <v>33206238</v>
      </c>
      <c r="C115" s="49">
        <v>18725700</v>
      </c>
      <c r="D115" s="49">
        <v>8378865.1314200005</v>
      </c>
      <c r="E115" s="50">
        <f>VLOOKUP($A115,'Data shares'!$C:$FA,154)*100</f>
        <v>57.65</v>
      </c>
      <c r="F115" s="173">
        <f>C115/B115</f>
        <v>0.5639211524051595</v>
      </c>
    </row>
    <row r="116" spans="1:6" x14ac:dyDescent="0.25">
      <c r="A116" s="99" t="s">
        <v>588</v>
      </c>
      <c r="B116" s="49">
        <v>42126960</v>
      </c>
      <c r="C116" s="49">
        <v>15111000</v>
      </c>
      <c r="D116" s="49">
        <v>8756315.5315589998</v>
      </c>
      <c r="E116" s="50">
        <f>VLOOKUP($A116,'Data shares'!$C:$FA,154)*100</f>
        <v>36.059999999999995</v>
      </c>
      <c r="F116" s="173">
        <f>C116/B116</f>
        <v>0.35870141116282778</v>
      </c>
    </row>
    <row r="117" spans="1:6" x14ac:dyDescent="0.25">
      <c r="A117" s="99" t="s">
        <v>249</v>
      </c>
      <c r="B117" s="49">
        <v>136109374</v>
      </c>
      <c r="C117" s="49">
        <v>32885650</v>
      </c>
      <c r="D117" s="49">
        <v>15331980.6769535</v>
      </c>
      <c r="E117" s="50">
        <f>VLOOKUP($A117,'Data shares'!$C:$FA,154)*100</f>
        <v>24.6</v>
      </c>
      <c r="F117" s="173">
        <f>C117/B117</f>
        <v>0.24161194070292322</v>
      </c>
    </row>
    <row r="118" spans="1:6" x14ac:dyDescent="0.25">
      <c r="A118" s="99" t="s">
        <v>565</v>
      </c>
      <c r="B118" s="49">
        <v>127100972</v>
      </c>
      <c r="C118" s="49">
        <v>117902250</v>
      </c>
      <c r="D118" s="49">
        <v>46822708.324665003</v>
      </c>
      <c r="E118" s="50">
        <f>VLOOKUP($A118,'Data shares'!$C:$FA,154)*100</f>
        <v>94.83</v>
      </c>
      <c r="F118" s="173">
        <f>C118/B118</f>
        <v>0.92762665890548812</v>
      </c>
    </row>
    <row r="119" spans="1:6" x14ac:dyDescent="0.25">
      <c r="A119" s="99" t="s">
        <v>693</v>
      </c>
      <c r="B119" s="49">
        <v>9672091</v>
      </c>
      <c r="C119" s="49">
        <v>5685000</v>
      </c>
      <c r="D119" s="49">
        <v>3024940.787604</v>
      </c>
      <c r="E119" s="50">
        <f>VLOOKUP($A119,'Data shares'!$C:$FA,154)*100</f>
        <v>59.870000000000005</v>
      </c>
      <c r="F119" s="173">
        <f>C119/B119</f>
        <v>0.58777362619933993</v>
      </c>
    </row>
    <row r="120" spans="1:6" x14ac:dyDescent="0.25">
      <c r="A120" s="99" t="s">
        <v>250</v>
      </c>
      <c r="B120" s="49">
        <v>36381777</v>
      </c>
      <c r="C120" s="49">
        <v>12993100</v>
      </c>
      <c r="D120" s="49">
        <v>7323345.83232</v>
      </c>
      <c r="E120" s="50">
        <f>VLOOKUP($A120,'Data shares'!$C:$FA,154)*100</f>
        <v>36.380000000000003</v>
      </c>
      <c r="F120" s="173">
        <f>C120/B120</f>
        <v>0.35713208840788618</v>
      </c>
    </row>
    <row r="121" spans="1:6" x14ac:dyDescent="0.25">
      <c r="A121" s="99" t="s">
        <v>251</v>
      </c>
      <c r="B121" s="49">
        <v>95452027</v>
      </c>
      <c r="C121" s="49">
        <v>28665200</v>
      </c>
      <c r="D121" s="49">
        <v>18660522.897597998</v>
      </c>
      <c r="E121" s="50">
        <f>VLOOKUP($A121,'Data shares'!$C:$FA,154)*100</f>
        <v>30.31</v>
      </c>
      <c r="F121" s="173">
        <f>C121/B121</f>
        <v>0.30031001856042305</v>
      </c>
    </row>
    <row r="122" spans="1:6" x14ac:dyDescent="0.25">
      <c r="A122" s="99" t="s">
        <v>253</v>
      </c>
      <c r="B122" s="49">
        <v>82205057</v>
      </c>
      <c r="C122" s="49">
        <v>99762000</v>
      </c>
      <c r="D122" s="49">
        <v>47479983.762390003</v>
      </c>
      <c r="E122" s="50">
        <f>VLOOKUP($A122,'Data shares'!$C:$FA,154)*100</f>
        <v>124.37</v>
      </c>
      <c r="F122" s="173">
        <f>C122/B122</f>
        <v>1.2135749750772631</v>
      </c>
    </row>
    <row r="123" spans="1:6" x14ac:dyDescent="0.25">
      <c r="A123" s="99" t="s">
        <v>671</v>
      </c>
      <c r="B123" s="49">
        <v>16919681</v>
      </c>
      <c r="C123" s="49">
        <v>4339575</v>
      </c>
      <c r="D123" s="49">
        <v>2610503.0324235</v>
      </c>
      <c r="E123" s="50">
        <f>VLOOKUP($A123,'Data shares'!$C:$FA,154)*100</f>
        <v>26.009999999999998</v>
      </c>
      <c r="F123" s="173">
        <f>C123/B123</f>
        <v>0.25648089937393026</v>
      </c>
    </row>
    <row r="124" spans="1:6" x14ac:dyDescent="0.25">
      <c r="A124" s="99" t="s">
        <v>254</v>
      </c>
      <c r="B124" s="49">
        <v>79442217</v>
      </c>
      <c r="C124" s="49">
        <v>34212000</v>
      </c>
      <c r="D124" s="49">
        <v>25155440.939123999</v>
      </c>
      <c r="E124" s="50">
        <f>VLOOKUP($A124,'Data shares'!$C:$FA,154)*100</f>
        <v>43.519999999999996</v>
      </c>
      <c r="F124" s="173">
        <f>C124/B124</f>
        <v>0.43065263397671794</v>
      </c>
    </row>
    <row r="125" spans="1:6" x14ac:dyDescent="0.25">
      <c r="A125" s="99" t="s">
        <v>255</v>
      </c>
      <c r="B125" s="49">
        <v>17687048</v>
      </c>
      <c r="C125" s="49">
        <v>6481600</v>
      </c>
      <c r="D125" s="49">
        <v>2935496.8370085</v>
      </c>
      <c r="E125" s="50">
        <f>VLOOKUP($A125,'Data shares'!$C:$FA,154)*100</f>
        <v>37.65</v>
      </c>
      <c r="F125" s="173">
        <f>C125/B125</f>
        <v>0.36646024819969958</v>
      </c>
    </row>
    <row r="126" spans="1:6" x14ac:dyDescent="0.25">
      <c r="A126" s="99" t="s">
        <v>603</v>
      </c>
      <c r="B126" s="49">
        <v>111218809</v>
      </c>
      <c r="C126" s="49">
        <v>18335100</v>
      </c>
      <c r="D126" s="49">
        <v>13411845.5512597</v>
      </c>
      <c r="E126" s="50">
        <f>VLOOKUP($A126,'Data shares'!$C:$FA,154)*100</f>
        <v>16.580000000000002</v>
      </c>
      <c r="F126" s="173">
        <f>C126/B126</f>
        <v>0.16485610810667825</v>
      </c>
    </row>
    <row r="127" spans="1:6" x14ac:dyDescent="0.25">
      <c r="A127" s="99" t="s">
        <v>672</v>
      </c>
      <c r="B127" s="49">
        <v>11364224</v>
      </c>
      <c r="C127" s="49">
        <v>12279000</v>
      </c>
      <c r="D127" s="49">
        <v>4430817.3450499997</v>
      </c>
      <c r="E127" s="50">
        <f>VLOOKUP($A127,'Data shares'!$C:$FA,154)*100</f>
        <v>110.55999999999999</v>
      </c>
      <c r="F127" s="173">
        <f>C127/B127</f>
        <v>1.0804961253843641</v>
      </c>
    </row>
    <row r="128" spans="1:6" x14ac:dyDescent="0.25">
      <c r="A128" s="99" t="s">
        <v>517</v>
      </c>
      <c r="B128" s="49">
        <v>38177110</v>
      </c>
      <c r="C128" s="49">
        <v>26461250</v>
      </c>
      <c r="D128" s="49">
        <v>12999569.1425937</v>
      </c>
      <c r="E128" s="50">
        <f>VLOOKUP($A128,'Data shares'!$C:$FA,154)*100</f>
        <v>71.5</v>
      </c>
      <c r="F128" s="173">
        <f>C128/B128</f>
        <v>0.6931182061711848</v>
      </c>
    </row>
    <row r="129" spans="1:6" x14ac:dyDescent="0.25">
      <c r="A129" s="99" t="s">
        <v>257</v>
      </c>
      <c r="B129" s="49">
        <v>33919851</v>
      </c>
      <c r="C129" s="49">
        <v>11112400</v>
      </c>
      <c r="D129" s="49">
        <v>9279220.7441600002</v>
      </c>
      <c r="E129" s="50">
        <f>VLOOKUP($A129,'Data shares'!$C:$FA,154)*100</f>
        <v>32.940000000000005</v>
      </c>
      <c r="F129" s="173">
        <f>C129/B129</f>
        <v>0.32760757115354072</v>
      </c>
    </row>
    <row r="130" spans="1:6" x14ac:dyDescent="0.25">
      <c r="A130" s="99" t="s">
        <v>559</v>
      </c>
      <c r="B130" s="49">
        <v>606151620</v>
      </c>
      <c r="C130" s="49">
        <v>206025000</v>
      </c>
      <c r="D130" s="49">
        <v>117595561.555564</v>
      </c>
      <c r="E130" s="50">
        <f>VLOOKUP($A130,'Data shares'!$C:$FA,154)*100</f>
        <v>34.630000000000003</v>
      </c>
      <c r="F130" s="173">
        <f>C130/B130</f>
        <v>0.33989020766784389</v>
      </c>
    </row>
    <row r="131" spans="1:6" x14ac:dyDescent="0.25">
      <c r="A131" s="99" t="s">
        <v>487</v>
      </c>
      <c r="B131" s="49">
        <v>17093933</v>
      </c>
      <c r="C131" s="49">
        <v>7683225</v>
      </c>
      <c r="D131" s="49">
        <v>5374441.9177735001</v>
      </c>
      <c r="E131" s="50">
        <f>VLOOKUP($A131,'Data shares'!$C:$FA,154)*100</f>
        <v>45.26</v>
      </c>
      <c r="F131" s="173">
        <f>C131/B131</f>
        <v>0.44947087367196303</v>
      </c>
    </row>
    <row r="132" spans="1:6" x14ac:dyDescent="0.25">
      <c r="A132" s="99" t="s">
        <v>262</v>
      </c>
      <c r="B132" s="49">
        <v>14790848</v>
      </c>
      <c r="C132" s="49">
        <v>9538925</v>
      </c>
      <c r="D132" s="49">
        <v>3686106.3225332499</v>
      </c>
      <c r="E132" s="50"/>
      <c r="F132" s="173">
        <f>C132/B132</f>
        <v>0.64492076451600344</v>
      </c>
    </row>
    <row r="133" spans="1:6" x14ac:dyDescent="0.25">
      <c r="A133" s="99" t="s">
        <v>263</v>
      </c>
      <c r="B133" s="49">
        <v>134225816</v>
      </c>
      <c r="C133" s="49">
        <v>125392500</v>
      </c>
      <c r="D133" s="49">
        <v>50252262.199725002</v>
      </c>
      <c r="E133" s="50">
        <f>VLOOKUP($A133,'Data shares'!$C:$FA,154)*100</f>
        <v>97.7</v>
      </c>
      <c r="F133" s="173">
        <f>C133/B133</f>
        <v>0.93419063289583582</v>
      </c>
    </row>
    <row r="134" spans="1:6" x14ac:dyDescent="0.25">
      <c r="A134" s="99" t="s">
        <v>264</v>
      </c>
      <c r="B134" s="49">
        <v>45110207</v>
      </c>
      <c r="C134" s="49">
        <v>16796625</v>
      </c>
      <c r="D134" s="49">
        <v>11010670.989727501</v>
      </c>
      <c r="E134" s="50">
        <f>VLOOKUP($A134,'Data shares'!$C:$FA,154)*100</f>
        <v>37.450000000000003</v>
      </c>
      <c r="F134" s="173">
        <f>C134/B134</f>
        <v>0.37234644035218017</v>
      </c>
    </row>
    <row r="135" spans="1:6" x14ac:dyDescent="0.25">
      <c r="A135" s="99" t="s">
        <v>550</v>
      </c>
      <c r="B135" s="49">
        <v>154894704</v>
      </c>
      <c r="C135" s="49">
        <v>140244000</v>
      </c>
      <c r="D135" s="49">
        <v>76624308.409154996</v>
      </c>
      <c r="E135" s="50">
        <f>VLOOKUP($A135,'Data shares'!$C:$FA,154)*100</f>
        <v>91.41</v>
      </c>
      <c r="F135" s="173">
        <f>C135/B135</f>
        <v>0.90541507474651939</v>
      </c>
    </row>
    <row r="136" spans="1:6" x14ac:dyDescent="0.25">
      <c r="A136" s="99" t="s">
        <v>265</v>
      </c>
      <c r="B136" s="49">
        <v>71801274</v>
      </c>
      <c r="C136" s="49">
        <v>21727000</v>
      </c>
      <c r="D136" s="49">
        <v>16508456.678055</v>
      </c>
      <c r="E136" s="50">
        <f>VLOOKUP($A136,'Data shares'!$C:$FA,154)*100</f>
        <v>30.459999999999997</v>
      </c>
      <c r="F136" s="173">
        <f>C136/B136</f>
        <v>0.30259908758722026</v>
      </c>
    </row>
    <row r="137" spans="1:6" x14ac:dyDescent="0.25">
      <c r="A137" s="99" t="s">
        <v>585</v>
      </c>
      <c r="B137" s="49">
        <v>491233252</v>
      </c>
      <c r="C137" s="49">
        <v>133792000</v>
      </c>
      <c r="D137" s="49">
        <v>74777546.598848</v>
      </c>
      <c r="E137" s="50">
        <f>VLOOKUP($A137,'Data shares'!$C:$FA,154)*100</f>
        <v>27.589999999999996</v>
      </c>
      <c r="F137" s="173">
        <f>C137/B137</f>
        <v>0.2723594126726584</v>
      </c>
    </row>
    <row r="138" spans="1:6" x14ac:dyDescent="0.25">
      <c r="A138" s="99" t="s">
        <v>267</v>
      </c>
      <c r="B138" s="49">
        <v>517037525</v>
      </c>
      <c r="C138" s="49">
        <v>469287000</v>
      </c>
      <c r="D138" s="49">
        <v>286375698.836707</v>
      </c>
      <c r="E138" s="50"/>
      <c r="F138" s="173">
        <f>C138/B138</f>
        <v>0.90764591989720667</v>
      </c>
    </row>
    <row r="139" spans="1:6" x14ac:dyDescent="0.25">
      <c r="A139" s="99" t="s">
        <v>268</v>
      </c>
      <c r="B139" s="49">
        <v>474131988</v>
      </c>
      <c r="C139" s="49">
        <v>222016500</v>
      </c>
      <c r="D139" s="49">
        <v>119111387.02731</v>
      </c>
      <c r="E139" s="50">
        <f>VLOOKUP($A139,'Data shares'!$C:$FA,154)*100</f>
        <v>48.16</v>
      </c>
      <c r="F139" s="173">
        <f>C139/B139</f>
        <v>0.46825885116192584</v>
      </c>
    </row>
    <row r="140" spans="1:6" x14ac:dyDescent="0.25">
      <c r="A140" s="99" t="s">
        <v>684</v>
      </c>
      <c r="B140" s="49">
        <v>12267678</v>
      </c>
      <c r="C140" s="49">
        <v>3532000</v>
      </c>
      <c r="D140" s="49">
        <v>1862213.7842699999</v>
      </c>
      <c r="E140" s="50">
        <f>VLOOKUP($A140,'Data shares'!$C:$FA,154)*100</f>
        <v>29.84</v>
      </c>
      <c r="F140" s="173">
        <f>C140/B140</f>
        <v>0.28791104559477354</v>
      </c>
    </row>
    <row r="141" spans="1:6" x14ac:dyDescent="0.25">
      <c r="A141" s="99" t="s">
        <v>613</v>
      </c>
      <c r="B141" s="49">
        <v>205483040</v>
      </c>
      <c r="C141" s="49">
        <v>56518750</v>
      </c>
      <c r="D141" s="49">
        <v>42903525.214249998</v>
      </c>
      <c r="E141" s="50">
        <f>VLOOKUP($A141,'Data shares'!$C:$FA,154)*100</f>
        <v>27.77</v>
      </c>
      <c r="F141" s="173">
        <f>C141/B141</f>
        <v>0.27505311387256098</v>
      </c>
    </row>
    <row r="142" spans="1:6" x14ac:dyDescent="0.25">
      <c r="A142" s="99" t="s">
        <v>528</v>
      </c>
      <c r="B142" s="49">
        <v>17614093</v>
      </c>
      <c r="C142" s="49">
        <v>9795800</v>
      </c>
      <c r="D142" s="49">
        <v>6480248.8528960003</v>
      </c>
      <c r="E142" s="50">
        <f>VLOOKUP($A142,'Data shares'!$C:$FA,154)*100</f>
        <v>56.05</v>
      </c>
      <c r="F142" s="173">
        <f>C142/B142</f>
        <v>0.55613422729174866</v>
      </c>
    </row>
    <row r="143" spans="1:6" x14ac:dyDescent="0.25">
      <c r="A143" s="99" t="s">
        <v>518</v>
      </c>
      <c r="B143" s="49">
        <v>3582756</v>
      </c>
      <c r="C143" s="49">
        <v>2420325</v>
      </c>
      <c r="D143" s="49">
        <v>1453966.297857</v>
      </c>
      <c r="E143" s="50">
        <f>VLOOKUP($A143,'Data shares'!$C:$FA,154)*100</f>
        <v>68.53</v>
      </c>
      <c r="F143" s="173">
        <f>C143/B143</f>
        <v>0.6755483767245104</v>
      </c>
    </row>
    <row r="144" spans="1:6" x14ac:dyDescent="0.25">
      <c r="A144" s="99" t="s">
        <v>587</v>
      </c>
      <c r="B144" s="49">
        <v>102006452</v>
      </c>
      <c r="C144" s="49">
        <v>54335400</v>
      </c>
      <c r="D144" s="49">
        <v>22960166.098561998</v>
      </c>
      <c r="E144" s="50">
        <f>VLOOKUP($A144,'Data shares'!$C:$FA,154)*100</f>
        <v>53.959999999999994</v>
      </c>
      <c r="F144" s="173">
        <f>C144/B144</f>
        <v>0.53266630624502065</v>
      </c>
    </row>
    <row r="145" spans="1:6" x14ac:dyDescent="0.25">
      <c r="A145" s="99" t="s">
        <v>269</v>
      </c>
      <c r="B145" s="49">
        <v>517141211</v>
      </c>
      <c r="C145" s="49">
        <v>255773250</v>
      </c>
      <c r="D145" s="49">
        <v>126040074.146662</v>
      </c>
      <c r="E145" s="50">
        <f>VLOOKUP($A145,'Data shares'!$C:$FA,154)*100</f>
        <v>49.93</v>
      </c>
      <c r="F145" s="173">
        <f>C145/B145</f>
        <v>0.49459073181464164</v>
      </c>
    </row>
    <row r="146" spans="1:6" x14ac:dyDescent="0.25">
      <c r="A146" s="99" t="s">
        <v>270</v>
      </c>
      <c r="B146" s="49">
        <v>955549</v>
      </c>
      <c r="C146" s="49">
        <v>419010</v>
      </c>
      <c r="D146" s="49">
        <v>220237.5550206</v>
      </c>
      <c r="E146" s="50">
        <f>VLOOKUP($A146,'Data shares'!$C:$FA,154)*100</f>
        <v>44.29</v>
      </c>
      <c r="F146" s="173">
        <f>C146/B146</f>
        <v>0.43850184553591703</v>
      </c>
    </row>
    <row r="147" spans="1:6" x14ac:dyDescent="0.25">
      <c r="A147" s="99" t="s">
        <v>665</v>
      </c>
      <c r="B147" s="49">
        <v>50886533</v>
      </c>
      <c r="C147" s="49">
        <v>43875000</v>
      </c>
      <c r="D147" s="49">
        <v>20025025.926498</v>
      </c>
      <c r="E147" s="50">
        <f>VLOOKUP($A147,'Data shares'!$C:$FA,154)*100</f>
        <v>86.460000000000008</v>
      </c>
      <c r="F147" s="173">
        <f>C147/B147</f>
        <v>0.86221240499917728</v>
      </c>
    </row>
    <row r="148" spans="1:6" x14ac:dyDescent="0.25">
      <c r="A148" s="99" t="s">
        <v>575</v>
      </c>
      <c r="B148" s="49">
        <v>95799519</v>
      </c>
      <c r="C148" s="49">
        <v>36147775</v>
      </c>
      <c r="D148" s="49">
        <v>21306660.535090499</v>
      </c>
      <c r="E148" s="50">
        <f>VLOOKUP($A148,'Data shares'!$C:$FA,154)*100</f>
        <v>38.229999999999997</v>
      </c>
      <c r="F148" s="173">
        <f>C148/B148</f>
        <v>0.37732731205049164</v>
      </c>
    </row>
    <row r="149" spans="1:6" x14ac:dyDescent="0.25">
      <c r="A149" s="99" t="s">
        <v>529</v>
      </c>
      <c r="B149" s="49">
        <v>15732422</v>
      </c>
      <c r="C149" s="49">
        <v>7198400</v>
      </c>
      <c r="D149" s="49">
        <v>3963963.776788</v>
      </c>
      <c r="E149" s="50"/>
      <c r="F149" s="173">
        <f>C149/B149</f>
        <v>0.45755192684254209</v>
      </c>
    </row>
    <row r="150" spans="1:6" x14ac:dyDescent="0.25">
      <c r="A150" s="99" t="s">
        <v>272</v>
      </c>
      <c r="B150" s="49">
        <v>108255733</v>
      </c>
      <c r="C150" s="49">
        <v>63811500</v>
      </c>
      <c r="D150" s="49">
        <v>28371948.538277</v>
      </c>
      <c r="E150" s="50">
        <f>VLOOKUP($A150,'Data shares'!$C:$FA,154)*100</f>
        <v>60.78</v>
      </c>
      <c r="F150" s="173">
        <f>C150/B150</f>
        <v>0.5894514611988263</v>
      </c>
    </row>
    <row r="151" spans="1:6" x14ac:dyDescent="0.25">
      <c r="A151" s="99" t="s">
        <v>273</v>
      </c>
      <c r="B151" s="49">
        <v>217835555</v>
      </c>
      <c r="C151" s="49">
        <v>119437500</v>
      </c>
      <c r="D151" s="49">
        <v>58951002.103643</v>
      </c>
      <c r="E151" s="50">
        <f>VLOOKUP($A151,'Data shares'!$C:$FA,154)*100</f>
        <v>56.010000000000005</v>
      </c>
      <c r="F151" s="173">
        <f>C151/B151</f>
        <v>0.54829203616461963</v>
      </c>
    </row>
    <row r="152" spans="1:6" x14ac:dyDescent="0.25">
      <c r="A152" s="99" t="s">
        <v>679</v>
      </c>
      <c r="B152" s="49">
        <v>24030912</v>
      </c>
      <c r="C152" s="49">
        <v>27442650</v>
      </c>
      <c r="D152" s="49">
        <v>12393016.5312305</v>
      </c>
      <c r="E152" s="50">
        <f>VLOOKUP($A152,'Data shares'!$C:$FA,154)*100</f>
        <v>116.03000000000002</v>
      </c>
      <c r="F152" s="173">
        <f>C152/B152</f>
        <v>1.1419728889190723</v>
      </c>
    </row>
    <row r="153" spans="1:6" x14ac:dyDescent="0.25">
      <c r="A153" s="99" t="s">
        <v>645</v>
      </c>
      <c r="B153" s="49">
        <v>19533471</v>
      </c>
      <c r="C153" s="49">
        <v>5941600</v>
      </c>
      <c r="D153" s="49">
        <v>3946719.484288</v>
      </c>
      <c r="E153" s="50">
        <f>VLOOKUP($A153,'Data shares'!$C:$FA,154)*100</f>
        <v>30.59</v>
      </c>
      <c r="F153" s="173">
        <f>C153/B153</f>
        <v>0.30417533064144103</v>
      </c>
    </row>
    <row r="154" spans="1:6" x14ac:dyDescent="0.25">
      <c r="A154" s="99" t="s">
        <v>274</v>
      </c>
      <c r="B154" s="49">
        <v>31214205</v>
      </c>
      <c r="C154" s="49">
        <v>10803500</v>
      </c>
      <c r="D154" s="49">
        <v>7954838.6865400001</v>
      </c>
      <c r="E154" s="50">
        <f>VLOOKUP($A154,'Data shares'!$C:$FA,154)*100</f>
        <v>34.82</v>
      </c>
      <c r="F154" s="173">
        <f>C154/B154</f>
        <v>0.34610844645891192</v>
      </c>
    </row>
    <row r="155" spans="1:6" x14ac:dyDescent="0.25">
      <c r="A155" s="99" t="s">
        <v>483</v>
      </c>
      <c r="B155" s="49">
        <v>10712372</v>
      </c>
      <c r="C155" s="49">
        <v>4566450</v>
      </c>
      <c r="D155" s="49">
        <v>2829450.5779855</v>
      </c>
      <c r="E155" s="50">
        <f>VLOOKUP($A155,'Data shares'!$C:$FA,154)*100</f>
        <v>43.04</v>
      </c>
      <c r="F155" s="173">
        <f>C155/B155</f>
        <v>0.42627813895932665</v>
      </c>
    </row>
    <row r="156" spans="1:6" x14ac:dyDescent="0.25">
      <c r="A156" s="99" t="s">
        <v>275</v>
      </c>
      <c r="B156" s="49">
        <v>515822637</v>
      </c>
      <c r="C156" s="49">
        <v>471576000</v>
      </c>
      <c r="D156" s="49">
        <v>237444211.85168001</v>
      </c>
      <c r="E156" s="50">
        <f>VLOOKUP($A156,'Data shares'!$C:$FA,154)*100</f>
        <v>92.7</v>
      </c>
      <c r="F156" s="173">
        <f>C156/B156</f>
        <v>0.91422121902726805</v>
      </c>
    </row>
    <row r="157" spans="1:6" x14ac:dyDescent="0.25">
      <c r="A157" s="99" t="s">
        <v>669</v>
      </c>
      <c r="B157" s="49">
        <v>28118603</v>
      </c>
      <c r="C157" s="49">
        <v>18328050</v>
      </c>
      <c r="D157" s="49">
        <v>12815702.705273001</v>
      </c>
      <c r="E157" s="50">
        <f>VLOOKUP($A157,'Data shares'!$C:$FA,154)*100</f>
        <v>65.81</v>
      </c>
      <c r="F157" s="173">
        <f>C157/B157</f>
        <v>0.6518122539729303</v>
      </c>
    </row>
    <row r="158" spans="1:6" x14ac:dyDescent="0.25">
      <c r="A158" s="99" t="s">
        <v>573</v>
      </c>
      <c r="B158" s="49">
        <v>60642005</v>
      </c>
      <c r="C158" s="49">
        <v>11696300</v>
      </c>
      <c r="D158" s="49">
        <v>7239236.7375475001</v>
      </c>
      <c r="E158" s="50">
        <f>VLOOKUP($A158,'Data shares'!$C:$FA,154)*100</f>
        <v>19.54</v>
      </c>
      <c r="F158" s="173">
        <f>C158/B158</f>
        <v>0.19287455947408072</v>
      </c>
    </row>
    <row r="159" spans="1:6" x14ac:dyDescent="0.25">
      <c r="A159" s="99" t="s">
        <v>519</v>
      </c>
      <c r="B159" s="49">
        <v>8688405</v>
      </c>
      <c r="C159" s="49">
        <v>5351500</v>
      </c>
      <c r="D159" s="49">
        <v>2186894.9226874998</v>
      </c>
      <c r="E159" s="50">
        <f>VLOOKUP($A159,'Data shares'!$C:$FA,154)*100</f>
        <v>63.160000000000004</v>
      </c>
      <c r="F159" s="173">
        <f>C159/B159</f>
        <v>0.61593583632438864</v>
      </c>
    </row>
    <row r="160" spans="1:6" x14ac:dyDescent="0.25">
      <c r="A160" s="99" t="s">
        <v>276</v>
      </c>
      <c r="B160" s="49">
        <v>678857930</v>
      </c>
      <c r="C160" s="49">
        <v>136009600</v>
      </c>
      <c r="D160" s="49">
        <v>86748879.429187</v>
      </c>
      <c r="E160" s="50">
        <f>VLOOKUP($A160,'Data shares'!$C:$FA,154)*100</f>
        <v>20.399999999999999</v>
      </c>
      <c r="F160" s="173">
        <f>C160/B160</f>
        <v>0.20035060944194907</v>
      </c>
    </row>
    <row r="161" spans="1:6" x14ac:dyDescent="0.25">
      <c r="A161" s="99" t="s">
        <v>686</v>
      </c>
      <c r="B161" s="49">
        <v>1917916</v>
      </c>
      <c r="C161" s="49">
        <v>683650</v>
      </c>
      <c r="D161" s="49">
        <v>312165.96321449999</v>
      </c>
      <c r="E161" s="50">
        <f>VLOOKUP($A161,'Data shares'!$C:$FA,154)*100</f>
        <v>36.78</v>
      </c>
      <c r="F161" s="173">
        <f>C161/B161</f>
        <v>0.35645461010805479</v>
      </c>
    </row>
    <row r="162" spans="1:6" x14ac:dyDescent="0.25">
      <c r="A162" s="99" t="s">
        <v>677</v>
      </c>
      <c r="B162" s="49">
        <v>107697729</v>
      </c>
      <c r="C162" s="49">
        <v>32040750</v>
      </c>
      <c r="D162" s="49">
        <v>12773272.207079999</v>
      </c>
      <c r="E162" s="50">
        <f>VLOOKUP($A162,'Data shares'!$C:$FA,154)*100</f>
        <v>30.45</v>
      </c>
      <c r="F162" s="173">
        <f>C162/B162</f>
        <v>0.29750627332169649</v>
      </c>
    </row>
    <row r="163" spans="1:6" x14ac:dyDescent="0.25">
      <c r="A163" s="99" t="s">
        <v>689</v>
      </c>
      <c r="B163" s="49">
        <v>23923093</v>
      </c>
      <c r="C163" s="49">
        <v>14508975</v>
      </c>
      <c r="D163" s="49">
        <v>4930896.7446090002</v>
      </c>
      <c r="E163" s="50">
        <f>VLOOKUP($A163,'Data shares'!$C:$FA,154)*100</f>
        <v>62.28</v>
      </c>
      <c r="F163" s="173">
        <f>C163/B163</f>
        <v>0.60648407795764536</v>
      </c>
    </row>
    <row r="164" spans="1:6" x14ac:dyDescent="0.25">
      <c r="A164" s="99" t="s">
        <v>605</v>
      </c>
      <c r="B164" s="49">
        <v>22697169</v>
      </c>
      <c r="C164" s="49">
        <v>8151300</v>
      </c>
      <c r="D164" s="49">
        <v>5637495.8256480005</v>
      </c>
      <c r="E164" s="50">
        <f>VLOOKUP($A164,'Data shares'!$C:$FA,154)*100</f>
        <v>36.549999999999997</v>
      </c>
      <c r="F164" s="173">
        <f>C164/B164</f>
        <v>0.35913289450327485</v>
      </c>
    </row>
    <row r="165" spans="1:6" x14ac:dyDescent="0.25">
      <c r="A165" s="99" t="s">
        <v>279</v>
      </c>
      <c r="B165" s="49">
        <v>91953095</v>
      </c>
      <c r="C165" s="49">
        <v>122015250</v>
      </c>
      <c r="D165" s="49">
        <v>55152896.9800217</v>
      </c>
      <c r="E165" s="50">
        <f>VLOOKUP($A165,'Data shares'!$C:$FA,154)*100</f>
        <v>133.6</v>
      </c>
      <c r="F165" s="173">
        <f>C165/B165</f>
        <v>1.326929234953973</v>
      </c>
    </row>
    <row r="166" spans="1:6" x14ac:dyDescent="0.25">
      <c r="A166" s="99" t="s">
        <v>280</v>
      </c>
      <c r="B166" s="49">
        <v>187084550</v>
      </c>
      <c r="C166" s="49">
        <v>134786400</v>
      </c>
      <c r="D166" s="49">
        <v>69936560.964522004</v>
      </c>
      <c r="E166" s="50">
        <f>VLOOKUP($A166,'Data shares'!$C:$FA,154)*100</f>
        <v>73.83</v>
      </c>
      <c r="F166" s="173">
        <f>C166/B166</f>
        <v>0.72045714090233537</v>
      </c>
    </row>
    <row r="167" spans="1:6" x14ac:dyDescent="0.25">
      <c r="A167" s="99" t="s">
        <v>281</v>
      </c>
      <c r="B167" s="49">
        <v>664266681</v>
      </c>
      <c r="C167" s="49">
        <v>220716500</v>
      </c>
      <c r="D167" s="49">
        <v>117433735.829955</v>
      </c>
      <c r="E167" s="50">
        <f>VLOOKUP($A167,'Data shares'!$C:$FA,154)*100</f>
        <v>34.020000000000003</v>
      </c>
      <c r="F167" s="173">
        <f>C167/B167</f>
        <v>0.33227091816155685</v>
      </c>
    </row>
    <row r="168" spans="1:6" x14ac:dyDescent="0.25">
      <c r="A168" s="99" t="s">
        <v>674</v>
      </c>
      <c r="B168" s="49">
        <v>84941460</v>
      </c>
      <c r="C168" s="49">
        <v>108758425</v>
      </c>
      <c r="D168" s="49">
        <v>43219174.882284001</v>
      </c>
      <c r="E168" s="50">
        <f>VLOOKUP($A168,'Data shares'!$C:$FA,154)*100</f>
        <v>131.69</v>
      </c>
      <c r="F168" s="173">
        <f>C168/B168</f>
        <v>1.2803926963346286</v>
      </c>
    </row>
    <row r="169" spans="1:6" x14ac:dyDescent="0.25">
      <c r="A169" s="99" t="s">
        <v>282</v>
      </c>
      <c r="B169" s="49">
        <v>216861410</v>
      </c>
      <c r="C169" s="49">
        <v>242957100</v>
      </c>
      <c r="D169" s="49">
        <v>173095201.61982301</v>
      </c>
      <c r="E169" s="50">
        <f>VLOOKUP($A169,'Data shares'!$C:$FA,154)*100</f>
        <v>112.72</v>
      </c>
      <c r="F169" s="173">
        <f>C169/B169</f>
        <v>1.1203334885630412</v>
      </c>
    </row>
    <row r="170" spans="1:6" x14ac:dyDescent="0.25">
      <c r="A170" s="99" t="s">
        <v>685</v>
      </c>
      <c r="B170" s="49">
        <v>122326971</v>
      </c>
      <c r="C170" s="49">
        <v>140180000</v>
      </c>
      <c r="D170" s="49">
        <v>92675824.620609</v>
      </c>
      <c r="E170" s="50">
        <f>VLOOKUP($A170,'Data shares'!$C:$FA,154)*100</f>
        <v>117.31</v>
      </c>
      <c r="F170" s="173">
        <f>C170/B170</f>
        <v>1.1459451570986745</v>
      </c>
    </row>
    <row r="171" spans="1:6" x14ac:dyDescent="0.25">
      <c r="A171" s="99" t="s">
        <v>536</v>
      </c>
      <c r="B171" s="49">
        <v>44836888</v>
      </c>
      <c r="C171" s="49">
        <v>39249600</v>
      </c>
      <c r="D171" s="49">
        <v>21668823.858231999</v>
      </c>
      <c r="E171" s="50">
        <f>VLOOKUP($A171,'Data shares'!$C:$FA,154)*100</f>
        <v>88.490000000000009</v>
      </c>
      <c r="F171" s="173">
        <f>C171/B171</f>
        <v>0.87538635598438497</v>
      </c>
    </row>
    <row r="172" spans="1:6" x14ac:dyDescent="0.25">
      <c r="A172" s="99" t="s">
        <v>462</v>
      </c>
      <c r="B172" s="49">
        <v>44756800</v>
      </c>
      <c r="C172" s="49">
        <v>14242125</v>
      </c>
      <c r="D172" s="49">
        <v>9001599.2768212501</v>
      </c>
      <c r="E172" s="50">
        <f>VLOOKUP($A172,'Data shares'!$C:$FA,154)*100</f>
        <v>32.450000000000003</v>
      </c>
      <c r="F172" s="173">
        <f>C172/B172</f>
        <v>0.3182114226218139</v>
      </c>
    </row>
    <row r="173" spans="1:6" x14ac:dyDescent="0.25">
      <c r="A173" s="99" t="s">
        <v>283</v>
      </c>
      <c r="B173" s="49">
        <v>436949195</v>
      </c>
      <c r="C173" s="49">
        <v>162501750</v>
      </c>
      <c r="D173" s="49">
        <v>74718258.949402496</v>
      </c>
      <c r="E173" s="50">
        <f>VLOOKUP($A173,'Data shares'!$C:$FA,154)*100</f>
        <v>38.22</v>
      </c>
      <c r="F173" s="173">
        <f>C173/B173</f>
        <v>0.37190078814540439</v>
      </c>
    </row>
    <row r="174" spans="1:6" x14ac:dyDescent="0.25">
      <c r="A174" s="99" t="s">
        <v>284</v>
      </c>
      <c r="B174" s="49">
        <v>1568093</v>
      </c>
      <c r="C174" s="49">
        <v>549375</v>
      </c>
      <c r="D174" s="49">
        <v>322489.65541800001</v>
      </c>
      <c r="E174" s="50">
        <f>VLOOKUP($A174,'Data shares'!$C:$FA,154)*100</f>
        <v>35.659999999999997</v>
      </c>
      <c r="F174" s="173">
        <f>C174/B174</f>
        <v>0.35034592973758572</v>
      </c>
    </row>
    <row r="175" spans="1:6" x14ac:dyDescent="0.25">
      <c r="A175" s="99" t="s">
        <v>562</v>
      </c>
      <c r="B175" s="49">
        <v>210513975</v>
      </c>
      <c r="C175" s="49">
        <v>62086200</v>
      </c>
      <c r="D175" s="49">
        <v>38511790.183985204</v>
      </c>
      <c r="E175" s="50">
        <f>VLOOKUP($A175,'Data shares'!$C:$FA,154)*100</f>
        <v>30.12</v>
      </c>
      <c r="F175" s="173">
        <f>C175/B175</f>
        <v>0.29492673823673704</v>
      </c>
    </row>
    <row r="176" spans="1:6" x14ac:dyDescent="0.25">
      <c r="A176" s="99" t="s">
        <v>285</v>
      </c>
      <c r="B176" s="49">
        <v>13354588</v>
      </c>
      <c r="C176" s="49">
        <v>4791675</v>
      </c>
      <c r="D176" s="49">
        <v>2473675.6691884999</v>
      </c>
      <c r="E176" s="50">
        <f>VLOOKUP($A176,'Data shares'!$C:$FA,154)*100</f>
        <v>36.630000000000003</v>
      </c>
      <c r="F176" s="173">
        <f>C176/B176</f>
        <v>0.35880365609182402</v>
      </c>
    </row>
    <row r="177" spans="1:6" x14ac:dyDescent="0.25">
      <c r="A177" s="99" t="s">
        <v>646</v>
      </c>
      <c r="B177" s="49">
        <v>3644817</v>
      </c>
      <c r="C177" s="49">
        <v>1357800</v>
      </c>
      <c r="D177" s="49">
        <v>665460.81484350003</v>
      </c>
      <c r="E177" s="50">
        <f>VLOOKUP($A177,'Data shares'!$C:$FA,154)*100</f>
        <v>38.04</v>
      </c>
      <c r="F177" s="173">
        <f>C177/B177</f>
        <v>0.3725289911674578</v>
      </c>
    </row>
    <row r="178" spans="1:6" x14ac:dyDescent="0.25">
      <c r="A178" s="99" t="s">
        <v>614</v>
      </c>
      <c r="B178" s="49">
        <v>67126548</v>
      </c>
      <c r="C178" s="49">
        <v>20559175</v>
      </c>
      <c r="D178" s="49">
        <v>12001670.6000135</v>
      </c>
      <c r="E178" s="50">
        <f>VLOOKUP($A178,'Data shares'!$C:$FA,154)*100</f>
        <v>31.11</v>
      </c>
      <c r="F178" s="173">
        <f>C178/B178</f>
        <v>0.30627487354183625</v>
      </c>
    </row>
    <row r="179" spans="1:6" x14ac:dyDescent="0.25">
      <c r="A179" s="99" t="s">
        <v>286</v>
      </c>
      <c r="B179" s="49">
        <v>18529108</v>
      </c>
      <c r="C179" s="49">
        <v>6338000</v>
      </c>
      <c r="D179" s="49">
        <v>3314564.1028800001</v>
      </c>
      <c r="E179" s="50">
        <f>VLOOKUP($A179,'Data shares'!$C:$FA,154)*100</f>
        <v>35.39</v>
      </c>
      <c r="F179" s="173">
        <f>C179/B179</f>
        <v>0.34205640120398673</v>
      </c>
    </row>
    <row r="180" spans="1:6" x14ac:dyDescent="0.25">
      <c r="A180" s="99" t="s">
        <v>288</v>
      </c>
      <c r="B180" s="49">
        <v>109220043</v>
      </c>
      <c r="C180" s="49">
        <v>43058400</v>
      </c>
      <c r="D180" s="49">
        <v>23720181.769525498</v>
      </c>
      <c r="E180" s="50">
        <f>VLOOKUP($A180,'Data shares'!$C:$FA,154)*100</f>
        <v>40.06</v>
      </c>
      <c r="F180" s="173">
        <f>C180/B180</f>
        <v>0.39423533279509881</v>
      </c>
    </row>
    <row r="181" spans="1:6" x14ac:dyDescent="0.25">
      <c r="A181" s="99" t="s">
        <v>574</v>
      </c>
      <c r="B181" s="49">
        <v>9736357</v>
      </c>
      <c r="C181" s="49">
        <v>2762200</v>
      </c>
      <c r="D181" s="49">
        <v>1689731.4183469999</v>
      </c>
      <c r="E181" s="50">
        <f>VLOOKUP($A181,'Data shares'!$C:$FA,154)*100</f>
        <v>28.76</v>
      </c>
      <c r="F181" s="173">
        <f>C181/B181</f>
        <v>0.2836995397765304</v>
      </c>
    </row>
    <row r="182" spans="1:6" x14ac:dyDescent="0.25">
      <c r="A182" s="99" t="s">
        <v>683</v>
      </c>
      <c r="B182" s="49">
        <v>1814982173</v>
      </c>
      <c r="C182" s="49">
        <v>587942650</v>
      </c>
      <c r="D182" s="49">
        <v>247731850.378382</v>
      </c>
      <c r="E182" s="50">
        <f>VLOOKUP($A182,'Data shares'!$C:$FA,154)*100</f>
        <v>33.47</v>
      </c>
      <c r="F182" s="173">
        <f>C182/B182</f>
        <v>0.32393852608931384</v>
      </c>
    </row>
    <row r="183" spans="1:6" x14ac:dyDescent="0.25">
      <c r="A183" s="99" t="s">
        <v>692</v>
      </c>
      <c r="B183" s="49">
        <v>375529891</v>
      </c>
      <c r="C183" s="49">
        <v>69579900</v>
      </c>
      <c r="D183" s="49">
        <v>45256029.317460001</v>
      </c>
      <c r="E183" s="50">
        <f>VLOOKUP($A183,'Data shares'!$C:$FA,154)*100</f>
        <v>19.05</v>
      </c>
      <c r="F183" s="173">
        <f>C183/B183</f>
        <v>0.18528458497595335</v>
      </c>
    </row>
    <row r="184" spans="1:6" x14ac:dyDescent="0.25">
      <c r="A184" s="99" t="s">
        <v>520</v>
      </c>
      <c r="B184" s="49">
        <v>24733183</v>
      </c>
      <c r="C184" s="49">
        <v>16904000</v>
      </c>
      <c r="D184" s="49">
        <v>8407357.1037099995</v>
      </c>
      <c r="E184" s="50">
        <f>VLOOKUP($A184,'Data shares'!$C:$FA,154)*100</f>
        <v>69.17</v>
      </c>
      <c r="F184" s="173">
        <f>C184/B184</f>
        <v>0.6834542889202736</v>
      </c>
    </row>
    <row r="185" spans="1:6" x14ac:dyDescent="0.25">
      <c r="A185" s="99" t="s">
        <v>291</v>
      </c>
      <c r="B185" s="49">
        <v>65472326</v>
      </c>
      <c r="C185" s="49">
        <v>18018550</v>
      </c>
      <c r="D185" s="49">
        <v>13069699.144083999</v>
      </c>
      <c r="E185" s="50">
        <f>VLOOKUP($A185,'Data shares'!$C:$FA,154)*100</f>
        <v>27.73</v>
      </c>
      <c r="F185" s="173">
        <f>C185/B185</f>
        <v>0.27520864311434423</v>
      </c>
    </row>
    <row r="186" spans="1:6" x14ac:dyDescent="0.25">
      <c r="A186" s="99" t="s">
        <v>604</v>
      </c>
      <c r="B186" s="49">
        <v>5241546</v>
      </c>
      <c r="C186" s="49">
        <v>4592400</v>
      </c>
      <c r="D186" s="49">
        <v>1423426.267516</v>
      </c>
      <c r="E186" s="50">
        <f>VLOOKUP($A186,'Data shares'!$C:$FA,154)*100</f>
        <v>88.81</v>
      </c>
      <c r="F186" s="173">
        <f>C186/B186</f>
        <v>0.8761537149535652</v>
      </c>
    </row>
    <row r="187" spans="1:6" x14ac:dyDescent="0.25">
      <c r="A187" s="99" t="s">
        <v>293</v>
      </c>
      <c r="B187" s="49">
        <v>202215001</v>
      </c>
      <c r="C187" s="49">
        <v>113108700</v>
      </c>
      <c r="D187" s="49">
        <v>55556856.183137499</v>
      </c>
      <c r="E187" s="50"/>
      <c r="F187" s="173">
        <f>C187/B187</f>
        <v>0.55934871023737753</v>
      </c>
    </row>
    <row r="188" spans="1:6" x14ac:dyDescent="0.25">
      <c r="A188" s="99" t="s">
        <v>294</v>
      </c>
      <c r="B188" s="49">
        <v>872935214</v>
      </c>
      <c r="C188" s="49">
        <v>435589000</v>
      </c>
      <c r="D188" s="49">
        <v>202055037.17772999</v>
      </c>
      <c r="E188" s="50">
        <f>VLOOKUP($A188,'Data shares'!$C:$FA,154)*100</f>
        <v>51.38</v>
      </c>
      <c r="F188" s="173">
        <f>C188/B188</f>
        <v>0.4989935026266451</v>
      </c>
    </row>
    <row r="189" spans="1:6" x14ac:dyDescent="0.25">
      <c r="A189" s="99" t="s">
        <v>663</v>
      </c>
      <c r="B189" s="49">
        <v>25116370</v>
      </c>
      <c r="C189" s="49">
        <v>17846400</v>
      </c>
      <c r="D189" s="49">
        <v>9096222.5541600008</v>
      </c>
      <c r="E189" s="50">
        <f>VLOOKUP($A189,'Data shares'!$C:$FA,154)*100</f>
        <v>72.070000000000007</v>
      </c>
      <c r="F189" s="173">
        <f>C189/B189</f>
        <v>0.710548538662235</v>
      </c>
    </row>
    <row r="190" spans="1:6" x14ac:dyDescent="0.25">
      <c r="A190" s="99" t="s">
        <v>295</v>
      </c>
      <c r="B190" s="49">
        <v>126444612</v>
      </c>
      <c r="C190" s="49">
        <v>56566125</v>
      </c>
      <c r="D190" s="49">
        <v>27585527.5023982</v>
      </c>
      <c r="E190" s="50">
        <f>VLOOKUP($A190,'Data shares'!$C:$FA,154)*100</f>
        <v>47.089999999999996</v>
      </c>
      <c r="F190" s="173">
        <f>C190/B190</f>
        <v>0.44735891949274992</v>
      </c>
    </row>
    <row r="191" spans="1:6" x14ac:dyDescent="0.25">
      <c r="A191" s="99" t="s">
        <v>296</v>
      </c>
      <c r="B191" s="49">
        <v>80031540</v>
      </c>
      <c r="C191" s="49">
        <v>33522600</v>
      </c>
      <c r="D191" s="49">
        <v>18189570.599892002</v>
      </c>
      <c r="E191" s="50">
        <f>VLOOKUP($A191,'Data shares'!$C:$FA,154)*100</f>
        <v>42.49</v>
      </c>
      <c r="F191" s="173">
        <f>C191/B191</f>
        <v>0.41886736154271181</v>
      </c>
    </row>
    <row r="192" spans="1:6" x14ac:dyDescent="0.25">
      <c r="A192" s="99" t="s">
        <v>595</v>
      </c>
      <c r="B192" s="49">
        <v>15879795</v>
      </c>
      <c r="C192" s="49">
        <v>4190000</v>
      </c>
      <c r="D192" s="49">
        <v>2997716.6709480002</v>
      </c>
      <c r="E192" s="50">
        <f>VLOOKUP($A192,'Data shares'!$C:$FA,154)*100</f>
        <v>26.529999999999998</v>
      </c>
      <c r="F192" s="173">
        <f>C192/B192</f>
        <v>0.26385731050054489</v>
      </c>
    </row>
    <row r="193" spans="1:6" x14ac:dyDescent="0.25">
      <c r="A193" s="99" t="s">
        <v>297</v>
      </c>
      <c r="B193" s="49">
        <v>45680146</v>
      </c>
      <c r="C193" s="49">
        <v>14021525</v>
      </c>
      <c r="D193" s="49">
        <v>9715137.1362884995</v>
      </c>
      <c r="E193" s="50"/>
      <c r="F193" s="173">
        <f>C193/B193</f>
        <v>0.30695009162186127</v>
      </c>
    </row>
    <row r="194" spans="1:6" x14ac:dyDescent="0.25">
      <c r="A194" s="99" t="s">
        <v>688</v>
      </c>
      <c r="B194" s="49">
        <v>317235726</v>
      </c>
      <c r="C194" s="49">
        <v>147975200</v>
      </c>
      <c r="D194" s="49">
        <v>70579434.725216001</v>
      </c>
      <c r="E194" s="50">
        <f>VLOOKUP($A194,'Data shares'!$C:$FA,154)*100</f>
        <v>47.78</v>
      </c>
      <c r="F194" s="173">
        <f>C194/B194</f>
        <v>0.46645187749125078</v>
      </c>
    </row>
    <row r="195" spans="1:6" x14ac:dyDescent="0.25">
      <c r="A195" s="99" t="s">
        <v>298</v>
      </c>
      <c r="B195" s="49">
        <v>10726004</v>
      </c>
      <c r="C195" s="49">
        <v>4183000</v>
      </c>
      <c r="D195" s="49">
        <v>2745222.5253975</v>
      </c>
      <c r="E195" s="50">
        <f>VLOOKUP($A195,'Data shares'!$C:$FA,154)*100</f>
        <v>39.700000000000003</v>
      </c>
      <c r="F195" s="173">
        <f>C195/B195</f>
        <v>0.38998680216789028</v>
      </c>
    </row>
    <row r="196" spans="1:6" x14ac:dyDescent="0.25">
      <c r="A196" s="99" t="s">
        <v>299</v>
      </c>
      <c r="B196" s="49">
        <v>24646022</v>
      </c>
      <c r="C196" s="49">
        <v>6240275</v>
      </c>
      <c r="D196" s="49">
        <v>3560864.9447105001</v>
      </c>
      <c r="E196" s="50">
        <f>VLOOKUP($A196,'Data shares'!$C:$FA,154)*100</f>
        <v>25.81</v>
      </c>
      <c r="F196" s="173">
        <f>C196/B196</f>
        <v>0.25319603301498311</v>
      </c>
    </row>
    <row r="197" spans="1:6" x14ac:dyDescent="0.25">
      <c r="A197" s="99" t="s">
        <v>482</v>
      </c>
      <c r="B197" s="49">
        <v>33590487</v>
      </c>
      <c r="C197" s="49">
        <v>10701800</v>
      </c>
      <c r="D197" s="49">
        <v>6146101.1984660001</v>
      </c>
      <c r="E197" s="50">
        <f>VLOOKUP($A197,'Data shares'!$C:$FA,154)*100</f>
        <v>32.89</v>
      </c>
      <c r="F197" s="173">
        <f>C197/B197</f>
        <v>0.31859615491731336</v>
      </c>
    </row>
    <row r="198" spans="1:6" x14ac:dyDescent="0.25">
      <c r="A198" s="99" t="s">
        <v>300</v>
      </c>
      <c r="B198" s="49">
        <v>31634588</v>
      </c>
      <c r="C198" s="49">
        <v>13051500</v>
      </c>
      <c r="D198" s="49">
        <v>8593121.6710919999</v>
      </c>
      <c r="E198" s="50">
        <f>VLOOKUP($A198,'Data shares'!$C:$FA,154)*100</f>
        <v>42.1</v>
      </c>
      <c r="F198" s="173">
        <f>C198/B198</f>
        <v>0.41257056990911339</v>
      </c>
    </row>
    <row r="199" spans="1:6" x14ac:dyDescent="0.25">
      <c r="A199" s="99" t="s">
        <v>302</v>
      </c>
      <c r="B199" s="49">
        <v>11955674</v>
      </c>
      <c r="C199" s="49">
        <v>3412550</v>
      </c>
      <c r="D199" s="49">
        <v>2144158.2114690002</v>
      </c>
      <c r="E199" s="50">
        <f>VLOOKUP($A199,'Data shares'!$C:$FA,154)*100</f>
        <v>28.860000000000003</v>
      </c>
      <c r="F199" s="173">
        <f>C199/B199</f>
        <v>0.28543351048213594</v>
      </c>
    </row>
    <row r="200" spans="1:6" x14ac:dyDescent="0.25">
      <c r="A200" s="99" t="s">
        <v>593</v>
      </c>
      <c r="B200" s="49">
        <v>289041713</v>
      </c>
      <c r="C200" s="49">
        <v>153410325</v>
      </c>
      <c r="D200" s="49">
        <v>84193373.006495997</v>
      </c>
      <c r="E200" s="50">
        <f>VLOOKUP($A200,'Data shares'!$C:$FA,154)*100</f>
        <v>53.98</v>
      </c>
      <c r="F200" s="173">
        <f>C200/B200</f>
        <v>0.53075496753646767</v>
      </c>
    </row>
    <row r="201" spans="1:6" x14ac:dyDescent="0.25">
      <c r="A201" s="99" t="s">
        <v>569</v>
      </c>
      <c r="B201" s="49">
        <v>37091426</v>
      </c>
      <c r="C201" s="49">
        <v>15702800</v>
      </c>
      <c r="D201" s="49">
        <v>9974383.7901319992</v>
      </c>
      <c r="E201" s="50">
        <f>VLOOKUP($A201,'Data shares'!$C:$FA,154)*100</f>
        <v>42.78</v>
      </c>
      <c r="F201" s="173">
        <f>C201/B201</f>
        <v>0.42335390394534844</v>
      </c>
    </row>
    <row r="202" spans="1:6" x14ac:dyDescent="0.25">
      <c r="A202" s="99" t="s">
        <v>673</v>
      </c>
      <c r="B202" s="49">
        <v>27292222</v>
      </c>
      <c r="C202" s="49">
        <v>9082150</v>
      </c>
      <c r="D202" s="49">
        <v>5993972.8746095002</v>
      </c>
      <c r="E202" s="50">
        <f>VLOOKUP($A202,'Data shares'!$C:$FA,154)*100</f>
        <v>33.800000000000004</v>
      </c>
      <c r="F202" s="173">
        <f>C202/B202</f>
        <v>0.33277429738040382</v>
      </c>
    </row>
    <row r="203" spans="1:6" x14ac:dyDescent="0.25">
      <c r="A203" s="99" t="s">
        <v>303</v>
      </c>
      <c r="B203" s="49">
        <v>84228583</v>
      </c>
      <c r="C203" s="49">
        <v>58656595</v>
      </c>
      <c r="D203" s="49">
        <v>27128715.9356291</v>
      </c>
      <c r="E203" s="50">
        <f>VLOOKUP($A203,'Data shares'!$C:$FA,154)*100</f>
        <v>71.12</v>
      </c>
      <c r="F203" s="173">
        <f>C203/B203</f>
        <v>0.69639774184495062</v>
      </c>
    </row>
    <row r="204" spans="1:6" x14ac:dyDescent="0.25">
      <c r="A204" s="99" t="s">
        <v>586</v>
      </c>
      <c r="B204" s="49">
        <v>205761118</v>
      </c>
      <c r="C204" s="49">
        <v>67412250</v>
      </c>
      <c r="D204" s="49">
        <v>41917631.243220001</v>
      </c>
      <c r="E204" s="50">
        <f>VLOOKUP($A204,'Data shares'!$C:$FA,154)*100</f>
        <v>33.1</v>
      </c>
      <c r="F204" s="173">
        <f>C204/B204</f>
        <v>0.32762385165500513</v>
      </c>
    </row>
    <row r="205" spans="1:6" x14ac:dyDescent="0.25">
      <c r="A205" s="99" t="s">
        <v>304</v>
      </c>
      <c r="B205" s="49">
        <v>255091106</v>
      </c>
      <c r="C205" s="49">
        <v>122154150</v>
      </c>
      <c r="D205" s="49">
        <v>57168583.053523503</v>
      </c>
      <c r="E205" s="50">
        <f>VLOOKUP($A205,'Data shares'!$C:$FA,154)*100</f>
        <v>49.68</v>
      </c>
      <c r="F205" s="173">
        <f>C205/B205</f>
        <v>0.47886479429039758</v>
      </c>
    </row>
    <row r="206" spans="1:6" x14ac:dyDescent="0.25">
      <c r="A206" s="99" t="s">
        <v>305</v>
      </c>
      <c r="B206" s="49">
        <v>34594689</v>
      </c>
      <c r="C206" s="49">
        <v>19433250</v>
      </c>
      <c r="D206" s="49">
        <v>8897671.4094300009</v>
      </c>
      <c r="E206" s="50">
        <f>VLOOKUP($A206,'Data shares'!$C:$FA,154)*100</f>
        <v>57.42</v>
      </c>
      <c r="F206" s="173">
        <f>C206/B206</f>
        <v>0.56174084987438389</v>
      </c>
    </row>
    <row r="207" spans="1:6" x14ac:dyDescent="0.25">
      <c r="A207" s="99" t="s">
        <v>691</v>
      </c>
      <c r="B207" s="49">
        <v>15436318</v>
      </c>
      <c r="C207" s="49">
        <v>8078875</v>
      </c>
      <c r="D207" s="49">
        <v>2711212.8399107498</v>
      </c>
      <c r="E207" s="50">
        <f>VLOOKUP($A207,'Data shares'!$C:$FA,154)*100</f>
        <v>53.61</v>
      </c>
      <c r="F207" s="173">
        <f>C207/B207</f>
        <v>0.52336800783710213</v>
      </c>
    </row>
    <row r="208" spans="1:6" x14ac:dyDescent="0.25">
      <c r="A208" s="99" t="s">
        <v>306</v>
      </c>
      <c r="B208" s="49">
        <v>358423198</v>
      </c>
      <c r="C208" s="49">
        <v>315684000</v>
      </c>
      <c r="D208" s="49">
        <v>141637123.07609999</v>
      </c>
      <c r="E208" s="50">
        <f>VLOOKUP($A208,'Data shares'!$C:$FA,154)*100</f>
        <v>90.62</v>
      </c>
      <c r="F208" s="173">
        <f>C208/B208</f>
        <v>0.8807577237230052</v>
      </c>
    </row>
    <row r="209" spans="1:6" x14ac:dyDescent="0.25">
      <c r="A209" s="99" t="s">
        <v>590</v>
      </c>
      <c r="B209" s="49">
        <v>3547322779</v>
      </c>
      <c r="C209" s="49">
        <v>1749592700</v>
      </c>
      <c r="D209" s="49">
        <v>1045951492.78048</v>
      </c>
      <c r="E209" s="50">
        <f>VLOOKUP($A209,'Data shares'!$C:$FA,154)*100</f>
        <v>50.3</v>
      </c>
      <c r="F209" s="173">
        <f>C209/B209</f>
        <v>0.49321497055681385</v>
      </c>
    </row>
    <row r="210" spans="1:6" x14ac:dyDescent="0.25">
      <c r="A210" s="99" t="s">
        <v>557</v>
      </c>
      <c r="B210" s="49">
        <v>37741451</v>
      </c>
      <c r="C210" s="49">
        <v>16466400</v>
      </c>
      <c r="D210" s="49">
        <v>9154434.8026979994</v>
      </c>
      <c r="E210" s="50">
        <f>VLOOKUP($A210,'Data shares'!$C:$FA,154)*100</f>
        <v>44.12</v>
      </c>
      <c r="F210" s="173">
        <f>C210/B210</f>
        <v>0.4362948313778397</v>
      </c>
    </row>
    <row r="211" spans="1:6" x14ac:dyDescent="0.25">
      <c r="A211" s="99"/>
      <c r="B211" s="49"/>
      <c r="C211" s="49"/>
      <c r="D211" s="49"/>
      <c r="E211" s="50"/>
      <c r="F211" s="173"/>
    </row>
    <row r="212" spans="1:6" x14ac:dyDescent="0.25">
      <c r="A212" s="99"/>
      <c r="B212" s="49"/>
      <c r="C212" s="49"/>
      <c r="D212" s="49"/>
      <c r="E212" s="50"/>
      <c r="F212" s="173"/>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0">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topLeftCell="A25" zoomScaleNormal="100" workbookViewId="0">
      <selection activeCell="I35" sqref="I3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2" t="s">
        <v>420</v>
      </c>
      <c r="B4" s="323"/>
      <c r="C4" s="323"/>
      <c r="D4" s="323"/>
      <c r="E4" s="323"/>
      <c r="F4" s="323"/>
      <c r="G4" s="323"/>
      <c r="H4" s="323"/>
      <c r="I4" s="323"/>
      <c r="J4" s="323"/>
      <c r="K4" s="323"/>
      <c r="L4" s="323"/>
      <c r="M4" s="323"/>
      <c r="N4" s="324"/>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5" t="s">
        <v>380</v>
      </c>
      <c r="B3" s="326"/>
      <c r="C3" s="326"/>
      <c r="D3" s="326"/>
      <c r="E3" s="326"/>
      <c r="F3" s="326"/>
      <c r="G3" s="327"/>
    </row>
    <row r="4" spans="1:7" s="72" customFormat="1" x14ac:dyDescent="0.25">
      <c r="A4" s="108" t="s">
        <v>330</v>
      </c>
      <c r="B4" s="328" t="s">
        <v>380</v>
      </c>
      <c r="C4" s="328"/>
      <c r="D4" s="328"/>
      <c r="E4" s="328"/>
      <c r="F4" s="328"/>
      <c r="G4" s="328"/>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2.63</v>
      </c>
      <c r="F6" s="49">
        <f>VLOOKUP($A6,'Data shares'!$C:$FA,129)</f>
        <v>339750</v>
      </c>
      <c r="G6" s="17"/>
    </row>
    <row r="7" spans="1:7" x14ac:dyDescent="0.25">
      <c r="A7" s="101" t="s">
        <v>228</v>
      </c>
      <c r="B7" s="17">
        <v>292206563</v>
      </c>
      <c r="C7" s="17">
        <v>71903525</v>
      </c>
      <c r="D7" s="17">
        <f t="shared" ref="D7:D70" si="0">C7</f>
        <v>71903525</v>
      </c>
      <c r="E7" s="49">
        <f>VLOOKUP($A7,'Data shares'!$C:$FA,128)*100</f>
        <v>16.739999999999998</v>
      </c>
      <c r="F7" s="49">
        <f>VLOOKUP($A7,'Data shares'!$C:$FA,129)</f>
        <v>7442400</v>
      </c>
      <c r="G7" s="17"/>
    </row>
    <row r="8" spans="1:7" x14ac:dyDescent="0.25">
      <c r="A8" s="101" t="s">
        <v>200</v>
      </c>
      <c r="B8" s="17">
        <v>417418754</v>
      </c>
      <c r="C8" s="17">
        <v>109662000</v>
      </c>
      <c r="D8" s="17">
        <f t="shared" si="0"/>
        <v>109662000</v>
      </c>
      <c r="E8" s="49">
        <f>VLOOKUP($A8,'Data shares'!$C:$FA,128)*100</f>
        <v>11.42</v>
      </c>
      <c r="F8" s="49">
        <f>VLOOKUP($A8,'Data shares'!$C:$FA,129)</f>
        <v>5431050</v>
      </c>
      <c r="G8" s="17"/>
    </row>
    <row r="9" spans="1:7" x14ac:dyDescent="0.25">
      <c r="A9" s="101" t="s">
        <v>214</v>
      </c>
      <c r="B9" s="17">
        <v>30110093</v>
      </c>
      <c r="C9" s="17">
        <v>10703050</v>
      </c>
      <c r="D9" s="17">
        <f t="shared" si="0"/>
        <v>10703050</v>
      </c>
      <c r="E9" s="49">
        <f>VLOOKUP($A9,'Data shares'!$C:$FA,128)*100</f>
        <v>0.8</v>
      </c>
      <c r="F9" s="49">
        <f>VLOOKUP($A9,'Data shares'!$C:$FA,129)</f>
        <v>88500</v>
      </c>
      <c r="G9" s="17"/>
    </row>
    <row r="10" spans="1:7" x14ac:dyDescent="0.25">
      <c r="A10" s="101" t="s">
        <v>243</v>
      </c>
      <c r="B10" s="17">
        <v>80699820</v>
      </c>
      <c r="C10" s="17">
        <v>65367500</v>
      </c>
      <c r="D10" s="17">
        <f t="shared" si="0"/>
        <v>65367500</v>
      </c>
      <c r="E10" s="49">
        <f>VLOOKUP($A10,'Data shares'!$C:$FA,128)*100</f>
        <v>1.95</v>
      </c>
      <c r="F10" s="49">
        <f>VLOOKUP($A10,'Data shares'!$C:$FA,129)</f>
        <v>156250</v>
      </c>
      <c r="G10" s="17"/>
    </row>
    <row r="11" spans="1:7" x14ac:dyDescent="0.25">
      <c r="A11" s="101" t="s">
        <v>231</v>
      </c>
      <c r="B11" s="17">
        <v>80556813</v>
      </c>
      <c r="C11" s="17">
        <v>62967200</v>
      </c>
      <c r="D11" s="17">
        <f t="shared" si="0"/>
        <v>62967200</v>
      </c>
      <c r="E11" s="49">
        <f>VLOOKUP($A11,'Data shares'!$C:$FA,128)*100</f>
        <v>4.0199999999999996</v>
      </c>
      <c r="F11" s="49">
        <f>VLOOKUP($A11,'Data shares'!$C:$FA,129)</f>
        <v>1540125</v>
      </c>
      <c r="G11" s="17"/>
    </row>
    <row r="12" spans="1:7" x14ac:dyDescent="0.25">
      <c r="A12" s="101" t="s">
        <v>195</v>
      </c>
      <c r="B12" s="17">
        <v>23823080</v>
      </c>
      <c r="C12" s="17">
        <v>2862400</v>
      </c>
      <c r="D12" s="17">
        <f t="shared" si="0"/>
        <v>2862400</v>
      </c>
      <c r="E12" s="49">
        <f>VLOOKUP($A12,'Data shares'!$C:$FA,128)*100</f>
        <v>0.89999999999999991</v>
      </c>
      <c r="F12" s="49">
        <f>VLOOKUP($A12,'Data shares'!$C:$FA,129)</f>
        <v>20000</v>
      </c>
      <c r="G12" s="17"/>
    </row>
    <row r="13" spans="1:7" x14ac:dyDescent="0.25">
      <c r="A13" s="101" t="s">
        <v>304</v>
      </c>
      <c r="B13" s="17">
        <v>223492679</v>
      </c>
      <c r="C13" s="17">
        <v>98465300</v>
      </c>
      <c r="D13" s="17">
        <f t="shared" si="0"/>
        <v>98465300</v>
      </c>
      <c r="E13" s="49">
        <f>VLOOKUP($A13,'Data shares'!$C:$FA,128)*100</f>
        <v>12.72</v>
      </c>
      <c r="F13" s="49">
        <f>VLOOKUP($A13,'Data shares'!$C:$FA,129)</f>
        <v>8530700</v>
      </c>
      <c r="G13" s="17"/>
    </row>
    <row r="14" spans="1:7" x14ac:dyDescent="0.25">
      <c r="A14" s="101" t="s">
        <v>167</v>
      </c>
      <c r="B14" s="17">
        <v>282181803</v>
      </c>
      <c r="C14" s="17">
        <v>95526000</v>
      </c>
      <c r="D14" s="17">
        <f t="shared" si="0"/>
        <v>95526000</v>
      </c>
      <c r="E14" s="49">
        <f>VLOOKUP($A14,'Data shares'!$C:$FA,128)*100</f>
        <v>7.4700000000000006</v>
      </c>
      <c r="F14" s="49">
        <f>VLOOKUP($A14,'Data shares'!$C:$FA,129)</f>
        <v>10090000</v>
      </c>
      <c r="G14" s="17"/>
    </row>
    <row r="15" spans="1:7" x14ac:dyDescent="0.25">
      <c r="A15" s="101" t="s">
        <v>222</v>
      </c>
      <c r="B15" s="17">
        <v>214194964</v>
      </c>
      <c r="C15" s="17">
        <v>37437400</v>
      </c>
      <c r="D15" s="17">
        <f t="shared" si="0"/>
        <v>37437400</v>
      </c>
      <c r="E15" s="49">
        <f>VLOOKUP($A15,'Data shares'!$C:$FA,128)*100</f>
        <v>2.42</v>
      </c>
      <c r="F15" s="49">
        <f>VLOOKUP($A15,'Data shares'!$C:$FA,129)</f>
        <v>615300</v>
      </c>
      <c r="G15" s="17"/>
    </row>
    <row r="16" spans="1:7" x14ac:dyDescent="0.25">
      <c r="A16" s="101" t="s">
        <v>290</v>
      </c>
      <c r="B16" s="17">
        <v>31601465</v>
      </c>
      <c r="C16" s="17">
        <v>13192000</v>
      </c>
      <c r="D16" s="17">
        <f t="shared" si="0"/>
        <v>13192000</v>
      </c>
      <c r="E16" s="49">
        <f>VLOOKUP($A16,'Data shares'!$C:$FA,128)*100</f>
        <v>0</v>
      </c>
      <c r="F16" s="49">
        <f>VLOOKUP($A16,'Data shares'!$C:$FA,129)</f>
        <v>0</v>
      </c>
      <c r="G16" s="17"/>
    </row>
    <row r="17" spans="1:7" x14ac:dyDescent="0.25">
      <c r="A17" s="101" t="s">
        <v>500</v>
      </c>
      <c r="B17" s="17">
        <v>24930381</v>
      </c>
      <c r="C17" s="17">
        <v>1925625</v>
      </c>
      <c r="D17" s="17">
        <f t="shared" si="0"/>
        <v>1925625</v>
      </c>
      <c r="E17" s="49">
        <f>VLOOKUP($A17,'Data shares'!$C:$FA,128)*100</f>
        <v>5.47</v>
      </c>
      <c r="F17" s="49">
        <f>VLOOKUP($A17,'Data shares'!$C:$FA,129)</f>
        <v>1477500</v>
      </c>
      <c r="G17" s="17"/>
    </row>
    <row r="18" spans="1:7" x14ac:dyDescent="0.25">
      <c r="A18" s="101" t="s">
        <v>491</v>
      </c>
      <c r="B18" s="17">
        <v>53841317</v>
      </c>
      <c r="C18" s="17">
        <v>9268750</v>
      </c>
      <c r="D18" s="17">
        <f t="shared" si="0"/>
        <v>9268750</v>
      </c>
      <c r="E18" s="49">
        <f>VLOOKUP($A18,'Data shares'!$C:$FA,128)*100</f>
        <v>1.38</v>
      </c>
      <c r="F18" s="49">
        <f>VLOOKUP($A18,'Data shares'!$C:$FA,129)</f>
        <v>82000</v>
      </c>
      <c r="G18" s="17"/>
    </row>
    <row r="19" spans="1:7" x14ac:dyDescent="0.25">
      <c r="A19" s="101" t="s">
        <v>257</v>
      </c>
      <c r="B19" s="17">
        <v>43771086</v>
      </c>
      <c r="C19" s="17">
        <v>2865850</v>
      </c>
      <c r="D19" s="17">
        <f t="shared" si="0"/>
        <v>2865850</v>
      </c>
      <c r="E19" s="49">
        <f>VLOOKUP($A19,'Data shares'!$C:$FA,128)*100</f>
        <v>0.27</v>
      </c>
      <c r="F19" s="49">
        <f>VLOOKUP($A19,'Data shares'!$C:$FA,129)</f>
        <v>24000</v>
      </c>
      <c r="G19" s="17"/>
    </row>
    <row r="20" spans="1:7" x14ac:dyDescent="0.25">
      <c r="A20" s="101" t="s">
        <v>259</v>
      </c>
      <c r="B20" s="17">
        <v>12838406</v>
      </c>
      <c r="C20" s="17">
        <v>3561800</v>
      </c>
      <c r="D20" s="17">
        <f t="shared" si="0"/>
        <v>3561800</v>
      </c>
      <c r="E20" s="49">
        <f>VLOOKUP($A20,'Data shares'!$C:$FA,128)*100</f>
        <v>4.9000000000000004</v>
      </c>
      <c r="F20" s="49">
        <f>VLOOKUP($A20,'Data shares'!$C:$FA,129)</f>
        <v>125040</v>
      </c>
      <c r="G20" s="17"/>
    </row>
    <row r="21" spans="1:7" x14ac:dyDescent="0.25">
      <c r="A21" s="101" t="s">
        <v>212</v>
      </c>
      <c r="B21" s="17">
        <v>393764205</v>
      </c>
      <c r="C21" s="17">
        <v>124730000</v>
      </c>
      <c r="D21" s="17">
        <f t="shared" si="0"/>
        <v>124730000</v>
      </c>
      <c r="E21" s="49">
        <f>VLOOKUP($A21,'Data shares'!$C:$FA,128)*100</f>
        <v>5.8000000000000007</v>
      </c>
      <c r="F21" s="49">
        <f>VLOOKUP($A21,'Data shares'!$C:$FA,129)</f>
        <v>4385000</v>
      </c>
      <c r="G21" s="17"/>
    </row>
    <row r="22" spans="1:7" x14ac:dyDescent="0.25">
      <c r="A22" s="101" t="s">
        <v>209</v>
      </c>
      <c r="B22" s="17">
        <v>27768950</v>
      </c>
      <c r="C22" s="17">
        <v>5371100</v>
      </c>
      <c r="D22" s="17">
        <f t="shared" si="0"/>
        <v>5371100</v>
      </c>
      <c r="E22" s="49">
        <f>VLOOKUP($A22,'Data shares'!$C:$FA,128)*100</f>
        <v>4.88</v>
      </c>
      <c r="F22" s="49">
        <f>VLOOKUP($A22,'Data shares'!$C:$FA,129)</f>
        <v>123500</v>
      </c>
      <c r="G22" s="17"/>
    </row>
    <row r="23" spans="1:7" x14ac:dyDescent="0.25">
      <c r="A23" s="101" t="s">
        <v>501</v>
      </c>
      <c r="B23" s="17">
        <v>155792872</v>
      </c>
      <c r="C23" s="17">
        <v>50166406</v>
      </c>
      <c r="D23" s="17">
        <f t="shared" si="0"/>
        <v>50166406</v>
      </c>
      <c r="E23" s="49">
        <f>VLOOKUP($A23,'Data shares'!$C:$FA,128)*100</f>
        <v>4.3099999999999996</v>
      </c>
      <c r="F23" s="49">
        <f>VLOOKUP($A23,'Data shares'!$C:$FA,129)</f>
        <v>878000</v>
      </c>
      <c r="G23" s="17"/>
    </row>
    <row r="24" spans="1:7" x14ac:dyDescent="0.25">
      <c r="A24" s="101" t="s">
        <v>276</v>
      </c>
      <c r="B24" s="17">
        <v>678857930</v>
      </c>
      <c r="C24" s="17">
        <v>84677374</v>
      </c>
      <c r="D24" s="17">
        <f t="shared" si="0"/>
        <v>84677374</v>
      </c>
      <c r="E24" s="49">
        <f>VLOOKUP($A24,'Data shares'!$C:$FA,128)*100</f>
        <v>2.79</v>
      </c>
      <c r="F24" s="49">
        <f>VLOOKUP($A24,'Data shares'!$C:$FA,129)</f>
        <v>1822100</v>
      </c>
      <c r="G24" s="17"/>
    </row>
    <row r="25" spans="1:7" x14ac:dyDescent="0.25">
      <c r="A25" s="101" t="s">
        <v>210</v>
      </c>
      <c r="B25" s="17">
        <v>14114257</v>
      </c>
      <c r="C25" s="17">
        <v>11000000</v>
      </c>
      <c r="D25" s="17">
        <f t="shared" si="0"/>
        <v>11000000</v>
      </c>
      <c r="E25" s="49">
        <f>VLOOKUP($A25,'Data shares'!$C:$FA,128)*100</f>
        <v>4.88</v>
      </c>
      <c r="F25" s="49">
        <f>VLOOKUP($A25,'Data shares'!$C:$FA,129)</f>
        <v>123500</v>
      </c>
      <c r="G25" s="17"/>
    </row>
    <row r="26" spans="1:7" x14ac:dyDescent="0.25">
      <c r="A26" s="101" t="s">
        <v>267</v>
      </c>
      <c r="B26" s="17">
        <v>229794455</v>
      </c>
      <c r="C26" s="17">
        <v>133289800</v>
      </c>
      <c r="D26" s="17">
        <f t="shared" si="0"/>
        <v>133289800</v>
      </c>
      <c r="E26" s="49">
        <f>VLOOKUP($A26,'Data shares'!$C:$FA,128)*100</f>
        <v>4.51</v>
      </c>
      <c r="F26" s="49">
        <f>VLOOKUP($A26,'Data shares'!$C:$FA,129)</f>
        <v>13290750</v>
      </c>
      <c r="G26" s="17"/>
    </row>
    <row r="27" spans="1:7" x14ac:dyDescent="0.25">
      <c r="A27" s="101" t="s">
        <v>533</v>
      </c>
      <c r="B27" s="17">
        <v>61337685</v>
      </c>
      <c r="C27" s="17">
        <v>24741600</v>
      </c>
      <c r="D27" s="17">
        <f t="shared" si="0"/>
        <v>24741600</v>
      </c>
      <c r="E27" s="49">
        <f>VLOOKUP($A27,'Data shares'!$C:$FA,128)*100</f>
        <v>2.2800000000000002</v>
      </c>
      <c r="F27" s="49">
        <f>VLOOKUP($A27,'Data shares'!$C:$FA,129)</f>
        <v>232500</v>
      </c>
      <c r="G27" s="17"/>
    </row>
    <row r="28" spans="1:7" x14ac:dyDescent="0.25">
      <c r="A28" s="101" t="s">
        <v>502</v>
      </c>
      <c r="B28" s="17">
        <v>5165920</v>
      </c>
      <c r="C28" s="17">
        <v>1179400</v>
      </c>
      <c r="D28" s="17">
        <f t="shared" si="0"/>
        <v>1179400</v>
      </c>
      <c r="E28" s="49">
        <f>VLOOKUP($A28,'Data shares'!$C:$FA,128)*100</f>
        <v>6.04</v>
      </c>
      <c r="F28" s="49">
        <f>VLOOKUP($A28,'Data shares'!$C:$FA,129)</f>
        <v>799375</v>
      </c>
      <c r="G28" s="17"/>
    </row>
    <row r="29" spans="1:7" x14ac:dyDescent="0.25">
      <c r="A29" s="101" t="s">
        <v>474</v>
      </c>
      <c r="B29" s="17">
        <v>7339737</v>
      </c>
      <c r="C29" s="17">
        <v>979625</v>
      </c>
      <c r="D29" s="17">
        <f t="shared" si="0"/>
        <v>979625</v>
      </c>
      <c r="E29" s="49">
        <f>VLOOKUP($A29,'Data shares'!$C:$FA,128)*100</f>
        <v>8.2000000000000011</v>
      </c>
      <c r="F29" s="49">
        <f>VLOOKUP($A29,'Data shares'!$C:$FA,129)</f>
        <v>620925</v>
      </c>
      <c r="G29" s="17"/>
    </row>
    <row r="30" spans="1:7" x14ac:dyDescent="0.25">
      <c r="A30" s="101" t="s">
        <v>158</v>
      </c>
      <c r="B30" s="17">
        <v>17078428</v>
      </c>
      <c r="C30" s="17">
        <v>3648750</v>
      </c>
      <c r="D30" s="17">
        <f t="shared" si="0"/>
        <v>3648750</v>
      </c>
      <c r="E30" s="49">
        <f>VLOOKUP($A30,'Data shares'!$C:$FA,128)*100</f>
        <v>1.9800000000000002</v>
      </c>
      <c r="F30" s="49">
        <f>VLOOKUP($A30,'Data shares'!$C:$FA,129)</f>
        <v>895900</v>
      </c>
      <c r="G30" s="17"/>
    </row>
    <row r="31" spans="1:7" x14ac:dyDescent="0.25">
      <c r="A31" s="101" t="s">
        <v>268</v>
      </c>
      <c r="B31" s="17">
        <v>948263976</v>
      </c>
      <c r="C31" s="17">
        <v>170042400</v>
      </c>
      <c r="D31" s="17">
        <f t="shared" si="0"/>
        <v>170042400</v>
      </c>
      <c r="E31" s="49">
        <f>VLOOKUP($A31,'Data shares'!$C:$FA,128)*100</f>
        <v>2.4</v>
      </c>
      <c r="F31" s="49">
        <f>VLOOKUP($A31,'Data shares'!$C:$FA,129)</f>
        <v>2035500</v>
      </c>
      <c r="G31" s="17"/>
    </row>
    <row r="32" spans="1:7" x14ac:dyDescent="0.25">
      <c r="A32" s="101" t="s">
        <v>557</v>
      </c>
      <c r="B32" s="17">
        <v>51441633</v>
      </c>
      <c r="C32" s="17">
        <v>26329600</v>
      </c>
      <c r="D32" s="17">
        <f t="shared" si="0"/>
        <v>26329600</v>
      </c>
      <c r="E32" s="49">
        <f>VLOOKUP($A32,'Data shares'!$C:$FA,128)*100</f>
        <v>3.35</v>
      </c>
      <c r="F32" s="49">
        <f>VLOOKUP($A32,'Data shares'!$C:$FA,129)</f>
        <v>282600</v>
      </c>
      <c r="G32" s="17"/>
    </row>
    <row r="33" spans="1:7" x14ac:dyDescent="0.25">
      <c r="A33" s="101" t="s">
        <v>549</v>
      </c>
      <c r="B33" s="17">
        <v>319287188</v>
      </c>
      <c r="C33" s="17">
        <v>149780000</v>
      </c>
      <c r="D33" s="17">
        <f t="shared" si="0"/>
        <v>149780000</v>
      </c>
      <c r="E33" s="49">
        <f>VLOOKUP($A33,'Data shares'!$C:$FA,128)*100</f>
        <v>7.2900000000000009</v>
      </c>
      <c r="F33" s="49">
        <f>VLOOKUP($A33,'Data shares'!$C:$FA,129)</f>
        <v>361449075</v>
      </c>
      <c r="G33" s="17"/>
    </row>
    <row r="34" spans="1:7" x14ac:dyDescent="0.25">
      <c r="A34" s="101" t="s">
        <v>536</v>
      </c>
      <c r="B34" s="17">
        <v>57585215</v>
      </c>
      <c r="C34" s="17">
        <v>5314000</v>
      </c>
      <c r="D34" s="17">
        <f t="shared" si="0"/>
        <v>5314000</v>
      </c>
      <c r="E34" s="49">
        <f>VLOOKUP($A34,'Data shares'!$C:$FA,128)*100</f>
        <v>13.18</v>
      </c>
      <c r="F34" s="49">
        <f>VLOOKUP($A34,'Data shares'!$C:$FA,129)</f>
        <v>2988800</v>
      </c>
      <c r="G34" s="17"/>
    </row>
    <row r="35" spans="1:7" x14ac:dyDescent="0.25">
      <c r="A35" s="101" t="s">
        <v>270</v>
      </c>
      <c r="B35" s="17">
        <v>1178038</v>
      </c>
      <c r="C35" s="17">
        <v>100890</v>
      </c>
      <c r="D35" s="17">
        <f t="shared" si="0"/>
        <v>100890</v>
      </c>
      <c r="E35" s="49">
        <f>VLOOKUP($A35,'Data shares'!$C:$FA,128)*100</f>
        <v>5.65</v>
      </c>
      <c r="F35" s="49">
        <f>VLOOKUP($A35,'Data shares'!$C:$FA,129)</f>
        <v>12435</v>
      </c>
      <c r="G35" s="17"/>
    </row>
    <row r="36" spans="1:7" x14ac:dyDescent="0.25">
      <c r="A36" s="101" t="s">
        <v>258</v>
      </c>
      <c r="B36" s="17">
        <v>13335005</v>
      </c>
      <c r="C36" s="17">
        <v>5970600</v>
      </c>
      <c r="D36" s="17">
        <f t="shared" si="0"/>
        <v>5970600</v>
      </c>
      <c r="E36" s="49">
        <f>VLOOKUP($A36,'Data shares'!$C:$FA,128)*100</f>
        <v>0.27</v>
      </c>
      <c r="F36" s="49">
        <f>VLOOKUP($A36,'Data shares'!$C:$FA,129)</f>
        <v>24000</v>
      </c>
      <c r="G36" s="17"/>
    </row>
    <row r="37" spans="1:7" x14ac:dyDescent="0.25">
      <c r="A37" s="101" t="s">
        <v>301</v>
      </c>
      <c r="B37" s="17">
        <v>14428803</v>
      </c>
      <c r="C37" s="17">
        <v>2171400</v>
      </c>
      <c r="D37" s="17">
        <f t="shared" si="0"/>
        <v>2171400</v>
      </c>
      <c r="E37" s="49">
        <f>VLOOKUP($A37,'Data shares'!$C:$FA,128)*100</f>
        <v>1.22</v>
      </c>
      <c r="F37" s="49">
        <f>VLOOKUP($A37,'Data shares'!$C:$FA,129)</f>
        <v>78925</v>
      </c>
      <c r="G37" s="17"/>
    </row>
    <row r="38" spans="1:7" x14ac:dyDescent="0.25">
      <c r="A38" s="101" t="s">
        <v>283</v>
      </c>
      <c r="B38" s="17">
        <v>747713393</v>
      </c>
      <c r="C38" s="17">
        <v>158166000</v>
      </c>
      <c r="D38" s="17">
        <f t="shared" si="0"/>
        <v>158166000</v>
      </c>
      <c r="E38" s="49">
        <f>VLOOKUP($A38,'Data shares'!$C:$FA,128)*100</f>
        <v>8.59</v>
      </c>
      <c r="F38" s="49">
        <f>VLOOKUP($A38,'Data shares'!$C:$FA,129)</f>
        <v>5544000</v>
      </c>
      <c r="G38" s="17"/>
    </row>
    <row r="39" spans="1:7" x14ac:dyDescent="0.25">
      <c r="A39" s="101" t="s">
        <v>281</v>
      </c>
      <c r="B39" s="17">
        <v>648405756</v>
      </c>
      <c r="C39" s="17">
        <v>61815500</v>
      </c>
      <c r="D39" s="17">
        <f t="shared" si="0"/>
        <v>61815500</v>
      </c>
      <c r="E39" s="49">
        <f>VLOOKUP($A39,'Data shares'!$C:$FA,128)*100</f>
        <v>6.25</v>
      </c>
      <c r="F39" s="49">
        <f>VLOOKUP($A39,'Data shares'!$C:$FA,129)</f>
        <v>6265500</v>
      </c>
      <c r="G39" s="17"/>
    </row>
    <row r="40" spans="1:7" x14ac:dyDescent="0.25">
      <c r="A40" s="101" t="s">
        <v>198</v>
      </c>
      <c r="B40" s="17">
        <v>79546680</v>
      </c>
      <c r="C40" s="17">
        <v>13283750</v>
      </c>
      <c r="D40" s="17">
        <f t="shared" si="0"/>
        <v>13283750</v>
      </c>
      <c r="E40" s="49">
        <f>VLOOKUP($A40,'Data shares'!$C:$FA,128)*100</f>
        <v>1.31</v>
      </c>
      <c r="F40" s="49">
        <f>VLOOKUP($A40,'Data shares'!$C:$FA,129)</f>
        <v>182500</v>
      </c>
      <c r="G40" s="17"/>
    </row>
    <row r="41" spans="1:7" x14ac:dyDescent="0.25">
      <c r="A41" s="101" t="s">
        <v>299</v>
      </c>
      <c r="B41" s="17">
        <v>44634693</v>
      </c>
      <c r="C41" s="17">
        <v>3805500</v>
      </c>
      <c r="D41" s="17">
        <f t="shared" si="0"/>
        <v>3805500</v>
      </c>
      <c r="E41" s="49">
        <f>VLOOKUP($A41,'Data shares'!$C:$FA,128)*100</f>
        <v>4.07</v>
      </c>
      <c r="F41" s="49">
        <f>VLOOKUP($A41,'Data shares'!$C:$FA,129)</f>
        <v>142375</v>
      </c>
      <c r="G41" s="17"/>
    </row>
    <row r="42" spans="1:7" x14ac:dyDescent="0.25">
      <c r="A42" s="101" t="s">
        <v>273</v>
      </c>
      <c r="B42" s="17">
        <v>232357926</v>
      </c>
      <c r="C42" s="17">
        <v>67053000</v>
      </c>
      <c r="D42" s="17">
        <f t="shared" si="0"/>
        <v>67053000</v>
      </c>
      <c r="E42" s="49">
        <f>VLOOKUP($A42,'Data shares'!$C:$FA,128)*100</f>
        <v>19.05</v>
      </c>
      <c r="F42" s="49">
        <f>VLOOKUP($A42,'Data shares'!$C:$FA,129)</f>
        <v>12474800</v>
      </c>
      <c r="G42" s="17"/>
    </row>
    <row r="43" spans="1:7" x14ac:dyDescent="0.25">
      <c r="A43" s="101" t="s">
        <v>207</v>
      </c>
      <c r="B43" s="17">
        <v>124016568</v>
      </c>
      <c r="C43" s="17">
        <v>57530550</v>
      </c>
      <c r="D43" s="17">
        <f t="shared" si="0"/>
        <v>57530550</v>
      </c>
      <c r="E43" s="49">
        <f>VLOOKUP($A43,'Data shares'!$C:$FA,128)*100</f>
        <v>6.15</v>
      </c>
      <c r="F43" s="49">
        <f>VLOOKUP($A43,'Data shares'!$C:$FA,129)</f>
        <v>3168000</v>
      </c>
      <c r="G43" s="17"/>
    </row>
    <row r="44" spans="1:7" x14ac:dyDescent="0.25">
      <c r="A44" s="101" t="s">
        <v>191</v>
      </c>
      <c r="B44" s="17">
        <v>92946457</v>
      </c>
      <c r="C44" s="17">
        <v>36478000</v>
      </c>
      <c r="D44" s="17">
        <f t="shared" si="0"/>
        <v>36478000</v>
      </c>
      <c r="E44" s="49">
        <f>VLOOKUP($A44,'Data shares'!$C:$FA,128)*100</f>
        <v>7.26</v>
      </c>
      <c r="F44" s="49">
        <f>VLOOKUP($A44,'Data shares'!$C:$FA,129)</f>
        <v>2447500</v>
      </c>
      <c r="G44" s="17"/>
    </row>
    <row r="45" spans="1:7" x14ac:dyDescent="0.25">
      <c r="A45" s="101" t="s">
        <v>288</v>
      </c>
      <c r="B45" s="17">
        <v>218440087</v>
      </c>
      <c r="C45" s="17">
        <v>44080400</v>
      </c>
      <c r="D45" s="17">
        <f t="shared" si="0"/>
        <v>44080400</v>
      </c>
      <c r="E45" s="49">
        <f>VLOOKUP($A45,'Data shares'!$C:$FA,128)*100</f>
        <v>1.1499999999999999</v>
      </c>
      <c r="F45" s="49">
        <f>VLOOKUP($A45,'Data shares'!$C:$FA,129)</f>
        <v>240800</v>
      </c>
      <c r="G45" s="17"/>
    </row>
    <row r="46" spans="1:7" x14ac:dyDescent="0.25">
      <c r="A46" s="101" t="s">
        <v>275</v>
      </c>
      <c r="B46" s="17">
        <v>591377974</v>
      </c>
      <c r="C46" s="17">
        <v>493488000</v>
      </c>
      <c r="D46" s="17">
        <f t="shared" si="0"/>
        <v>493488000</v>
      </c>
      <c r="E46" s="49">
        <f>VLOOKUP($A46,'Data shares'!$C:$FA,128)*100</f>
        <v>8.81</v>
      </c>
      <c r="F46" s="49">
        <f>VLOOKUP($A46,'Data shares'!$C:$FA,129)</f>
        <v>22432000</v>
      </c>
      <c r="G46" s="17"/>
    </row>
    <row r="47" spans="1:7" x14ac:dyDescent="0.25">
      <c r="A47" s="101" t="s">
        <v>277</v>
      </c>
      <c r="B47" s="17">
        <v>10116165</v>
      </c>
      <c r="C47" s="17">
        <v>7378910</v>
      </c>
      <c r="D47" s="17">
        <f t="shared" si="0"/>
        <v>7378910</v>
      </c>
      <c r="E47" s="49">
        <f>VLOOKUP($A47,'Data shares'!$C:$FA,128)*100</f>
        <v>1.68</v>
      </c>
      <c r="F47" s="49">
        <f>VLOOKUP($A47,'Data shares'!$C:$FA,129)</f>
        <v>104400</v>
      </c>
      <c r="G47" s="17"/>
    </row>
    <row r="48" spans="1:7" x14ac:dyDescent="0.25">
      <c r="A48" s="101" t="s">
        <v>196</v>
      </c>
      <c r="B48" s="17">
        <v>134484114</v>
      </c>
      <c r="C48" s="17">
        <v>73278000</v>
      </c>
      <c r="D48" s="17">
        <f t="shared" si="0"/>
        <v>73278000</v>
      </c>
      <c r="E48" s="49">
        <f>VLOOKUP($A48,'Data shares'!$C:$FA,128)*100</f>
        <v>7.8100000000000005</v>
      </c>
      <c r="F48" s="49">
        <f>VLOOKUP($A48,'Data shares'!$C:$FA,129)</f>
        <v>13520250</v>
      </c>
      <c r="G48" s="17"/>
    </row>
    <row r="49" spans="1:7" x14ac:dyDescent="0.25">
      <c r="A49" s="101" t="s">
        <v>287</v>
      </c>
      <c r="B49" s="17">
        <v>40005132</v>
      </c>
      <c r="C49" s="17">
        <v>6264400</v>
      </c>
      <c r="D49" s="17">
        <f t="shared" si="0"/>
        <v>6264400</v>
      </c>
      <c r="E49" s="49">
        <f>VLOOKUP($A49,'Data shares'!$C:$FA,128)*100</f>
        <v>2.8400000000000003</v>
      </c>
      <c r="F49" s="49">
        <f>VLOOKUP($A49,'Data shares'!$C:$FA,129)</f>
        <v>91400</v>
      </c>
      <c r="G49" s="17"/>
    </row>
    <row r="50" spans="1:7" x14ac:dyDescent="0.25">
      <c r="A50" s="101" t="s">
        <v>553</v>
      </c>
      <c r="B50" s="17">
        <v>10595418</v>
      </c>
      <c r="C50" s="17">
        <v>250250</v>
      </c>
      <c r="D50" s="17">
        <f t="shared" si="0"/>
        <v>250250</v>
      </c>
      <c r="E50" s="49">
        <f>VLOOKUP($A50,'Data shares'!$C:$FA,128)*100</f>
        <v>3.2800000000000002</v>
      </c>
      <c r="F50" s="49">
        <f>VLOOKUP($A50,'Data shares'!$C:$FA,129)</f>
        <v>62000</v>
      </c>
      <c r="G50" s="17"/>
    </row>
    <row r="51" spans="1:7" x14ac:dyDescent="0.25">
      <c r="A51" s="101" t="s">
        <v>519</v>
      </c>
      <c r="B51" s="17">
        <v>9516271</v>
      </c>
      <c r="C51" s="17">
        <v>1000800</v>
      </c>
      <c r="D51" s="17">
        <f t="shared" si="0"/>
        <v>1000800</v>
      </c>
      <c r="E51" s="49">
        <f>VLOOKUP($A51,'Data shares'!$C:$FA,128)*100</f>
        <v>6.1400000000000006</v>
      </c>
      <c r="F51" s="49">
        <f>VLOOKUP($A51,'Data shares'!$C:$FA,129)</f>
        <v>120875</v>
      </c>
      <c r="G51" s="17"/>
    </row>
    <row r="52" spans="1:7" x14ac:dyDescent="0.25">
      <c r="A52" s="101" t="s">
        <v>550</v>
      </c>
      <c r="B52" s="17">
        <v>137684181</v>
      </c>
      <c r="C52" s="17">
        <v>42696000</v>
      </c>
      <c r="D52" s="17">
        <f t="shared" si="0"/>
        <v>42696000</v>
      </c>
      <c r="E52" s="49">
        <f>VLOOKUP($A52,'Data shares'!$C:$FA,128)*100</f>
        <v>4.22</v>
      </c>
      <c r="F52" s="49">
        <f>VLOOKUP($A52,'Data shares'!$C:$FA,129)</f>
        <v>3471000</v>
      </c>
      <c r="G52" s="17"/>
    </row>
    <row r="53" spans="1:7" x14ac:dyDescent="0.25">
      <c r="A53" s="101" t="s">
        <v>284</v>
      </c>
      <c r="B53" s="17">
        <v>2702190</v>
      </c>
      <c r="C53" s="17">
        <v>250575</v>
      </c>
      <c r="D53" s="17">
        <f t="shared" si="0"/>
        <v>250575</v>
      </c>
      <c r="E53" s="49">
        <f>VLOOKUP($A53,'Data shares'!$C:$FA,128)*100</f>
        <v>11.459999999999999</v>
      </c>
      <c r="F53" s="49">
        <f>VLOOKUP($A53,'Data shares'!$C:$FA,129)</f>
        <v>41350</v>
      </c>
      <c r="G53" s="17"/>
    </row>
    <row r="54" spans="1:7" x14ac:dyDescent="0.25">
      <c r="A54" s="101" t="s">
        <v>488</v>
      </c>
      <c r="B54" s="17">
        <v>5499709</v>
      </c>
      <c r="C54" s="17">
        <v>1097600</v>
      </c>
      <c r="D54" s="17">
        <f t="shared" si="0"/>
        <v>1097600</v>
      </c>
      <c r="E54" s="49">
        <f>VLOOKUP($A54,'Data shares'!$C:$FA,128)*100</f>
        <v>5.67</v>
      </c>
      <c r="F54" s="49">
        <f>VLOOKUP($A54,'Data shares'!$C:$FA,129)</f>
        <v>116550</v>
      </c>
      <c r="G54" s="17"/>
    </row>
    <row r="55" spans="1:7" x14ac:dyDescent="0.25">
      <c r="A55" s="101" t="s">
        <v>523</v>
      </c>
      <c r="B55" s="17">
        <v>118085392</v>
      </c>
      <c r="C55" s="17">
        <v>6549400</v>
      </c>
      <c r="D55" s="17">
        <f t="shared" si="0"/>
        <v>6549400</v>
      </c>
      <c r="E55" s="49">
        <f>VLOOKUP($A55,'Data shares'!$C:$FA,128)*100</f>
        <v>2.3199999999999998</v>
      </c>
      <c r="F55" s="49">
        <f>VLOOKUP($A55,'Data shares'!$C:$FA,129)</f>
        <v>1006200</v>
      </c>
      <c r="G55" s="17"/>
    </row>
    <row r="56" spans="1:7" x14ac:dyDescent="0.25">
      <c r="A56" s="101" t="s">
        <v>485</v>
      </c>
      <c r="B56" s="17">
        <v>6917069</v>
      </c>
      <c r="C56" s="17">
        <v>762075</v>
      </c>
      <c r="D56" s="17">
        <f t="shared" si="0"/>
        <v>762075</v>
      </c>
      <c r="E56" s="49">
        <f>VLOOKUP($A56,'Data shares'!$C:$FA,128)*100</f>
        <v>2.71</v>
      </c>
      <c r="F56" s="49">
        <f>VLOOKUP($A56,'Data shares'!$C:$FA,129)</f>
        <v>285750</v>
      </c>
      <c r="G56" s="17"/>
    </row>
    <row r="57" spans="1:7" x14ac:dyDescent="0.25">
      <c r="A57" s="101" t="s">
        <v>178</v>
      </c>
      <c r="B57" s="17">
        <v>16125398</v>
      </c>
      <c r="C57" s="17">
        <v>1552600</v>
      </c>
      <c r="D57" s="17">
        <f t="shared" si="0"/>
        <v>1552600</v>
      </c>
      <c r="E57" s="49">
        <f>VLOOKUP($A57,'Data shares'!$C:$FA,128)*100</f>
        <v>5.1499999999999995</v>
      </c>
      <c r="F57" s="49">
        <f>VLOOKUP($A57,'Data shares'!$C:$FA,129)</f>
        <v>2958750</v>
      </c>
      <c r="G57" s="17"/>
    </row>
    <row r="58" spans="1:7" x14ac:dyDescent="0.25">
      <c r="A58" s="101" t="s">
        <v>240</v>
      </c>
      <c r="B58" s="17">
        <v>727896180</v>
      </c>
      <c r="C58" s="17">
        <v>46526100</v>
      </c>
      <c r="D58" s="17">
        <f t="shared" si="0"/>
        <v>46526100</v>
      </c>
      <c r="E58" s="49">
        <f>VLOOKUP($A58,'Data shares'!$C:$FA,128)*100</f>
        <v>10.27</v>
      </c>
      <c r="F58" s="49">
        <f>VLOOKUP($A58,'Data shares'!$C:$FA,129)</f>
        <v>6480400</v>
      </c>
      <c r="G58" s="17"/>
    </row>
    <row r="59" spans="1:7" x14ac:dyDescent="0.25">
      <c r="A59" s="101" t="s">
        <v>202</v>
      </c>
      <c r="B59" s="17">
        <v>55081874</v>
      </c>
      <c r="C59" s="17">
        <v>10856000</v>
      </c>
      <c r="D59" s="17">
        <f t="shared" si="0"/>
        <v>10856000</v>
      </c>
      <c r="E59" s="49">
        <f>VLOOKUP($A59,'Data shares'!$C:$FA,128)*100</f>
        <v>5.47</v>
      </c>
      <c r="F59" s="49">
        <f>VLOOKUP($A59,'Data shares'!$C:$FA,129)</f>
        <v>1477500</v>
      </c>
      <c r="G59" s="17"/>
    </row>
    <row r="60" spans="1:7" x14ac:dyDescent="0.25">
      <c r="A60" s="101" t="s">
        <v>245</v>
      </c>
      <c r="B60" s="17">
        <v>15273675</v>
      </c>
      <c r="C60" s="17">
        <v>5077125</v>
      </c>
      <c r="D60" s="17">
        <f t="shared" si="0"/>
        <v>5077125</v>
      </c>
      <c r="E60" s="49">
        <f>VLOOKUP($A60,'Data shares'!$C:$FA,128)*100</f>
        <v>10.71</v>
      </c>
      <c r="F60" s="49">
        <f>VLOOKUP($A60,'Data shares'!$C:$FA,129)</f>
        <v>2738750</v>
      </c>
      <c r="G60" s="17"/>
    </row>
    <row r="61" spans="1:7" x14ac:dyDescent="0.25">
      <c r="A61" s="101" t="s">
        <v>173</v>
      </c>
      <c r="B61" s="17">
        <v>541823383</v>
      </c>
      <c r="C61" s="17">
        <v>95378400</v>
      </c>
      <c r="D61" s="17">
        <f t="shared" si="0"/>
        <v>95378400</v>
      </c>
      <c r="E61" s="49">
        <f>VLOOKUP($A61,'Data shares'!$C:$FA,128)*100</f>
        <v>17.07</v>
      </c>
      <c r="F61" s="49">
        <f>VLOOKUP($A61,'Data shares'!$C:$FA,129)</f>
        <v>10778125</v>
      </c>
      <c r="G61" s="17"/>
    </row>
    <row r="62" spans="1:7" x14ac:dyDescent="0.25">
      <c r="A62" s="101" t="s">
        <v>234</v>
      </c>
      <c r="B62" s="17">
        <v>1606294231</v>
      </c>
      <c r="C62" s="17">
        <v>1302000000</v>
      </c>
      <c r="D62" s="17">
        <f t="shared" si="0"/>
        <v>1302000000</v>
      </c>
      <c r="E62" s="49">
        <f>VLOOKUP($A62,'Data shares'!$C:$FA,128)*100</f>
        <v>7.2900000000000009</v>
      </c>
      <c r="F62" s="49">
        <f>VLOOKUP($A62,'Data shares'!$C:$FA,129)</f>
        <v>361449075</v>
      </c>
      <c r="G62" s="17"/>
    </row>
    <row r="63" spans="1:7" x14ac:dyDescent="0.25">
      <c r="A63" s="101" t="s">
        <v>235</v>
      </c>
      <c r="B63" s="17">
        <v>789260827</v>
      </c>
      <c r="C63" s="17">
        <v>462303900</v>
      </c>
      <c r="D63" s="17">
        <f t="shared" si="0"/>
        <v>462303900</v>
      </c>
      <c r="E63" s="49">
        <f>VLOOKUP($A63,'Data shares'!$C:$FA,128)*100</f>
        <v>10.34</v>
      </c>
      <c r="F63" s="49">
        <f>VLOOKUP($A63,'Data shares'!$C:$FA,129)</f>
        <v>50029350</v>
      </c>
      <c r="G63" s="17"/>
    </row>
    <row r="64" spans="1:7" x14ac:dyDescent="0.25">
      <c r="A64" s="101" t="s">
        <v>482</v>
      </c>
      <c r="B64" s="17">
        <v>44785930</v>
      </c>
      <c r="C64" s="17">
        <v>4025925</v>
      </c>
      <c r="D64" s="17">
        <f t="shared" si="0"/>
        <v>4025925</v>
      </c>
      <c r="E64" s="49">
        <f>VLOOKUP($A64,'Data shares'!$C:$FA,128)*100</f>
        <v>5.6000000000000005</v>
      </c>
      <c r="F64" s="49">
        <f>VLOOKUP($A64,'Data shares'!$C:$FA,129)</f>
        <v>305600</v>
      </c>
      <c r="G64" s="17"/>
    </row>
    <row r="65" spans="1:7" x14ac:dyDescent="0.25">
      <c r="A65" s="101" t="s">
        <v>475</v>
      </c>
      <c r="B65" s="17">
        <v>13287700</v>
      </c>
      <c r="C65" s="17">
        <v>3968400</v>
      </c>
      <c r="D65" s="17">
        <f t="shared" si="0"/>
        <v>3968400</v>
      </c>
      <c r="E65" s="49">
        <f>VLOOKUP($A65,'Data shares'!$C:$FA,128)*100</f>
        <v>2.09</v>
      </c>
      <c r="F65" s="49">
        <f>VLOOKUP($A65,'Data shares'!$C:$FA,129)</f>
        <v>109500</v>
      </c>
      <c r="G65" s="17"/>
    </row>
    <row r="66" spans="1:7" x14ac:dyDescent="0.25">
      <c r="A66" s="101" t="s">
        <v>306</v>
      </c>
      <c r="B66" s="17">
        <v>292716179</v>
      </c>
      <c r="C66" s="17">
        <v>57797600</v>
      </c>
      <c r="D66" s="17">
        <f t="shared" si="0"/>
        <v>57797600</v>
      </c>
      <c r="E66" s="49">
        <f>VLOOKUP($A66,'Data shares'!$C:$FA,128)*100</f>
        <v>17.07</v>
      </c>
      <c r="F66" s="49">
        <f>VLOOKUP($A66,'Data shares'!$C:$FA,129)</f>
        <v>25869000</v>
      </c>
      <c r="G66" s="17"/>
    </row>
    <row r="67" spans="1:7" x14ac:dyDescent="0.25">
      <c r="A67" s="101" t="s">
        <v>262</v>
      </c>
      <c r="B67" s="17">
        <v>21376133</v>
      </c>
      <c r="C67" s="17">
        <v>5958375</v>
      </c>
      <c r="D67" s="17">
        <f t="shared" si="0"/>
        <v>5958375</v>
      </c>
      <c r="E67" s="49">
        <f>VLOOKUP($A67,'Data shares'!$C:$FA,128)*100</f>
        <v>5.81</v>
      </c>
      <c r="F67" s="49">
        <f>VLOOKUP($A67,'Data shares'!$C:$FA,129)</f>
        <v>217800</v>
      </c>
      <c r="G67" s="17"/>
    </row>
    <row r="68" spans="1:7" x14ac:dyDescent="0.25">
      <c r="A68" s="101" t="s">
        <v>174</v>
      </c>
      <c r="B68" s="17">
        <v>26775498</v>
      </c>
      <c r="C68" s="17">
        <v>3494750</v>
      </c>
      <c r="D68" s="17">
        <f t="shared" si="0"/>
        <v>3494750</v>
      </c>
      <c r="E68" s="49">
        <f>VLOOKUP($A68,'Data shares'!$C:$FA,128)*100</f>
        <v>4.3900000000000006</v>
      </c>
      <c r="F68" s="49">
        <f>VLOOKUP($A68,'Data shares'!$C:$FA,129)</f>
        <v>54075</v>
      </c>
      <c r="G68" s="17"/>
    </row>
    <row r="69" spans="1:7" x14ac:dyDescent="0.25">
      <c r="A69" s="101" t="s">
        <v>286</v>
      </c>
      <c r="B69" s="17">
        <v>29168705</v>
      </c>
      <c r="C69" s="17">
        <v>6373125</v>
      </c>
      <c r="D69" s="17">
        <f t="shared" si="0"/>
        <v>6373125</v>
      </c>
      <c r="E69" s="49">
        <f>VLOOKUP($A69,'Data shares'!$C:$FA,128)*100</f>
        <v>2.8400000000000003</v>
      </c>
      <c r="F69" s="49">
        <f>VLOOKUP($A69,'Data shares'!$C:$FA,129)</f>
        <v>91400</v>
      </c>
      <c r="G69" s="17"/>
    </row>
    <row r="70" spans="1:7" x14ac:dyDescent="0.25">
      <c r="A70" s="101" t="s">
        <v>297</v>
      </c>
      <c r="B70" s="17">
        <v>83636848</v>
      </c>
      <c r="C70" s="17">
        <v>13455750</v>
      </c>
      <c r="D70" s="17">
        <f t="shared" si="0"/>
        <v>13455750</v>
      </c>
      <c r="E70" s="49">
        <f>VLOOKUP($A70,'Data shares'!$C:$FA,128)*100</f>
        <v>2.56</v>
      </c>
      <c r="F70" s="49">
        <f>VLOOKUP($A70,'Data shares'!$C:$FA,129)</f>
        <v>231000</v>
      </c>
      <c r="G70" s="17"/>
    </row>
    <row r="71" spans="1:7" x14ac:dyDescent="0.25">
      <c r="A71" s="101" t="s">
        <v>302</v>
      </c>
      <c r="B71" s="17">
        <v>23058222</v>
      </c>
      <c r="C71" s="17">
        <v>3980500</v>
      </c>
      <c r="D71" s="17">
        <f t="shared" ref="D71:D134" si="1">C71</f>
        <v>3980500</v>
      </c>
      <c r="E71" s="49">
        <f>VLOOKUP($A71,'Data shares'!$C:$FA,128)*100</f>
        <v>2.46</v>
      </c>
      <c r="F71" s="49">
        <f>VLOOKUP($A71,'Data shares'!$C:$FA,129)</f>
        <v>44100</v>
      </c>
      <c r="G71" s="17"/>
    </row>
    <row r="72" spans="1:7" x14ac:dyDescent="0.25">
      <c r="A72" s="101" t="s">
        <v>307</v>
      </c>
      <c r="B72" s="17">
        <v>184439886</v>
      </c>
      <c r="C72" s="17">
        <v>122460000</v>
      </c>
      <c r="D72" s="17">
        <f t="shared" si="1"/>
        <v>122460000</v>
      </c>
      <c r="E72" s="49">
        <f>VLOOKUP($A72,'Data shares'!$C:$FA,128)*100</f>
        <v>11.690000000000001</v>
      </c>
      <c r="F72" s="49">
        <f>VLOOKUP($A72,'Data shares'!$C:$FA,129)</f>
        <v>123778000</v>
      </c>
      <c r="G72" s="17"/>
    </row>
    <row r="73" spans="1:7" x14ac:dyDescent="0.25">
      <c r="A73" s="101" t="s">
        <v>177</v>
      </c>
      <c r="B73" s="17">
        <v>52956314</v>
      </c>
      <c r="C73" s="17">
        <v>7784625</v>
      </c>
      <c r="D73" s="17">
        <f t="shared" si="1"/>
        <v>7784625</v>
      </c>
      <c r="E73" s="49">
        <f>VLOOKUP($A73,'Data shares'!$C:$FA,128)*100</f>
        <v>5.1499999999999995</v>
      </c>
      <c r="F73" s="49">
        <f>VLOOKUP($A73,'Data shares'!$C:$FA,129)</f>
        <v>2958750</v>
      </c>
      <c r="G73" s="17"/>
    </row>
    <row r="74" spans="1:7" x14ac:dyDescent="0.25">
      <c r="A74" s="101" t="s">
        <v>545</v>
      </c>
      <c r="B74" s="17">
        <v>23498849</v>
      </c>
      <c r="C74" s="17">
        <v>15745600</v>
      </c>
      <c r="D74" s="17">
        <f t="shared" si="1"/>
        <v>15745600</v>
      </c>
      <c r="E74" s="49">
        <f>VLOOKUP($A74,'Data shares'!$C:$FA,128)*100</f>
        <v>5.1499999999999995</v>
      </c>
      <c r="F74" s="49">
        <f>VLOOKUP($A74,'Data shares'!$C:$FA,129)</f>
        <v>2958750</v>
      </c>
      <c r="G74" s="17"/>
    </row>
    <row r="75" spans="1:7" x14ac:dyDescent="0.25">
      <c r="A75" s="101" t="s">
        <v>185</v>
      </c>
      <c r="B75" s="17">
        <v>238123793</v>
      </c>
      <c r="C75" s="17">
        <v>59926000</v>
      </c>
      <c r="D75" s="17">
        <f t="shared" si="1"/>
        <v>59926000</v>
      </c>
      <c r="E75" s="49">
        <f>VLOOKUP($A75,'Data shares'!$C:$FA,128)*100</f>
        <v>8.6900000000000013</v>
      </c>
      <c r="F75" s="49">
        <f>VLOOKUP($A75,'Data shares'!$C:$FA,129)</f>
        <v>8971800</v>
      </c>
      <c r="G75" s="17"/>
    </row>
    <row r="76" spans="1:7" x14ac:dyDescent="0.25">
      <c r="A76" s="101" t="s">
        <v>219</v>
      </c>
      <c r="B76" s="17">
        <v>75317259</v>
      </c>
      <c r="C76" s="17">
        <v>12188500</v>
      </c>
      <c r="D76" s="17">
        <f t="shared" si="1"/>
        <v>12188500</v>
      </c>
      <c r="E76" s="49">
        <f>VLOOKUP($A76,'Data shares'!$C:$FA,128)*100</f>
        <v>1.38</v>
      </c>
      <c r="F76" s="49">
        <f>VLOOKUP($A76,'Data shares'!$C:$FA,129)</f>
        <v>82000</v>
      </c>
      <c r="G76" s="17"/>
    </row>
    <row r="77" spans="1:7" x14ac:dyDescent="0.25">
      <c r="A77" s="101" t="s">
        <v>534</v>
      </c>
      <c r="B77" s="17">
        <v>70381221</v>
      </c>
      <c r="C77" s="17">
        <v>3354100</v>
      </c>
      <c r="D77" s="17">
        <f t="shared" si="1"/>
        <v>3354100</v>
      </c>
      <c r="E77" s="49">
        <f>VLOOKUP($A77,'Data shares'!$C:$FA,128)*100</f>
        <v>1.38</v>
      </c>
      <c r="F77" s="49">
        <f>VLOOKUP($A77,'Data shares'!$C:$FA,129)</f>
        <v>82000</v>
      </c>
      <c r="G77" s="17"/>
    </row>
    <row r="78" spans="1:7" x14ac:dyDescent="0.25">
      <c r="A78" s="101" t="s">
        <v>516</v>
      </c>
      <c r="B78" s="17">
        <v>27254349</v>
      </c>
      <c r="C78" s="17">
        <v>1133550</v>
      </c>
      <c r="D78" s="17">
        <f t="shared" si="1"/>
        <v>1133550</v>
      </c>
      <c r="E78" s="49">
        <f>VLOOKUP($A78,'Data shares'!$C:$FA,128)*100</f>
        <v>4.2299999999999995</v>
      </c>
      <c r="F78" s="49">
        <f>VLOOKUP($A78,'Data shares'!$C:$FA,129)</f>
        <v>4021875</v>
      </c>
      <c r="G78" s="17"/>
    </row>
    <row r="79" spans="1:7" x14ac:dyDescent="0.25">
      <c r="A79" s="101" t="s">
        <v>271</v>
      </c>
      <c r="B79" s="17">
        <v>26746179</v>
      </c>
      <c r="C79" s="17">
        <v>5445825</v>
      </c>
      <c r="D79" s="17">
        <f t="shared" si="1"/>
        <v>5445825</v>
      </c>
      <c r="E79" s="49">
        <f>VLOOKUP($A79,'Data shares'!$C:$FA,128)*100</f>
        <v>5.53</v>
      </c>
      <c r="F79" s="49">
        <f>VLOOKUP($A79,'Data shares'!$C:$FA,129)</f>
        <v>1182475</v>
      </c>
      <c r="G79" s="17"/>
    </row>
    <row r="80" spans="1:7" x14ac:dyDescent="0.25">
      <c r="A80" s="101" t="s">
        <v>264</v>
      </c>
      <c r="B80" s="17">
        <v>15844192</v>
      </c>
      <c r="C80" s="17">
        <v>2354125</v>
      </c>
      <c r="D80" s="17">
        <f t="shared" si="1"/>
        <v>2354125</v>
      </c>
      <c r="E80" s="49">
        <f>VLOOKUP($A80,'Data shares'!$C:$FA,128)*100</f>
        <v>2.71</v>
      </c>
      <c r="F80" s="49">
        <f>VLOOKUP($A80,'Data shares'!$C:$FA,129)</f>
        <v>285750</v>
      </c>
      <c r="G80" s="17"/>
    </row>
    <row r="81" spans="1:7" x14ac:dyDescent="0.25">
      <c r="A81" s="101" t="s">
        <v>208</v>
      </c>
      <c r="B81" s="17">
        <v>24296838</v>
      </c>
      <c r="C81" s="17">
        <v>5125750</v>
      </c>
      <c r="D81" s="17">
        <f t="shared" si="1"/>
        <v>5125750</v>
      </c>
      <c r="E81" s="49">
        <f>VLOOKUP($A81,'Data shares'!$C:$FA,128)*100</f>
        <v>1.8900000000000001</v>
      </c>
      <c r="F81" s="49">
        <f>VLOOKUP($A81,'Data shares'!$C:$FA,129)</f>
        <v>235625</v>
      </c>
      <c r="G81" s="17"/>
    </row>
    <row r="82" spans="1:7" x14ac:dyDescent="0.25">
      <c r="A82" s="101" t="s">
        <v>552</v>
      </c>
      <c r="B82" s="17">
        <v>23447901</v>
      </c>
      <c r="C82" s="17">
        <v>3785600</v>
      </c>
      <c r="D82" s="17">
        <f t="shared" si="1"/>
        <v>3785600</v>
      </c>
      <c r="E82" s="49">
        <f>VLOOKUP($A82,'Data shares'!$C:$FA,128)*100</f>
        <v>0</v>
      </c>
      <c r="F82" s="49">
        <f>VLOOKUP($A82,'Data shares'!$C:$FA,129)</f>
        <v>0</v>
      </c>
      <c r="G82" s="17"/>
    </row>
    <row r="83" spans="1:7" x14ac:dyDescent="0.25">
      <c r="A83" s="101" t="s">
        <v>204</v>
      </c>
      <c r="B83" s="17">
        <v>115362060</v>
      </c>
      <c r="C83" s="17">
        <v>19043750</v>
      </c>
      <c r="D83" s="17">
        <f t="shared" si="1"/>
        <v>19043750</v>
      </c>
      <c r="E83" s="49">
        <f>VLOOKUP($A83,'Data shares'!$C:$FA,128)*100</f>
        <v>2.71</v>
      </c>
      <c r="F83" s="49">
        <f>VLOOKUP($A83,'Data shares'!$C:$FA,129)</f>
        <v>595000</v>
      </c>
      <c r="G83" s="17"/>
    </row>
    <row r="84" spans="1:7" x14ac:dyDescent="0.25">
      <c r="A84" s="101" t="s">
        <v>528</v>
      </c>
      <c r="B84" s="17">
        <v>23485458</v>
      </c>
      <c r="C84" s="17">
        <v>4272800</v>
      </c>
      <c r="D84" s="17">
        <f t="shared" si="1"/>
        <v>4272800</v>
      </c>
      <c r="E84" s="49">
        <f>VLOOKUP($A84,'Data shares'!$C:$FA,128)*100</f>
        <v>4.58</v>
      </c>
      <c r="F84" s="49">
        <f>VLOOKUP($A84,'Data shares'!$C:$FA,129)</f>
        <v>315700</v>
      </c>
      <c r="G84" s="17"/>
    </row>
    <row r="85" spans="1:7" x14ac:dyDescent="0.25">
      <c r="A85" s="101" t="s">
        <v>551</v>
      </c>
      <c r="B85" s="17">
        <v>39593365</v>
      </c>
      <c r="C85" s="17">
        <v>12215000</v>
      </c>
      <c r="D85" s="17">
        <f t="shared" si="1"/>
        <v>12215000</v>
      </c>
      <c r="E85" s="49">
        <f>VLOOKUP($A85,'Data shares'!$C:$FA,128)*100</f>
        <v>1.68</v>
      </c>
      <c r="F85" s="49">
        <f>VLOOKUP($A85,'Data shares'!$C:$FA,129)</f>
        <v>104400</v>
      </c>
      <c r="G85" s="17"/>
    </row>
    <row r="86" spans="1:7" x14ac:dyDescent="0.25">
      <c r="A86" s="101" t="s">
        <v>292</v>
      </c>
      <c r="B86" s="17">
        <v>355933451</v>
      </c>
      <c r="C86" s="17">
        <v>204117000</v>
      </c>
      <c r="D86" s="17">
        <f t="shared" si="1"/>
        <v>204117000</v>
      </c>
      <c r="E86" s="49">
        <f>VLOOKUP($A86,'Data shares'!$C:$FA,128)*100</f>
        <v>16.619999999999997</v>
      </c>
      <c r="F86" s="49">
        <f>VLOOKUP($A86,'Data shares'!$C:$FA,129)</f>
        <v>275200</v>
      </c>
      <c r="G86" s="17"/>
    </row>
    <row r="87" spans="1:7" x14ac:dyDescent="0.25">
      <c r="A87" s="101" t="s">
        <v>239</v>
      </c>
      <c r="B87" s="17">
        <v>117569462</v>
      </c>
      <c r="C87" s="17">
        <v>39785400</v>
      </c>
      <c r="D87" s="17">
        <f t="shared" si="1"/>
        <v>39785400</v>
      </c>
      <c r="E87" s="49">
        <f>VLOOKUP($A87,'Data shares'!$C:$FA,128)*100</f>
        <v>11.58</v>
      </c>
      <c r="F87" s="49">
        <f>VLOOKUP($A87,'Data shares'!$C:$FA,129)</f>
        <v>3600100</v>
      </c>
      <c r="G87" s="17"/>
    </row>
    <row r="88" spans="1:7" x14ac:dyDescent="0.25">
      <c r="A88" s="101" t="s">
        <v>513</v>
      </c>
      <c r="B88" s="17">
        <v>16619018</v>
      </c>
      <c r="C88" s="17">
        <v>3155425</v>
      </c>
      <c r="D88" s="17">
        <f t="shared" si="1"/>
        <v>3155425</v>
      </c>
      <c r="E88" s="49">
        <f>VLOOKUP($A88,'Data shares'!$C:$FA,128)*100</f>
        <v>8.0399999999999991</v>
      </c>
      <c r="F88" s="49">
        <f>VLOOKUP($A88,'Data shares'!$C:$FA,129)</f>
        <v>835350</v>
      </c>
      <c r="G88" s="17"/>
    </row>
    <row r="89" spans="1:7" x14ac:dyDescent="0.25">
      <c r="A89" s="101" t="s">
        <v>224</v>
      </c>
      <c r="B89" s="17">
        <v>669931623</v>
      </c>
      <c r="C89" s="17">
        <v>82663350</v>
      </c>
      <c r="D89" s="17">
        <f t="shared" si="1"/>
        <v>82663350</v>
      </c>
      <c r="E89" s="49">
        <f>VLOOKUP($A89,'Data shares'!$C:$FA,128)*100</f>
        <v>12.68</v>
      </c>
      <c r="F89" s="49">
        <f>VLOOKUP($A89,'Data shares'!$C:$FA,129)</f>
        <v>39425650</v>
      </c>
      <c r="G89" s="17"/>
    </row>
    <row r="90" spans="1:7" x14ac:dyDescent="0.25">
      <c r="A90" s="101" t="s">
        <v>232</v>
      </c>
      <c r="B90" s="17">
        <v>1110506052</v>
      </c>
      <c r="C90" s="17">
        <v>174065375</v>
      </c>
      <c r="D90" s="17">
        <f t="shared" si="1"/>
        <v>174065375</v>
      </c>
      <c r="E90" s="49">
        <f>VLOOKUP($A90,'Data shares'!$C:$FA,128)*100</f>
        <v>8.3800000000000008</v>
      </c>
      <c r="F90" s="49">
        <f>VLOOKUP($A90,'Data shares'!$C:$FA,129)</f>
        <v>10332000</v>
      </c>
      <c r="G90" s="17"/>
    </row>
    <row r="91" spans="1:7" x14ac:dyDescent="0.25">
      <c r="A91" s="101" t="s">
        <v>223</v>
      </c>
      <c r="B91" s="17">
        <v>362202362</v>
      </c>
      <c r="C91" s="17">
        <v>34249800</v>
      </c>
      <c r="D91" s="17">
        <f t="shared" si="1"/>
        <v>34249800</v>
      </c>
      <c r="E91" s="49">
        <f>VLOOKUP($A91,'Data shares'!$C:$FA,128)*100</f>
        <v>2.42</v>
      </c>
      <c r="F91" s="49">
        <f>VLOOKUP($A91,'Data shares'!$C:$FA,129)</f>
        <v>615300</v>
      </c>
      <c r="G91" s="17"/>
    </row>
    <row r="92" spans="1:7" x14ac:dyDescent="0.25">
      <c r="A92" s="101" t="s">
        <v>218</v>
      </c>
      <c r="B92" s="17">
        <v>23110810</v>
      </c>
      <c r="C92" s="17">
        <v>6940375</v>
      </c>
      <c r="D92" s="17">
        <f t="shared" si="1"/>
        <v>6940375</v>
      </c>
      <c r="E92" s="49">
        <f>VLOOKUP($A92,'Data shares'!$C:$FA,128)*100</f>
        <v>2.94</v>
      </c>
      <c r="F92" s="49">
        <f>VLOOKUP($A92,'Data shares'!$C:$FA,129)</f>
        <v>225775</v>
      </c>
      <c r="G92" s="17"/>
    </row>
    <row r="93" spans="1:7" x14ac:dyDescent="0.25">
      <c r="A93" s="101" t="s">
        <v>236</v>
      </c>
      <c r="B93" s="17">
        <v>77000080</v>
      </c>
      <c r="C93" s="17">
        <v>25785375</v>
      </c>
      <c r="D93" s="17">
        <f t="shared" si="1"/>
        <v>25785375</v>
      </c>
      <c r="E93" s="49">
        <f>VLOOKUP($A93,'Data shares'!$C:$FA,128)*100</f>
        <v>13.29</v>
      </c>
      <c r="F93" s="49">
        <f>VLOOKUP($A93,'Data shares'!$C:$FA,129)</f>
        <v>9495000</v>
      </c>
      <c r="G93" s="17"/>
    </row>
    <row r="94" spans="1:7" x14ac:dyDescent="0.25">
      <c r="A94" s="101" t="s">
        <v>246</v>
      </c>
      <c r="B94" s="17">
        <v>293666614</v>
      </c>
      <c r="C94" s="17">
        <v>30730800</v>
      </c>
      <c r="D94" s="17">
        <f t="shared" si="1"/>
        <v>30730800</v>
      </c>
      <c r="E94" s="49">
        <f>VLOOKUP($A94,'Data shares'!$C:$FA,128)*100</f>
        <v>3.84</v>
      </c>
      <c r="F94" s="49">
        <f>VLOOKUP($A94,'Data shares'!$C:$FA,129)</f>
        <v>6792000</v>
      </c>
      <c r="G94" s="17"/>
    </row>
    <row r="95" spans="1:7" x14ac:dyDescent="0.25">
      <c r="A95" s="101" t="s">
        <v>532</v>
      </c>
      <c r="B95" s="17">
        <v>32892110</v>
      </c>
      <c r="C95" s="17">
        <v>6216000</v>
      </c>
      <c r="D95" s="17">
        <f t="shared" si="1"/>
        <v>6216000</v>
      </c>
      <c r="E95" s="49">
        <f>VLOOKUP($A95,'Data shares'!$C:$FA,128)*100</f>
        <v>1.6</v>
      </c>
      <c r="F95" s="49">
        <f>VLOOKUP($A95,'Data shares'!$C:$FA,129)</f>
        <v>251600</v>
      </c>
      <c r="G95" s="17"/>
    </row>
    <row r="96" spans="1:7" x14ac:dyDescent="0.25">
      <c r="A96" s="101" t="s">
        <v>242</v>
      </c>
      <c r="B96" s="17">
        <v>2461627231</v>
      </c>
      <c r="C96" s="17">
        <v>322832000</v>
      </c>
      <c r="D96" s="17">
        <f t="shared" si="1"/>
        <v>322832000</v>
      </c>
      <c r="E96" s="49">
        <f>VLOOKUP($A96,'Data shares'!$C:$FA,128)*100</f>
        <v>8.4599999999999991</v>
      </c>
      <c r="F96" s="49">
        <f>VLOOKUP($A96,'Data shares'!$C:$FA,129)</f>
        <v>13729600</v>
      </c>
      <c r="G96" s="17"/>
    </row>
    <row r="97" spans="1:7" x14ac:dyDescent="0.25">
      <c r="A97" s="101" t="s">
        <v>165</v>
      </c>
      <c r="B97" s="17">
        <v>20321931</v>
      </c>
      <c r="C97" s="17">
        <v>3675125</v>
      </c>
      <c r="D97" s="17">
        <f t="shared" si="1"/>
        <v>3675125</v>
      </c>
      <c r="E97" s="49">
        <f>VLOOKUP($A97,'Data shares'!$C:$FA,128)*100</f>
        <v>2.1800000000000002</v>
      </c>
      <c r="F97" s="49">
        <f>VLOOKUP($A97,'Data shares'!$C:$FA,129)</f>
        <v>40875</v>
      </c>
      <c r="G97" s="17"/>
    </row>
    <row r="98" spans="1:7" x14ac:dyDescent="0.25">
      <c r="A98" s="101" t="s">
        <v>503</v>
      </c>
      <c r="B98" s="17">
        <v>17788750</v>
      </c>
      <c r="C98" s="17">
        <v>925925</v>
      </c>
      <c r="D98" s="17">
        <f t="shared" si="1"/>
        <v>925925</v>
      </c>
      <c r="E98" s="49">
        <f>VLOOKUP($A98,'Data shares'!$C:$FA,128)*100</f>
        <v>11.16</v>
      </c>
      <c r="F98" s="49">
        <f>VLOOKUP($A98,'Data shares'!$C:$FA,129)</f>
        <v>1156000</v>
      </c>
      <c r="G98" s="17"/>
    </row>
    <row r="99" spans="1:7" x14ac:dyDescent="0.25">
      <c r="A99" s="101" t="s">
        <v>192</v>
      </c>
      <c r="B99" s="17">
        <v>1737683</v>
      </c>
      <c r="C99" s="17">
        <v>235900</v>
      </c>
      <c r="D99" s="17">
        <f t="shared" si="1"/>
        <v>235900</v>
      </c>
      <c r="E99" s="49">
        <f>VLOOKUP($A99,'Data shares'!$C:$FA,128)*100</f>
        <v>3.6799999999999997</v>
      </c>
      <c r="F99" s="49">
        <f>VLOOKUP($A99,'Data shares'!$C:$FA,129)</f>
        <v>7525</v>
      </c>
      <c r="G99" s="17"/>
    </row>
    <row r="100" spans="1:7" x14ac:dyDescent="0.25">
      <c r="A100" s="101" t="s">
        <v>531</v>
      </c>
      <c r="B100" s="17">
        <v>33015657</v>
      </c>
      <c r="C100" s="17">
        <v>9033700</v>
      </c>
      <c r="D100" s="17">
        <f t="shared" si="1"/>
        <v>9033700</v>
      </c>
      <c r="E100" s="49">
        <f>VLOOKUP($A100,'Data shares'!$C:$FA,128)*100</f>
        <v>8.76</v>
      </c>
      <c r="F100" s="49">
        <f>VLOOKUP($A100,'Data shares'!$C:$FA,129)</f>
        <v>699375</v>
      </c>
      <c r="G100" s="17"/>
    </row>
    <row r="101" spans="1:7" x14ac:dyDescent="0.25">
      <c r="A101" s="101" t="s">
        <v>494</v>
      </c>
      <c r="B101" s="17">
        <v>147873568</v>
      </c>
      <c r="C101" s="17">
        <v>20386400</v>
      </c>
      <c r="D101" s="17">
        <f t="shared" si="1"/>
        <v>20386400</v>
      </c>
      <c r="E101" s="49">
        <f>VLOOKUP($A101,'Data shares'!$C:$FA,128)*100</f>
        <v>2.3199999999999998</v>
      </c>
      <c r="F101" s="49">
        <f>VLOOKUP($A101,'Data shares'!$C:$FA,129)</f>
        <v>1006200</v>
      </c>
      <c r="G101" s="17"/>
    </row>
    <row r="102" spans="1:7" x14ac:dyDescent="0.25">
      <c r="A102" s="101" t="s">
        <v>473</v>
      </c>
      <c r="B102" s="17">
        <v>162372116</v>
      </c>
      <c r="C102" s="17">
        <v>43206800</v>
      </c>
      <c r="D102" s="17">
        <f t="shared" si="1"/>
        <v>43206800</v>
      </c>
      <c r="E102" s="49">
        <f>VLOOKUP($A102,'Data shares'!$C:$FA,128)*100</f>
        <v>2.11</v>
      </c>
      <c r="F102" s="49">
        <f>VLOOKUP($A102,'Data shares'!$C:$FA,129)</f>
        <v>1167900</v>
      </c>
      <c r="G102" s="17"/>
    </row>
    <row r="103" spans="1:7" x14ac:dyDescent="0.25">
      <c r="A103" s="101" t="s">
        <v>225</v>
      </c>
      <c r="B103" s="17">
        <v>187118353</v>
      </c>
      <c r="C103" s="17">
        <v>49800300</v>
      </c>
      <c r="D103" s="17">
        <f t="shared" si="1"/>
        <v>49800300</v>
      </c>
      <c r="E103" s="49">
        <f>VLOOKUP($A103,'Data shares'!$C:$FA,128)*100</f>
        <v>3.49</v>
      </c>
      <c r="F103" s="49">
        <f>VLOOKUP($A103,'Data shares'!$C:$FA,129)</f>
        <v>1229800</v>
      </c>
      <c r="G103" s="17"/>
    </row>
    <row r="104" spans="1:7" x14ac:dyDescent="0.25">
      <c r="A104" s="101" t="s">
        <v>504</v>
      </c>
      <c r="B104" s="17">
        <v>12641694</v>
      </c>
      <c r="C104" s="17">
        <v>6728400</v>
      </c>
      <c r="D104" s="17">
        <f t="shared" si="1"/>
        <v>6728400</v>
      </c>
      <c r="E104" s="49">
        <f>VLOOKUP($A104,'Data shares'!$C:$FA,128)*100</f>
        <v>2.8400000000000003</v>
      </c>
      <c r="F104" s="49">
        <f>VLOOKUP($A104,'Data shares'!$C:$FA,129)</f>
        <v>91400</v>
      </c>
      <c r="G104" s="17"/>
    </row>
    <row r="105" spans="1:7" x14ac:dyDescent="0.25">
      <c r="A105" s="101" t="s">
        <v>537</v>
      </c>
      <c r="B105" s="17">
        <v>6343591</v>
      </c>
      <c r="C105" s="17">
        <v>1262250</v>
      </c>
      <c r="D105" s="17">
        <f t="shared" si="1"/>
        <v>1262250</v>
      </c>
      <c r="E105" s="49">
        <f>VLOOKUP($A105,'Data shares'!$C:$FA,128)*100</f>
        <v>12.36</v>
      </c>
      <c r="F105" s="49">
        <f>VLOOKUP($A105,'Data shares'!$C:$FA,129)</f>
        <v>477750</v>
      </c>
      <c r="G105" s="17"/>
    </row>
    <row r="106" spans="1:7" x14ac:dyDescent="0.25">
      <c r="A106" s="101" t="s">
        <v>256</v>
      </c>
      <c r="B106" s="17">
        <v>62880735</v>
      </c>
      <c r="C106" s="17">
        <v>20391250</v>
      </c>
      <c r="D106" s="17">
        <f t="shared" si="1"/>
        <v>20391250</v>
      </c>
      <c r="E106" s="49">
        <f>VLOOKUP($A106,'Data shares'!$C:$FA,128)*100</f>
        <v>16.470000000000002</v>
      </c>
      <c r="F106" s="49">
        <f>VLOOKUP($A106,'Data shares'!$C:$FA,129)</f>
        <v>750600</v>
      </c>
      <c r="G106" s="17"/>
    </row>
    <row r="107" spans="1:7" x14ac:dyDescent="0.25">
      <c r="A107" s="101" t="s">
        <v>514</v>
      </c>
      <c r="B107" s="17">
        <v>179174844</v>
      </c>
      <c r="C107" s="17">
        <v>67477500</v>
      </c>
      <c r="D107" s="17">
        <f t="shared" si="1"/>
        <v>67477500</v>
      </c>
      <c r="E107" s="49">
        <f>VLOOKUP($A107,'Data shares'!$C:$FA,128)*100</f>
        <v>13.29</v>
      </c>
      <c r="F107" s="49">
        <f>VLOOKUP($A107,'Data shares'!$C:$FA,129)</f>
        <v>9495000</v>
      </c>
      <c r="G107" s="17"/>
    </row>
    <row r="108" spans="1:7" x14ac:dyDescent="0.25">
      <c r="A108" s="101" t="s">
        <v>272</v>
      </c>
      <c r="B108" s="17">
        <v>150000017</v>
      </c>
      <c r="C108" s="17">
        <v>35217000</v>
      </c>
      <c r="D108" s="17">
        <f t="shared" si="1"/>
        <v>35217000</v>
      </c>
      <c r="E108" s="49">
        <f>VLOOKUP($A108,'Data shares'!$C:$FA,128)*100</f>
        <v>20.72</v>
      </c>
      <c r="F108" s="49">
        <f>VLOOKUP($A108,'Data shares'!$C:$FA,129)</f>
        <v>6775400</v>
      </c>
      <c r="G108" s="17"/>
    </row>
    <row r="109" spans="1:7" x14ac:dyDescent="0.25">
      <c r="A109" s="101" t="s">
        <v>470</v>
      </c>
      <c r="B109" s="17">
        <v>6091932</v>
      </c>
      <c r="C109" s="17">
        <v>1893300</v>
      </c>
      <c r="D109" s="17">
        <f t="shared" si="1"/>
        <v>1893300</v>
      </c>
      <c r="E109" s="49">
        <f>VLOOKUP($A109,'Data shares'!$C:$FA,128)*100</f>
        <v>5.13</v>
      </c>
      <c r="F109" s="49">
        <f>VLOOKUP($A109,'Data shares'!$C:$FA,129)</f>
        <v>1359000</v>
      </c>
      <c r="G109" s="17"/>
    </row>
    <row r="110" spans="1:7" x14ac:dyDescent="0.25">
      <c r="A110" s="101" t="s">
        <v>176</v>
      </c>
      <c r="B110" s="17">
        <v>12437219</v>
      </c>
      <c r="C110" s="17">
        <v>1155950</v>
      </c>
      <c r="D110" s="17">
        <f t="shared" si="1"/>
        <v>1155950</v>
      </c>
      <c r="E110" s="49">
        <f>VLOOKUP($A110,'Data shares'!$C:$FA,128)*100</f>
        <v>2.64</v>
      </c>
      <c r="F110" s="49">
        <f>VLOOKUP($A110,'Data shares'!$C:$FA,129)</f>
        <v>309750</v>
      </c>
      <c r="G110" s="17"/>
    </row>
    <row r="111" spans="1:7" x14ac:dyDescent="0.25">
      <c r="A111" s="101" t="s">
        <v>524</v>
      </c>
      <c r="B111" s="17">
        <v>16479425</v>
      </c>
      <c r="C111" s="17">
        <v>1670750</v>
      </c>
      <c r="D111" s="17">
        <f t="shared" si="1"/>
        <v>1670750</v>
      </c>
      <c r="E111" s="49">
        <f>VLOOKUP($A111,'Data shares'!$C:$FA,128)*100</f>
        <v>7.870000000000001</v>
      </c>
      <c r="F111" s="49">
        <f>VLOOKUP($A111,'Data shares'!$C:$FA,129)</f>
        <v>104325</v>
      </c>
      <c r="G111" s="17"/>
    </row>
    <row r="112" spans="1:7" x14ac:dyDescent="0.25">
      <c r="A112" s="101" t="s">
        <v>487</v>
      </c>
      <c r="B112" s="17">
        <v>16533935</v>
      </c>
      <c r="C112" s="17">
        <v>1807050</v>
      </c>
      <c r="D112" s="17">
        <f t="shared" si="1"/>
        <v>1807050</v>
      </c>
      <c r="E112" s="49">
        <f>VLOOKUP($A112,'Data shares'!$C:$FA,128)*100</f>
        <v>2.5</v>
      </c>
      <c r="F112" s="49">
        <f>VLOOKUP($A112,'Data shares'!$C:$FA,129)</f>
        <v>138600</v>
      </c>
      <c r="G112" s="17"/>
    </row>
    <row r="113" spans="1:7" x14ac:dyDescent="0.25">
      <c r="A113" s="101" t="s">
        <v>305</v>
      </c>
      <c r="B113" s="17">
        <v>46126252</v>
      </c>
      <c r="C113" s="17">
        <v>7513500</v>
      </c>
      <c r="D113" s="17">
        <f t="shared" si="1"/>
        <v>7513500</v>
      </c>
      <c r="E113" s="49">
        <f>VLOOKUP($A113,'Data shares'!$C:$FA,128)*100</f>
        <v>8.6199999999999992</v>
      </c>
      <c r="F113" s="49">
        <f>VLOOKUP($A113,'Data shares'!$C:$FA,129)</f>
        <v>686625</v>
      </c>
      <c r="G113" s="17"/>
    </row>
    <row r="114" spans="1:7" x14ac:dyDescent="0.25">
      <c r="A114" s="101" t="s">
        <v>238</v>
      </c>
      <c r="B114" s="17">
        <v>19428657</v>
      </c>
      <c r="C114" s="17">
        <v>5637750</v>
      </c>
      <c r="D114" s="17">
        <f t="shared" si="1"/>
        <v>5637750</v>
      </c>
      <c r="E114" s="49">
        <f>VLOOKUP($A114,'Data shares'!$C:$FA,128)*100</f>
        <v>10.47</v>
      </c>
      <c r="F114" s="49">
        <f>VLOOKUP($A114,'Data shares'!$C:$FA,129)</f>
        <v>993300</v>
      </c>
      <c r="G114" s="17"/>
    </row>
    <row r="115" spans="1:7" x14ac:dyDescent="0.25">
      <c r="A115" s="101" t="s">
        <v>527</v>
      </c>
      <c r="B115" s="17">
        <v>7494363</v>
      </c>
      <c r="C115" s="17">
        <v>739375</v>
      </c>
      <c r="D115" s="17">
        <f t="shared" si="1"/>
        <v>739375</v>
      </c>
      <c r="E115" s="49">
        <f>VLOOKUP($A115,'Data shares'!$C:$FA,128)*100</f>
        <v>9.2799999999999994</v>
      </c>
      <c r="F115" s="49">
        <f>VLOOKUP($A115,'Data shares'!$C:$FA,129)</f>
        <v>15596950</v>
      </c>
      <c r="G115" s="17"/>
    </row>
    <row r="116" spans="1:7" x14ac:dyDescent="0.25">
      <c r="A116" s="101" t="s">
        <v>489</v>
      </c>
      <c r="B116" s="17">
        <v>9087752</v>
      </c>
      <c r="C116" s="17">
        <v>1575750</v>
      </c>
      <c r="D116" s="17">
        <f t="shared" si="1"/>
        <v>1575750</v>
      </c>
      <c r="E116" s="49">
        <f>VLOOKUP($A116,'Data shares'!$C:$FA,128)*100</f>
        <v>7.88</v>
      </c>
      <c r="F116" s="49">
        <f>VLOOKUP($A116,'Data shares'!$C:$FA,129)</f>
        <v>4869000</v>
      </c>
      <c r="G116" s="17"/>
    </row>
    <row r="117" spans="1:7" x14ac:dyDescent="0.25">
      <c r="A117" s="101" t="s">
        <v>484</v>
      </c>
      <c r="B117" s="17">
        <v>3300938</v>
      </c>
      <c r="C117" s="17">
        <v>190125</v>
      </c>
      <c r="D117" s="17">
        <f t="shared" si="1"/>
        <v>190125</v>
      </c>
      <c r="E117" s="49">
        <f>VLOOKUP($A117,'Data shares'!$C:$FA,128)*100</f>
        <v>19.05</v>
      </c>
      <c r="F117" s="49">
        <f>VLOOKUP($A117,'Data shares'!$C:$FA,129)</f>
        <v>12474800</v>
      </c>
      <c r="G117" s="17"/>
    </row>
    <row r="118" spans="1:7" x14ac:dyDescent="0.25">
      <c r="A118" s="101" t="s">
        <v>285</v>
      </c>
      <c r="B118" s="17">
        <v>17806068</v>
      </c>
      <c r="C118" s="17">
        <v>1857900</v>
      </c>
      <c r="D118" s="17">
        <f t="shared" si="1"/>
        <v>1857900</v>
      </c>
      <c r="E118" s="49">
        <f>VLOOKUP($A118,'Data shares'!$C:$FA,128)*100</f>
        <v>2.5700000000000003</v>
      </c>
      <c r="F118" s="49">
        <f>VLOOKUP($A118,'Data shares'!$C:$FA,129)</f>
        <v>59675</v>
      </c>
      <c r="G118" s="17"/>
    </row>
    <row r="119" spans="1:7" x14ac:dyDescent="0.25">
      <c r="A119" s="101" t="s">
        <v>554</v>
      </c>
      <c r="B119" s="17">
        <v>18562709</v>
      </c>
      <c r="C119" s="17">
        <v>2173500</v>
      </c>
      <c r="D119" s="17">
        <f t="shared" si="1"/>
        <v>2173500</v>
      </c>
      <c r="E119" s="49">
        <f>VLOOKUP($A119,'Data shares'!$C:$FA,128)*100</f>
        <v>6.04</v>
      </c>
      <c r="F119" s="49">
        <f>VLOOKUP($A119,'Data shares'!$C:$FA,129)</f>
        <v>5466175</v>
      </c>
      <c r="G119" s="17"/>
    </row>
    <row r="120" spans="1:7" x14ac:dyDescent="0.25">
      <c r="A120" s="101" t="s">
        <v>293</v>
      </c>
      <c r="B120" s="17">
        <v>339616396</v>
      </c>
      <c r="C120" s="17">
        <v>214528500</v>
      </c>
      <c r="D120" s="17">
        <f t="shared" si="1"/>
        <v>214528500</v>
      </c>
      <c r="E120" s="49">
        <f>VLOOKUP($A120,'Data shares'!$C:$FA,128)*100</f>
        <v>4.34</v>
      </c>
      <c r="F120" s="49">
        <f>VLOOKUP($A120,'Data shares'!$C:$FA,129)</f>
        <v>2101050</v>
      </c>
      <c r="G120" s="17"/>
    </row>
    <row r="121" spans="1:7" x14ac:dyDescent="0.25">
      <c r="A121" s="101" t="s">
        <v>282</v>
      </c>
      <c r="B121" s="17">
        <v>289139949</v>
      </c>
      <c r="C121" s="17">
        <v>230878500</v>
      </c>
      <c r="D121" s="17">
        <f t="shared" si="1"/>
        <v>230878500</v>
      </c>
      <c r="E121" s="49">
        <f>VLOOKUP($A121,'Data shares'!$C:$FA,128)*100</f>
        <v>15.89</v>
      </c>
      <c r="F121" s="49">
        <f>VLOOKUP($A121,'Data shares'!$C:$FA,129)</f>
        <v>32815400</v>
      </c>
      <c r="G121" s="17"/>
    </row>
    <row r="122" spans="1:7" x14ac:dyDescent="0.25">
      <c r="A122" s="101" t="s">
        <v>248</v>
      </c>
      <c r="B122" s="17">
        <v>60244101</v>
      </c>
      <c r="C122" s="17">
        <v>36578000</v>
      </c>
      <c r="D122" s="17">
        <f t="shared" si="1"/>
        <v>36578000</v>
      </c>
      <c r="E122" s="49">
        <f>VLOOKUP($A122,'Data shares'!$C:$FA,128)*100</f>
        <v>17.09</v>
      </c>
      <c r="F122" s="49">
        <f>VLOOKUP($A122,'Data shares'!$C:$FA,129)</f>
        <v>5537000</v>
      </c>
      <c r="G122" s="17"/>
    </row>
    <row r="123" spans="1:7" x14ac:dyDescent="0.25">
      <c r="A123" s="101" t="s">
        <v>189</v>
      </c>
      <c r="B123" s="17">
        <v>510707358</v>
      </c>
      <c r="C123" s="17">
        <v>94385350</v>
      </c>
      <c r="D123" s="17">
        <f t="shared" si="1"/>
        <v>94385350</v>
      </c>
      <c r="E123" s="49">
        <f>VLOOKUP($A123,'Data shares'!$C:$FA,128)*100</f>
        <v>8.4699999999999989</v>
      </c>
      <c r="F123" s="49">
        <f>VLOOKUP($A123,'Data shares'!$C:$FA,129)</f>
        <v>4918150</v>
      </c>
      <c r="G123" s="17"/>
    </row>
    <row r="124" spans="1:7" x14ac:dyDescent="0.25">
      <c r="A124" s="101" t="s">
        <v>213</v>
      </c>
      <c r="B124" s="17">
        <v>425164259</v>
      </c>
      <c r="C124" s="17">
        <v>85375600</v>
      </c>
      <c r="D124" s="17">
        <f t="shared" si="1"/>
        <v>85375600</v>
      </c>
      <c r="E124" s="49">
        <f>VLOOKUP($A124,'Data shares'!$C:$FA,128)*100</f>
        <v>7.2499999999999991</v>
      </c>
      <c r="F124" s="49">
        <f>VLOOKUP($A124,'Data shares'!$C:$FA,129)</f>
        <v>7887600</v>
      </c>
      <c r="G124" s="17"/>
    </row>
    <row r="125" spans="1:7" x14ac:dyDescent="0.25">
      <c r="A125" s="101" t="s">
        <v>295</v>
      </c>
      <c r="B125" s="17">
        <v>205769415</v>
      </c>
      <c r="C125" s="17">
        <v>21452100</v>
      </c>
      <c r="D125" s="17">
        <f t="shared" si="1"/>
        <v>21452100</v>
      </c>
      <c r="E125" s="49">
        <f>VLOOKUP($A125,'Data shares'!$C:$FA,128)*100</f>
        <v>15.73</v>
      </c>
      <c r="F125" s="49">
        <f>VLOOKUP($A125,'Data shares'!$C:$FA,129)</f>
        <v>4936225</v>
      </c>
      <c r="G125" s="17"/>
    </row>
    <row r="126" spans="1:7" x14ac:dyDescent="0.25">
      <c r="A126" s="101" t="s">
        <v>490</v>
      </c>
      <c r="B126" s="17">
        <v>52165566</v>
      </c>
      <c r="C126" s="17">
        <v>22212750</v>
      </c>
      <c r="D126" s="17">
        <f t="shared" si="1"/>
        <v>22212750</v>
      </c>
      <c r="E126" s="49">
        <f>VLOOKUP($A126,'Data shares'!$C:$FA,128)*100</f>
        <v>4.2299999999999995</v>
      </c>
      <c r="F126" s="49">
        <f>VLOOKUP($A126,'Data shares'!$C:$FA,129)</f>
        <v>4021875</v>
      </c>
      <c r="G126" s="17"/>
    </row>
    <row r="127" spans="1:7" x14ac:dyDescent="0.25">
      <c r="A127" s="101" t="s">
        <v>260</v>
      </c>
      <c r="B127" s="17">
        <v>241729538</v>
      </c>
      <c r="C127" s="17">
        <v>65383500</v>
      </c>
      <c r="D127" s="17">
        <f t="shared" si="1"/>
        <v>65383500</v>
      </c>
      <c r="E127" s="49">
        <f>VLOOKUP($A127,'Data shares'!$C:$FA,128)*100</f>
        <v>3.39</v>
      </c>
      <c r="F127" s="49">
        <f>VLOOKUP($A127,'Data shares'!$C:$FA,129)</f>
        <v>3364050</v>
      </c>
      <c r="G127" s="17"/>
    </row>
    <row r="128" spans="1:7" x14ac:dyDescent="0.25">
      <c r="A128" s="101" t="s">
        <v>171</v>
      </c>
      <c r="B128" s="17">
        <v>56444627</v>
      </c>
      <c r="C128" s="17">
        <v>23336250</v>
      </c>
      <c r="D128" s="17">
        <f t="shared" si="1"/>
        <v>23336250</v>
      </c>
      <c r="E128" s="49">
        <f>VLOOKUP($A128,'Data shares'!$C:$FA,128)*100</f>
        <v>1.21</v>
      </c>
      <c r="F128" s="49">
        <f>VLOOKUP($A128,'Data shares'!$C:$FA,129)</f>
        <v>279950</v>
      </c>
      <c r="G128" s="17"/>
    </row>
    <row r="129" spans="1:7" x14ac:dyDescent="0.25">
      <c r="A129" s="101" t="s">
        <v>462</v>
      </c>
      <c r="B129" s="17">
        <v>88648462</v>
      </c>
      <c r="C129" s="17">
        <v>11150250</v>
      </c>
      <c r="D129" s="17">
        <f t="shared" si="1"/>
        <v>11150250</v>
      </c>
      <c r="E129" s="49">
        <f>VLOOKUP($A129,'Data shares'!$C:$FA,128)*100</f>
        <v>1.76</v>
      </c>
      <c r="F129" s="49">
        <f>VLOOKUP($A129,'Data shares'!$C:$FA,129)</f>
        <v>151125</v>
      </c>
      <c r="G129" s="17"/>
    </row>
    <row r="130" spans="1:7" x14ac:dyDescent="0.25">
      <c r="A130" s="101" t="s">
        <v>274</v>
      </c>
      <c r="B130" s="17">
        <v>30511703</v>
      </c>
      <c r="C130" s="17">
        <v>3556000</v>
      </c>
      <c r="D130" s="17">
        <f t="shared" si="1"/>
        <v>3556000</v>
      </c>
      <c r="E130" s="49">
        <f>VLOOKUP($A130,'Data shares'!$C:$FA,128)*100</f>
        <v>0.91999999999999993</v>
      </c>
      <c r="F130" s="49">
        <f>VLOOKUP($A130,'Data shares'!$C:$FA,129)</f>
        <v>68000</v>
      </c>
      <c r="G130" s="17"/>
    </row>
    <row r="131" spans="1:7" x14ac:dyDescent="0.25">
      <c r="A131" s="101" t="s">
        <v>279</v>
      </c>
      <c r="B131" s="17">
        <v>119890099</v>
      </c>
      <c r="C131" s="17">
        <v>77232800</v>
      </c>
      <c r="D131" s="17">
        <f t="shared" si="1"/>
        <v>77232800</v>
      </c>
      <c r="E131" s="49">
        <f>VLOOKUP($A131,'Data shares'!$C:$FA,128)*100</f>
        <v>8.57</v>
      </c>
      <c r="F131" s="49">
        <f>VLOOKUP($A131,'Data shares'!$C:$FA,129)</f>
        <v>5670550</v>
      </c>
      <c r="G131" s="17"/>
    </row>
    <row r="132" spans="1:7" x14ac:dyDescent="0.25">
      <c r="A132" s="101" t="s">
        <v>247</v>
      </c>
      <c r="B132" s="17">
        <v>180580821</v>
      </c>
      <c r="C132" s="17">
        <v>128041552</v>
      </c>
      <c r="D132" s="17">
        <f t="shared" si="1"/>
        <v>128041552</v>
      </c>
      <c r="E132" s="49">
        <f>VLOOKUP($A132,'Data shares'!$C:$FA,128)*100</f>
        <v>8.2000000000000011</v>
      </c>
      <c r="F132" s="49">
        <f>VLOOKUP($A132,'Data shares'!$C:$FA,129)</f>
        <v>620925</v>
      </c>
      <c r="G132" s="17"/>
    </row>
    <row r="133" spans="1:7" x14ac:dyDescent="0.25">
      <c r="A133" s="101" t="s">
        <v>291</v>
      </c>
      <c r="B133" s="17">
        <v>120211514</v>
      </c>
      <c r="C133" s="17">
        <v>18359325</v>
      </c>
      <c r="D133" s="17">
        <f t="shared" si="1"/>
        <v>18359325</v>
      </c>
      <c r="E133" s="49">
        <f>VLOOKUP($A133,'Data shares'!$C:$FA,128)*100</f>
        <v>2.77</v>
      </c>
      <c r="F133" s="49">
        <f>VLOOKUP($A133,'Data shares'!$C:$FA,129)</f>
        <v>209000</v>
      </c>
      <c r="G133" s="17"/>
    </row>
    <row r="134" spans="1:7" x14ac:dyDescent="0.25">
      <c r="A134" s="101" t="s">
        <v>269</v>
      </c>
      <c r="B134" s="17">
        <v>996134149</v>
      </c>
      <c r="C134" s="17">
        <v>204565900</v>
      </c>
      <c r="D134" s="17">
        <f t="shared" si="1"/>
        <v>204565900</v>
      </c>
      <c r="E134" s="49">
        <f>VLOOKUP($A134,'Data shares'!$C:$FA,128)*100</f>
        <v>3.2800000000000002</v>
      </c>
      <c r="F134" s="49">
        <f>VLOOKUP($A134,'Data shares'!$C:$FA,129)</f>
        <v>3901500</v>
      </c>
      <c r="G134" s="17"/>
    </row>
    <row r="135" spans="1:7" x14ac:dyDescent="0.25">
      <c r="A135" s="101" t="s">
        <v>217</v>
      </c>
      <c r="B135" s="17">
        <v>75218562</v>
      </c>
      <c r="C135" s="17">
        <v>11613000</v>
      </c>
      <c r="D135" s="17">
        <f t="shared" ref="D135:D161" si="2">C135</f>
        <v>11613000</v>
      </c>
      <c r="E135" s="49">
        <f>VLOOKUP($A135,'Data shares'!$C:$FA,128)*100</f>
        <v>0.84</v>
      </c>
      <c r="F135" s="49">
        <f>VLOOKUP($A135,'Data shares'!$C:$FA,129)</f>
        <v>52500</v>
      </c>
      <c r="G135" s="17"/>
    </row>
    <row r="136" spans="1:7" x14ac:dyDescent="0.25">
      <c r="A136" s="101" t="s">
        <v>495</v>
      </c>
      <c r="B136" s="17">
        <v>44974045</v>
      </c>
      <c r="C136" s="17">
        <v>4232500</v>
      </c>
      <c r="D136" s="17">
        <f t="shared" si="2"/>
        <v>4232500</v>
      </c>
      <c r="E136" s="49">
        <f>VLOOKUP($A136,'Data shares'!$C:$FA,128)*100</f>
        <v>4.17</v>
      </c>
      <c r="F136" s="49">
        <f>VLOOKUP($A136,'Data shares'!$C:$FA,129)</f>
        <v>943000</v>
      </c>
      <c r="G136" s="17"/>
    </row>
    <row r="137" spans="1:7" x14ac:dyDescent="0.25">
      <c r="A137" s="101" t="s">
        <v>250</v>
      </c>
      <c r="B137" s="17">
        <v>48318354</v>
      </c>
      <c r="C137" s="17">
        <v>18007250</v>
      </c>
      <c r="D137" s="17">
        <f t="shared" si="2"/>
        <v>18007250</v>
      </c>
      <c r="E137" s="49">
        <f>VLOOKUP($A137,'Data shares'!$C:$FA,128)*100</f>
        <v>3.08</v>
      </c>
      <c r="F137" s="49">
        <f>VLOOKUP($A137,'Data shares'!$C:$FA,129)</f>
        <v>217600</v>
      </c>
      <c r="G137" s="17"/>
    </row>
    <row r="138" spans="1:7" x14ac:dyDescent="0.25">
      <c r="A138" s="101" t="s">
        <v>278</v>
      </c>
      <c r="B138" s="17">
        <v>27187764</v>
      </c>
      <c r="C138" s="17">
        <v>3521550</v>
      </c>
      <c r="D138" s="17">
        <f t="shared" si="2"/>
        <v>3521550</v>
      </c>
      <c r="E138" s="49">
        <f>VLOOKUP($A138,'Data shares'!$C:$FA,128)*100</f>
        <v>1.68</v>
      </c>
      <c r="F138" s="49">
        <f>VLOOKUP($A138,'Data shares'!$C:$FA,129)</f>
        <v>104400</v>
      </c>
      <c r="G138" s="17"/>
    </row>
    <row r="139" spans="1:7" x14ac:dyDescent="0.25">
      <c r="A139" s="101" t="s">
        <v>163</v>
      </c>
      <c r="B139" s="17">
        <v>24576009</v>
      </c>
      <c r="C139" s="17">
        <v>11979000</v>
      </c>
      <c r="D139" s="17">
        <f t="shared" si="2"/>
        <v>11979000</v>
      </c>
      <c r="E139" s="49">
        <f>VLOOKUP($A139,'Data shares'!$C:$FA,128)*100</f>
        <v>0.66</v>
      </c>
      <c r="F139" s="49">
        <f>VLOOKUP($A139,'Data shares'!$C:$FA,129)</f>
        <v>7125</v>
      </c>
      <c r="G139" s="17"/>
    </row>
    <row r="140" spans="1:7" x14ac:dyDescent="0.25">
      <c r="A140" s="101" t="s">
        <v>289</v>
      </c>
      <c r="B140" s="17">
        <v>19704232</v>
      </c>
      <c r="C140" s="17">
        <v>15520500</v>
      </c>
      <c r="D140" s="17">
        <f t="shared" si="2"/>
        <v>15520500</v>
      </c>
      <c r="E140" s="49">
        <f>VLOOKUP($A140,'Data shares'!$C:$FA,128)*100</f>
        <v>1.1499999999999999</v>
      </c>
      <c r="F140" s="49">
        <f>VLOOKUP($A140,'Data shares'!$C:$FA,129)</f>
        <v>240800</v>
      </c>
      <c r="G140" s="17"/>
    </row>
    <row r="141" spans="1:7" x14ac:dyDescent="0.25">
      <c r="A141" s="101" t="s">
        <v>529</v>
      </c>
      <c r="B141" s="17">
        <v>10012679</v>
      </c>
      <c r="C141" s="17">
        <v>530550</v>
      </c>
      <c r="D141" s="17">
        <f t="shared" si="2"/>
        <v>530550</v>
      </c>
      <c r="E141" s="49">
        <f>VLOOKUP($A141,'Data shares'!$C:$FA,128)*100</f>
        <v>6.18</v>
      </c>
      <c r="F141" s="49">
        <f>VLOOKUP($A141,'Data shares'!$C:$FA,129)</f>
        <v>232200</v>
      </c>
      <c r="G141" s="17"/>
    </row>
    <row r="142" spans="1:7" x14ac:dyDescent="0.25">
      <c r="A142" s="101" t="s">
        <v>265</v>
      </c>
      <c r="B142" s="17">
        <v>7180127</v>
      </c>
      <c r="C142" s="17">
        <v>429550</v>
      </c>
      <c r="D142" s="17">
        <f t="shared" si="2"/>
        <v>429550</v>
      </c>
      <c r="E142" s="49">
        <f>VLOOKUP($A142,'Data shares'!$C:$FA,128)*100</f>
        <v>4.2299999999999995</v>
      </c>
      <c r="F142" s="49">
        <f>VLOOKUP($A142,'Data shares'!$C:$FA,129)</f>
        <v>683500</v>
      </c>
      <c r="G142" s="17"/>
    </row>
    <row r="143" spans="1:7" x14ac:dyDescent="0.25">
      <c r="A143" s="101" t="s">
        <v>486</v>
      </c>
      <c r="B143" s="17">
        <v>32559242</v>
      </c>
      <c r="C143" s="17">
        <v>4156800</v>
      </c>
      <c r="D143" s="17">
        <f t="shared" si="2"/>
        <v>4156800</v>
      </c>
      <c r="E143" s="49">
        <f>VLOOKUP($A143,'Data shares'!$C:$FA,128)*100</f>
        <v>5.81</v>
      </c>
      <c r="F143" s="49">
        <f>VLOOKUP($A143,'Data shares'!$C:$FA,129)</f>
        <v>217800</v>
      </c>
      <c r="G143" s="17"/>
    </row>
    <row r="144" spans="1:7" x14ac:dyDescent="0.25">
      <c r="A144" s="101" t="s">
        <v>190</v>
      </c>
      <c r="B144" s="17">
        <v>256482590</v>
      </c>
      <c r="C144" s="17">
        <v>208761000</v>
      </c>
      <c r="D144" s="17">
        <f t="shared" si="2"/>
        <v>208761000</v>
      </c>
      <c r="E144" s="49">
        <f>VLOOKUP($A144,'Data shares'!$C:$FA,128)*100</f>
        <v>13.26</v>
      </c>
      <c r="F144" s="49">
        <f>VLOOKUP($A144,'Data shares'!$C:$FA,129)</f>
        <v>16860375</v>
      </c>
      <c r="G144" s="17"/>
    </row>
    <row r="145" spans="1:7" x14ac:dyDescent="0.25">
      <c r="A145" s="101" t="s">
        <v>303</v>
      </c>
      <c r="B145" s="17">
        <v>109653438</v>
      </c>
      <c r="C145" s="17">
        <v>37709100</v>
      </c>
      <c r="D145" s="17">
        <f t="shared" si="2"/>
        <v>37709100</v>
      </c>
      <c r="E145" s="49">
        <f>VLOOKUP($A145,'Data shares'!$C:$FA,128)*100</f>
        <v>3.7199999999999998</v>
      </c>
      <c r="F145" s="49">
        <f>VLOOKUP($A145,'Data shares'!$C:$FA,129)</f>
        <v>1120585</v>
      </c>
      <c r="G145" s="17"/>
    </row>
    <row r="146" spans="1:7" x14ac:dyDescent="0.25">
      <c r="A146" s="101" t="s">
        <v>255</v>
      </c>
      <c r="B146" s="17">
        <v>26359259</v>
      </c>
      <c r="C146" s="17">
        <v>6916100</v>
      </c>
      <c r="D146" s="17">
        <f t="shared" si="2"/>
        <v>6916100</v>
      </c>
      <c r="E146" s="49">
        <f>VLOOKUP($A146,'Data shares'!$C:$FA,128)*100</f>
        <v>3.36</v>
      </c>
      <c r="F146" s="49">
        <f>VLOOKUP($A146,'Data shares'!$C:$FA,129)</f>
        <v>78700</v>
      </c>
      <c r="G146" s="17"/>
    </row>
    <row r="147" spans="1:7" x14ac:dyDescent="0.25">
      <c r="A147" s="101" t="s">
        <v>180</v>
      </c>
      <c r="B147" s="17">
        <v>372635498</v>
      </c>
      <c r="C147" s="17">
        <v>233426700</v>
      </c>
      <c r="D147" s="17">
        <f t="shared" si="2"/>
        <v>233426700</v>
      </c>
      <c r="E147" s="49">
        <f>VLOOKUP($A147,'Data shares'!$C:$FA,128)*100</f>
        <v>16.489999999999998</v>
      </c>
      <c r="F147" s="49">
        <f>VLOOKUP($A147,'Data shares'!$C:$FA,129)</f>
        <v>16479450</v>
      </c>
      <c r="G147" s="17"/>
    </row>
    <row r="148" spans="1:7" x14ac:dyDescent="0.25">
      <c r="A148" s="101" t="s">
        <v>179</v>
      </c>
      <c r="B148" s="17">
        <v>193321473</v>
      </c>
      <c r="C148" s="17">
        <v>47098800</v>
      </c>
      <c r="D148" s="17">
        <f t="shared" si="2"/>
        <v>47098800</v>
      </c>
      <c r="E148" s="49">
        <f>VLOOKUP($A148,'Data shares'!$C:$FA,128)*100</f>
        <v>3.7800000000000002</v>
      </c>
      <c r="F148" s="49">
        <f>VLOOKUP($A148,'Data shares'!$C:$FA,129)</f>
        <v>3589200</v>
      </c>
    </row>
    <row r="149" spans="1:7" x14ac:dyDescent="0.25">
      <c r="A149" s="101" t="s">
        <v>253</v>
      </c>
      <c r="B149" s="17">
        <v>109926618</v>
      </c>
      <c r="C149" s="17">
        <v>54285000</v>
      </c>
      <c r="D149" s="17">
        <f t="shared" si="2"/>
        <v>54285000</v>
      </c>
      <c r="E149" s="49">
        <f>VLOOKUP($A149,'Data shares'!$C:$FA,128)*100</f>
        <v>3.39</v>
      </c>
      <c r="F149" s="49">
        <f>VLOOKUP($A149,'Data shares'!$C:$FA,129)</f>
        <v>1929000</v>
      </c>
    </row>
    <row r="150" spans="1:7" x14ac:dyDescent="0.25">
      <c r="A150" s="101" t="s">
        <v>261</v>
      </c>
      <c r="B150" s="17">
        <v>611563</v>
      </c>
      <c r="C150" s="17">
        <v>120180</v>
      </c>
      <c r="D150" s="17">
        <f t="shared" si="2"/>
        <v>120180</v>
      </c>
      <c r="E150" s="49">
        <f>VLOOKUP($A150,'Data shares'!$C:$FA,128)*100</f>
        <v>2.5</v>
      </c>
      <c r="F150" s="49">
        <f>VLOOKUP($A150,'Data shares'!$C:$FA,129)</f>
        <v>138600</v>
      </c>
    </row>
    <row r="151" spans="1:7" x14ac:dyDescent="0.25">
      <c r="A151" s="101" t="s">
        <v>164</v>
      </c>
      <c r="B151" s="17">
        <v>145854205</v>
      </c>
      <c r="C151" s="17">
        <v>46824000</v>
      </c>
      <c r="D151" s="17">
        <f t="shared" si="2"/>
        <v>46824000</v>
      </c>
      <c r="E151" s="49">
        <f>VLOOKUP($A151,'Data shares'!$C:$FA,128)*100</f>
        <v>11.52</v>
      </c>
      <c r="F151" s="49">
        <f>VLOOKUP($A151,'Data shares'!$C:$FA,129)</f>
        <v>5594400</v>
      </c>
    </row>
    <row r="152" spans="1:7" x14ac:dyDescent="0.25">
      <c r="A152" s="101" t="s">
        <v>526</v>
      </c>
      <c r="B152" s="17">
        <v>44365911</v>
      </c>
      <c r="C152" s="17">
        <v>20668300</v>
      </c>
      <c r="D152" s="17">
        <f t="shared" si="2"/>
        <v>20668300</v>
      </c>
      <c r="E152" s="49">
        <f>VLOOKUP($A152,'Data shares'!$C:$FA,128)*100</f>
        <v>4.3099999999999996</v>
      </c>
      <c r="F152" s="49">
        <f>VLOOKUP($A152,'Data shares'!$C:$FA,129)</f>
        <v>878000</v>
      </c>
    </row>
    <row r="153" spans="1:7" x14ac:dyDescent="0.25">
      <c r="A153" s="101" t="s">
        <v>515</v>
      </c>
      <c r="B153" s="17">
        <v>3083179</v>
      </c>
      <c r="C153" s="17">
        <v>492075</v>
      </c>
      <c r="D153" s="17">
        <f t="shared" si="2"/>
        <v>492075</v>
      </c>
      <c r="E153" s="49">
        <f>VLOOKUP($A153,'Data shares'!$C:$FA,128)*100</f>
        <v>4.3099999999999996</v>
      </c>
      <c r="F153" s="49">
        <f>VLOOKUP($A153,'Data shares'!$C:$FA,129)</f>
        <v>878000</v>
      </c>
    </row>
    <row r="154" spans="1:7" x14ac:dyDescent="0.25">
      <c r="A154" s="101" t="s">
        <v>226</v>
      </c>
      <c r="B154" s="17">
        <v>26072630</v>
      </c>
      <c r="C154" s="17">
        <v>9897900</v>
      </c>
      <c r="D154" s="17">
        <f t="shared" si="2"/>
        <v>9897900</v>
      </c>
      <c r="E154" s="49">
        <f>VLOOKUP($A154,'Data shares'!$C:$FA,128)*100</f>
        <v>2.23</v>
      </c>
      <c r="F154" s="49">
        <f>VLOOKUP($A154,'Data shares'!$C:$FA,129)</f>
        <v>72450</v>
      </c>
    </row>
    <row r="155" spans="1:7" x14ac:dyDescent="0.25">
      <c r="A155" s="101" t="s">
        <v>544</v>
      </c>
      <c r="B155" s="17">
        <v>139989683</v>
      </c>
      <c r="C155" s="17">
        <v>28415200</v>
      </c>
      <c r="D155" s="17">
        <f t="shared" si="2"/>
        <v>28415200</v>
      </c>
      <c r="E155" s="49">
        <f>VLOOKUP($A155,'Data shares'!$C:$FA,128)*100</f>
        <v>1.9800000000000002</v>
      </c>
      <c r="F155" s="49">
        <f>VLOOKUP($A155,'Data shares'!$C:$FA,129)</f>
        <v>895900</v>
      </c>
    </row>
    <row r="156" spans="1:7" x14ac:dyDescent="0.25">
      <c r="A156" s="101" t="s">
        <v>547</v>
      </c>
      <c r="B156" s="17">
        <v>65482129</v>
      </c>
      <c r="C156" s="17">
        <v>33944200</v>
      </c>
      <c r="D156" s="17">
        <f t="shared" si="2"/>
        <v>33944200</v>
      </c>
      <c r="E156" s="49">
        <f>VLOOKUP($A156,'Data shares'!$C:$FA,128)*100</f>
        <v>16.739999999999998</v>
      </c>
      <c r="F156" s="49">
        <f>VLOOKUP($A156,'Data shares'!$C:$FA,129)</f>
        <v>7442400</v>
      </c>
    </row>
    <row r="157" spans="1:7" x14ac:dyDescent="0.25">
      <c r="A157" s="101" t="s">
        <v>499</v>
      </c>
      <c r="B157" s="17">
        <v>66687240</v>
      </c>
      <c r="C157" s="17">
        <v>16125200</v>
      </c>
      <c r="D157" s="17">
        <f t="shared" si="2"/>
        <v>16125200</v>
      </c>
      <c r="E157" s="49">
        <f>VLOOKUP($A157,'Data shares'!$C:$FA,128)*100</f>
        <v>1.9800000000000002</v>
      </c>
      <c r="F157" s="49">
        <f>VLOOKUP($A157,'Data shares'!$C:$FA,129)</f>
        <v>895900</v>
      </c>
    </row>
    <row r="158" spans="1:7" x14ac:dyDescent="0.25">
      <c r="A158" s="101" t="s">
        <v>483</v>
      </c>
      <c r="B158" s="17">
        <v>16146181</v>
      </c>
      <c r="C158" s="17">
        <v>1914250</v>
      </c>
      <c r="D158" s="17">
        <f t="shared" si="2"/>
        <v>1914250</v>
      </c>
      <c r="E158" s="49">
        <f>VLOOKUP($A158,'Data shares'!$C:$FA,128)*100</f>
        <v>7.37</v>
      </c>
      <c r="F158" s="49">
        <f>VLOOKUP($A158,'Data shares'!$C:$FA,129)</f>
        <v>235725</v>
      </c>
    </row>
    <row r="159" spans="1:7" x14ac:dyDescent="0.25">
      <c r="A159" s="101" t="s">
        <v>546</v>
      </c>
      <c r="B159" s="17">
        <v>18282414</v>
      </c>
      <c r="C159" s="17">
        <v>13742300</v>
      </c>
      <c r="D159" s="17">
        <f t="shared" si="2"/>
        <v>13742300</v>
      </c>
      <c r="E159" s="49">
        <f>VLOOKUP($A159,'Data shares'!$C:$FA,128)*100</f>
        <v>4.05</v>
      </c>
      <c r="F159" s="49">
        <f>VLOOKUP($A159,'Data shares'!$C:$FA,129)</f>
        <v>5593950</v>
      </c>
    </row>
    <row r="160" spans="1:7" x14ac:dyDescent="0.25">
      <c r="A160" s="101" t="s">
        <v>220</v>
      </c>
      <c r="B160" s="17">
        <v>50687734</v>
      </c>
      <c r="C160" s="17">
        <v>6783500</v>
      </c>
      <c r="D160" s="17">
        <f t="shared" si="2"/>
        <v>6783500</v>
      </c>
      <c r="E160" s="49">
        <f>VLOOKUP($A160,'Data shares'!$C:$FA,128)*100</f>
        <v>1.83</v>
      </c>
      <c r="F160" s="49">
        <f>VLOOKUP($A160,'Data shares'!$C:$FA,129)</f>
        <v>162000</v>
      </c>
    </row>
    <row r="161" spans="1:6" x14ac:dyDescent="0.25">
      <c r="A161" s="101" t="s">
        <v>472</v>
      </c>
      <c r="B161" s="17">
        <v>50993734</v>
      </c>
      <c r="C161" s="17">
        <v>3803750</v>
      </c>
      <c r="D161" s="17">
        <f t="shared" si="2"/>
        <v>3803750</v>
      </c>
      <c r="E161" s="49">
        <f>VLOOKUP($A161,'Data shares'!$C:$FA,128)*100</f>
        <v>0.42</v>
      </c>
      <c r="F161" s="49">
        <f>VLOOKUP($A161,'Data shares'!$C:$FA,129)</f>
        <v>19500</v>
      </c>
    </row>
    <row r="162" spans="1:6" x14ac:dyDescent="0.25">
      <c r="A162" t="s">
        <v>535</v>
      </c>
      <c r="B162">
        <v>78168147</v>
      </c>
      <c r="C162">
        <v>9571500</v>
      </c>
      <c r="D162" s="17">
        <f t="shared" ref="D162:D204" si="3">C162</f>
        <v>9571500</v>
      </c>
      <c r="E162" s="49">
        <f>VLOOKUP($A162,'Data shares'!$C:$FA,128)*100</f>
        <v>7.32</v>
      </c>
      <c r="F162" s="49">
        <f>VLOOKUP($A162,'Data shares'!$C:$FA,129)</f>
        <v>1339600</v>
      </c>
    </row>
    <row r="163" spans="1:6" x14ac:dyDescent="0.25">
      <c r="A163" t="s">
        <v>492</v>
      </c>
      <c r="B163">
        <v>28779078</v>
      </c>
      <c r="C163">
        <v>14404150</v>
      </c>
      <c r="D163" s="17">
        <f t="shared" si="3"/>
        <v>14404150</v>
      </c>
      <c r="E163" s="49">
        <f>VLOOKUP($A163,'Data shares'!$C:$FA,128)*100</f>
        <v>2.94</v>
      </c>
      <c r="F163" s="49">
        <f>VLOOKUP($A163,'Data shares'!$C:$FA,129)</f>
        <v>225775</v>
      </c>
    </row>
    <row r="164" spans="1:6" x14ac:dyDescent="0.25">
      <c r="A164" t="s">
        <v>298</v>
      </c>
      <c r="B164">
        <v>9731600</v>
      </c>
      <c r="C164">
        <v>863500</v>
      </c>
      <c r="D164" s="17">
        <f t="shared" si="3"/>
        <v>863500</v>
      </c>
      <c r="E164" s="49">
        <f>VLOOKUP($A164,'Data shares'!$C:$FA,128)*100</f>
        <v>1.7399999999999998</v>
      </c>
      <c r="F164" s="49">
        <f>VLOOKUP($A164,'Data shares'!$C:$FA,129)</f>
        <v>46000</v>
      </c>
    </row>
    <row r="165" spans="1:6" x14ac:dyDescent="0.25">
      <c r="A165" t="s">
        <v>548</v>
      </c>
      <c r="B165">
        <v>442076</v>
      </c>
      <c r="C165">
        <v>9615</v>
      </c>
      <c r="D165" s="17">
        <f t="shared" si="3"/>
        <v>9615</v>
      </c>
      <c r="E165" s="49">
        <f>VLOOKUP($A165,'Data shares'!$C:$FA,128)*100</f>
        <v>9.4499999999999993</v>
      </c>
      <c r="F165" s="49">
        <f>VLOOKUP($A165,'Data shares'!$C:$FA,129)</f>
        <v>3351600</v>
      </c>
    </row>
    <row r="166" spans="1:6" x14ac:dyDescent="0.25">
      <c r="A166" t="s">
        <v>530</v>
      </c>
      <c r="B166">
        <v>3258166</v>
      </c>
      <c r="C166">
        <v>219750</v>
      </c>
      <c r="D166" s="17">
        <f t="shared" si="3"/>
        <v>219750</v>
      </c>
      <c r="E166" s="49">
        <f>VLOOKUP($A166,'Data shares'!$C:$FA,128)*100</f>
        <v>11.16</v>
      </c>
      <c r="F166" s="49">
        <f>VLOOKUP($A166,'Data shares'!$C:$FA,129)</f>
        <v>1156000</v>
      </c>
    </row>
    <row r="167" spans="1:6" x14ac:dyDescent="0.25">
      <c r="A167" t="s">
        <v>249</v>
      </c>
      <c r="B167">
        <v>277168216</v>
      </c>
      <c r="C167">
        <v>21795375</v>
      </c>
      <c r="D167" s="17">
        <f t="shared" si="3"/>
        <v>21795375</v>
      </c>
      <c r="E167" s="49">
        <f>VLOOKUP($A167,'Data shares'!$C:$FA,128)*100</f>
        <v>6.7100000000000009</v>
      </c>
      <c r="F167" s="49">
        <f>VLOOKUP($A167,'Data shares'!$C:$FA,129)</f>
        <v>824250</v>
      </c>
    </row>
    <row r="168" spans="1:6" x14ac:dyDescent="0.25">
      <c r="A168" t="s">
        <v>216</v>
      </c>
      <c r="B168">
        <v>484955219</v>
      </c>
      <c r="C168">
        <v>230400000</v>
      </c>
      <c r="D168" s="17">
        <f t="shared" si="3"/>
        <v>230400000</v>
      </c>
      <c r="E168" s="49">
        <f>VLOOKUP($A168,'Data shares'!$C:$FA,128)*100</f>
        <v>4.05</v>
      </c>
      <c r="F168" s="49">
        <f>VLOOKUP($A168,'Data shares'!$C:$FA,129)</f>
        <v>5593950</v>
      </c>
    </row>
    <row r="169" spans="1:6" x14ac:dyDescent="0.25">
      <c r="A169" t="s">
        <v>252</v>
      </c>
      <c r="B169">
        <v>117640832</v>
      </c>
      <c r="C169">
        <v>52456000</v>
      </c>
      <c r="D169" s="17">
        <f t="shared" si="3"/>
        <v>52456000</v>
      </c>
      <c r="E169" s="49">
        <f>VLOOKUP($A169,'Data shares'!$C:$FA,128)*100</f>
        <v>4.22</v>
      </c>
      <c r="F169" s="49">
        <f>VLOOKUP($A169,'Data shares'!$C:$FA,129)</f>
        <v>549400</v>
      </c>
    </row>
    <row r="170" spans="1:6" x14ac:dyDescent="0.25">
      <c r="A170" t="s">
        <v>205</v>
      </c>
      <c r="B170">
        <v>25513876</v>
      </c>
      <c r="C170">
        <v>3302300</v>
      </c>
      <c r="D170" s="17">
        <f t="shared" si="3"/>
        <v>3302300</v>
      </c>
      <c r="E170" s="49">
        <f>VLOOKUP($A170,'Data shares'!$C:$FA,128)*100</f>
        <v>3.46</v>
      </c>
      <c r="F170" s="49">
        <f>VLOOKUP($A170,'Data shares'!$C:$FA,129)</f>
        <v>87200</v>
      </c>
    </row>
    <row r="171" spans="1:6" x14ac:dyDescent="0.25">
      <c r="A171" t="s">
        <v>194</v>
      </c>
      <c r="B171">
        <v>202646440</v>
      </c>
      <c r="C171">
        <v>52470000</v>
      </c>
      <c r="D171" s="17">
        <f t="shared" si="3"/>
        <v>52470000</v>
      </c>
      <c r="E171" s="49">
        <f>VLOOKUP($A171,'Data shares'!$C:$FA,128)*100</f>
        <v>2.8400000000000003</v>
      </c>
      <c r="F171" s="49">
        <f>VLOOKUP($A171,'Data shares'!$C:$FA,129)</f>
        <v>1246225</v>
      </c>
    </row>
    <row r="172" spans="1:6" x14ac:dyDescent="0.25">
      <c r="A172" t="s">
        <v>263</v>
      </c>
      <c r="B172">
        <v>178967755</v>
      </c>
      <c r="C172">
        <v>142910500</v>
      </c>
      <c r="D172" s="17">
        <f t="shared" si="3"/>
        <v>142910500</v>
      </c>
      <c r="E172" s="49">
        <f>VLOOKUP($A172,'Data shares'!$C:$FA,128)*100</f>
        <v>22.05</v>
      </c>
      <c r="F172" s="49">
        <f>VLOOKUP($A172,'Data shares'!$C:$FA,129)</f>
        <v>12641250</v>
      </c>
    </row>
    <row r="173" spans="1:6" x14ac:dyDescent="0.25">
      <c r="A173" t="s">
        <v>476</v>
      </c>
      <c r="B173">
        <v>40446155</v>
      </c>
      <c r="C173">
        <v>4358800</v>
      </c>
      <c r="D173" s="17">
        <f t="shared" si="3"/>
        <v>4358800</v>
      </c>
      <c r="E173" s="49">
        <f>VLOOKUP($A173,'Data shares'!$C:$FA,128)*100</f>
        <v>2.02</v>
      </c>
      <c r="F173" s="49">
        <f>VLOOKUP($A173,'Data shares'!$C:$FA,129)</f>
        <v>57500</v>
      </c>
    </row>
    <row r="174" spans="1:6" x14ac:dyDescent="0.25">
      <c r="A174" t="s">
        <v>187</v>
      </c>
      <c r="B174">
        <v>51436398</v>
      </c>
      <c r="C174">
        <v>7413750</v>
      </c>
      <c r="D174" s="17">
        <f t="shared" si="3"/>
        <v>7413750</v>
      </c>
      <c r="E174" s="49">
        <f>VLOOKUP($A174,'Data shares'!$C:$FA,128)*100</f>
        <v>2.4699999999999998</v>
      </c>
      <c r="F174" s="49">
        <f>VLOOKUP($A174,'Data shares'!$C:$FA,129)</f>
        <v>157500</v>
      </c>
    </row>
    <row r="175" spans="1:6" x14ac:dyDescent="0.25">
      <c r="A175" t="s">
        <v>493</v>
      </c>
      <c r="B175">
        <v>14814614</v>
      </c>
      <c r="C175">
        <v>3344250</v>
      </c>
      <c r="D175" s="17">
        <f t="shared" si="3"/>
        <v>3344250</v>
      </c>
      <c r="E175" s="49">
        <f>VLOOKUP($A175,'Data shares'!$C:$FA,128)*100</f>
        <v>7.870000000000001</v>
      </c>
      <c r="F175" s="49">
        <f>VLOOKUP($A175,'Data shares'!$C:$FA,129)</f>
        <v>104325</v>
      </c>
    </row>
    <row r="176" spans="1:6" x14ac:dyDescent="0.25">
      <c r="A176" t="s">
        <v>525</v>
      </c>
      <c r="B176">
        <v>35635456</v>
      </c>
      <c r="C176">
        <v>28959300</v>
      </c>
      <c r="D176" s="17">
        <f t="shared" si="3"/>
        <v>28959300</v>
      </c>
      <c r="E176" s="49">
        <f>VLOOKUP($A176,'Data shares'!$C:$FA,128)*100</f>
        <v>1.82</v>
      </c>
      <c r="F176" s="49">
        <f>VLOOKUP($A176,'Data shares'!$C:$FA,129)</f>
        <v>363125</v>
      </c>
    </row>
    <row r="177" spans="1:6" x14ac:dyDescent="0.25">
      <c r="A177" t="s">
        <v>512</v>
      </c>
      <c r="B177">
        <v>7771646</v>
      </c>
      <c r="C177">
        <v>1119375</v>
      </c>
      <c r="D177" s="17">
        <f t="shared" si="3"/>
        <v>1119375</v>
      </c>
      <c r="E177" s="49">
        <f>VLOOKUP($A177,'Data shares'!$C:$FA,128)*100</f>
        <v>8.4</v>
      </c>
      <c r="F177" s="49">
        <f>VLOOKUP($A177,'Data shares'!$C:$FA,129)</f>
        <v>205550</v>
      </c>
    </row>
    <row r="178" spans="1:6" x14ac:dyDescent="0.25">
      <c r="A178" t="s">
        <v>233</v>
      </c>
      <c r="B178">
        <v>76432837</v>
      </c>
      <c r="C178">
        <v>9804000</v>
      </c>
      <c r="D178" s="17">
        <f t="shared" si="3"/>
        <v>9804000</v>
      </c>
      <c r="E178" s="49">
        <f>VLOOKUP($A178,'Data shares'!$C:$FA,128)*100</f>
        <v>0.53</v>
      </c>
      <c r="F178" s="49">
        <f>VLOOKUP($A178,'Data shares'!$C:$FA,129)</f>
        <v>94350</v>
      </c>
    </row>
    <row r="179" spans="1:6" x14ac:dyDescent="0.25">
      <c r="A179" t="s">
        <v>183</v>
      </c>
      <c r="B179">
        <v>12092405</v>
      </c>
      <c r="C179">
        <v>2606450</v>
      </c>
      <c r="D179" s="17">
        <f t="shared" si="3"/>
        <v>2606450</v>
      </c>
      <c r="E179" s="49">
        <f>VLOOKUP($A179,'Data shares'!$C:$FA,128)*100</f>
        <v>29.18</v>
      </c>
      <c r="F179" s="49">
        <f>VLOOKUP($A179,'Data shares'!$C:$FA,129)</f>
        <v>839730</v>
      </c>
    </row>
    <row r="180" spans="1:6" x14ac:dyDescent="0.25">
      <c r="A180" t="s">
        <v>280</v>
      </c>
      <c r="B180">
        <v>187084550</v>
      </c>
      <c r="C180">
        <v>50568000</v>
      </c>
      <c r="D180" s="17">
        <f t="shared" si="3"/>
        <v>50568000</v>
      </c>
      <c r="E180" s="49">
        <f>VLOOKUP($A180,'Data shares'!$C:$FA,128)*100</f>
        <v>8.93</v>
      </c>
      <c r="F180" s="49">
        <f>VLOOKUP($A180,'Data shares'!$C:$FA,129)</f>
        <v>6942600</v>
      </c>
    </row>
    <row r="181" spans="1:6" x14ac:dyDescent="0.25">
      <c r="A181" t="s">
        <v>166</v>
      </c>
      <c r="B181">
        <v>79597108</v>
      </c>
      <c r="C181">
        <v>26630000</v>
      </c>
      <c r="D181" s="17">
        <f t="shared" si="3"/>
        <v>26630000</v>
      </c>
      <c r="E181" s="49">
        <f>VLOOKUP($A181,'Data shares'!$C:$FA,128)*100</f>
        <v>2.1800000000000002</v>
      </c>
      <c r="F181" s="49">
        <f>VLOOKUP($A181,'Data shares'!$C:$FA,129)</f>
        <v>40875</v>
      </c>
    </row>
    <row r="182" spans="1:6" x14ac:dyDescent="0.25">
      <c r="A182" t="s">
        <v>241</v>
      </c>
      <c r="B182">
        <v>913205148</v>
      </c>
      <c r="C182">
        <v>118527500</v>
      </c>
      <c r="D182" s="17">
        <f t="shared" si="3"/>
        <v>118527500</v>
      </c>
      <c r="E182" s="49">
        <f>VLOOKUP($A182,'Data shares'!$C:$FA,128)*100</f>
        <v>4.2299999999999995</v>
      </c>
      <c r="F182" s="49">
        <f>VLOOKUP($A182,'Data shares'!$C:$FA,129)</f>
        <v>4021875</v>
      </c>
    </row>
    <row r="183" spans="1:6" x14ac:dyDescent="0.25">
      <c r="A183" t="s">
        <v>517</v>
      </c>
      <c r="B183">
        <v>10180563</v>
      </c>
      <c r="C183">
        <v>3926650</v>
      </c>
      <c r="D183" s="17">
        <f t="shared" si="3"/>
        <v>3926650</v>
      </c>
      <c r="E183" s="49">
        <f>VLOOKUP($A183,'Data shares'!$C:$FA,128)*100</f>
        <v>6.04</v>
      </c>
      <c r="F183" s="49">
        <f>VLOOKUP($A183,'Data shares'!$C:$FA,129)</f>
        <v>799375</v>
      </c>
    </row>
    <row r="184" spans="1:6" x14ac:dyDescent="0.25">
      <c r="A184" t="s">
        <v>211</v>
      </c>
      <c r="B184">
        <v>91809066</v>
      </c>
      <c r="C184">
        <v>33516000</v>
      </c>
      <c r="D184" s="17">
        <f t="shared" si="3"/>
        <v>33516000</v>
      </c>
      <c r="E184" s="49">
        <f>VLOOKUP($A184,'Data shares'!$C:$FA,128)*100</f>
        <v>6.17</v>
      </c>
      <c r="F184" s="49">
        <f>VLOOKUP($A184,'Data shares'!$C:$FA,129)</f>
        <v>1706400</v>
      </c>
    </row>
    <row r="185" spans="1:6" x14ac:dyDescent="0.25">
      <c r="A185" t="s">
        <v>518</v>
      </c>
      <c r="B185">
        <v>4636018</v>
      </c>
      <c r="C185">
        <v>608375</v>
      </c>
      <c r="D185" s="17">
        <f t="shared" si="3"/>
        <v>608375</v>
      </c>
      <c r="E185" s="49">
        <f>VLOOKUP($A185,'Data shares'!$C:$FA,128)*100</f>
        <v>4.3</v>
      </c>
      <c r="F185" s="49">
        <f>VLOOKUP($A185,'Data shares'!$C:$FA,129)</f>
        <v>62700</v>
      </c>
    </row>
    <row r="186" spans="1:6" x14ac:dyDescent="0.25">
      <c r="A186" t="s">
        <v>511</v>
      </c>
      <c r="B186">
        <v>18644752</v>
      </c>
      <c r="C186">
        <v>4227600</v>
      </c>
      <c r="D186" s="17">
        <f t="shared" si="3"/>
        <v>4227600</v>
      </c>
      <c r="E186" s="49">
        <f>VLOOKUP($A186,'Data shares'!$C:$FA,128)*100</f>
        <v>7.8100000000000005</v>
      </c>
      <c r="F186" s="49">
        <f>VLOOKUP($A186,'Data shares'!$C:$FA,129)</f>
        <v>13520250</v>
      </c>
    </row>
    <row r="187" spans="1:6" x14ac:dyDescent="0.25">
      <c r="A187" t="s">
        <v>186</v>
      </c>
      <c r="B187">
        <v>48589957</v>
      </c>
      <c r="C187">
        <v>5942200</v>
      </c>
      <c r="D187" s="17">
        <f t="shared" si="3"/>
        <v>5942200</v>
      </c>
      <c r="E187" s="49">
        <f>VLOOKUP($A187,'Data shares'!$C:$FA,128)*100</f>
        <v>8.6900000000000013</v>
      </c>
      <c r="F187" s="49">
        <f>VLOOKUP($A187,'Data shares'!$C:$FA,129)</f>
        <v>8971800</v>
      </c>
    </row>
    <row r="188" spans="1:6" x14ac:dyDescent="0.25">
      <c r="A188" t="s">
        <v>522</v>
      </c>
      <c r="B188">
        <v>1063050</v>
      </c>
      <c r="C188">
        <v>54050</v>
      </c>
      <c r="D188" s="17">
        <f t="shared" si="3"/>
        <v>54050</v>
      </c>
      <c r="E188" s="49">
        <f>VLOOKUP($A188,'Data shares'!$C:$FA,128)*100</f>
        <v>3.2800000000000002</v>
      </c>
      <c r="F188" s="49">
        <f>VLOOKUP($A188,'Data shares'!$C:$FA,129)</f>
        <v>62000</v>
      </c>
    </row>
    <row r="189" spans="1:6" x14ac:dyDescent="0.25">
      <c r="A189" t="s">
        <v>300</v>
      </c>
      <c r="B189">
        <v>45360865</v>
      </c>
      <c r="C189">
        <v>14277200</v>
      </c>
      <c r="D189" s="17">
        <f t="shared" si="3"/>
        <v>14277200</v>
      </c>
      <c r="E189" s="49">
        <f>VLOOKUP($A189,'Data shares'!$C:$FA,128)*100</f>
        <v>1.22</v>
      </c>
      <c r="F189" s="49">
        <f>VLOOKUP($A189,'Data shares'!$C:$FA,129)</f>
        <v>78925</v>
      </c>
    </row>
    <row r="190" spans="1:6" x14ac:dyDescent="0.25">
      <c r="A190" t="s">
        <v>520</v>
      </c>
      <c r="B190">
        <v>23139622</v>
      </c>
      <c r="C190">
        <v>1555500</v>
      </c>
      <c r="D190" s="17">
        <f t="shared" si="3"/>
        <v>1555500</v>
      </c>
      <c r="E190" s="49">
        <f>VLOOKUP($A190,'Data shares'!$C:$FA,128)*100</f>
        <v>0</v>
      </c>
      <c r="F190" s="49">
        <f>VLOOKUP($A190,'Data shares'!$C:$FA,129)</f>
        <v>0</v>
      </c>
    </row>
    <row r="191" spans="1:6" x14ac:dyDescent="0.25">
      <c r="A191" t="s">
        <v>294</v>
      </c>
      <c r="B191">
        <v>161436977</v>
      </c>
      <c r="C191">
        <v>59382700</v>
      </c>
      <c r="D191" s="17">
        <f t="shared" si="3"/>
        <v>59382700</v>
      </c>
      <c r="E191" s="49">
        <f>VLOOKUP($A191,'Data shares'!$C:$FA,128)*100</f>
        <v>13.86</v>
      </c>
      <c r="F191" s="49">
        <f>VLOOKUP($A191,'Data shares'!$C:$FA,129)</f>
        <v>31119000</v>
      </c>
    </row>
    <row r="192" spans="1:6" x14ac:dyDescent="0.25">
      <c r="A192" t="s">
        <v>244</v>
      </c>
      <c r="B192">
        <v>265685393</v>
      </c>
      <c r="C192">
        <v>44023500</v>
      </c>
      <c r="D192" s="17">
        <f t="shared" si="3"/>
        <v>44023500</v>
      </c>
      <c r="E192" s="49">
        <f>VLOOKUP($A192,'Data shares'!$C:$FA,128)*100</f>
        <v>12.64</v>
      </c>
      <c r="F192" s="49">
        <f>VLOOKUP($A192,'Data shares'!$C:$FA,129)</f>
        <v>5859000</v>
      </c>
    </row>
    <row r="193" spans="1:6" x14ac:dyDescent="0.25">
      <c r="A193" t="s">
        <v>160</v>
      </c>
      <c r="B193">
        <v>145684825</v>
      </c>
      <c r="C193">
        <v>110820000</v>
      </c>
      <c r="D193" s="17">
        <f t="shared" si="3"/>
        <v>110820000</v>
      </c>
      <c r="E193" s="49">
        <f>VLOOKUP($A193,'Data shares'!$C:$FA,128)*100</f>
        <v>4.51</v>
      </c>
      <c r="F193" s="49">
        <f>VLOOKUP($A193,'Data shares'!$C:$FA,129)</f>
        <v>964725</v>
      </c>
    </row>
    <row r="194" spans="1:6" x14ac:dyDescent="0.25">
      <c r="A194" t="s">
        <v>496</v>
      </c>
      <c r="B194">
        <v>11999202</v>
      </c>
      <c r="C194">
        <v>2345700</v>
      </c>
      <c r="D194" s="17">
        <f t="shared" si="3"/>
        <v>2345700</v>
      </c>
      <c r="E194" s="49">
        <f>VLOOKUP($A194,'Data shares'!$C:$FA,128)*100</f>
        <v>1.48</v>
      </c>
      <c r="F194" s="49">
        <f>VLOOKUP($A194,'Data shares'!$C:$FA,129)</f>
        <v>61250</v>
      </c>
    </row>
    <row r="195" spans="1:6" x14ac:dyDescent="0.25">
      <c r="A195" t="s">
        <v>230</v>
      </c>
      <c r="B195">
        <v>179034270</v>
      </c>
      <c r="C195">
        <v>24257400</v>
      </c>
      <c r="D195" s="17">
        <f t="shared" si="3"/>
        <v>24257400</v>
      </c>
      <c r="E195" s="49">
        <f>VLOOKUP($A195,'Data shares'!$C:$FA,128)*100</f>
        <v>3.51</v>
      </c>
      <c r="F195" s="49">
        <f>VLOOKUP($A195,'Data shares'!$C:$FA,129)</f>
        <v>507000</v>
      </c>
    </row>
    <row r="196" spans="1:6" x14ac:dyDescent="0.25">
      <c r="A196" t="s">
        <v>203</v>
      </c>
      <c r="B196">
        <v>27165463</v>
      </c>
      <c r="C196">
        <v>3318000</v>
      </c>
      <c r="D196" s="17">
        <f t="shared" si="3"/>
        <v>3318000</v>
      </c>
      <c r="E196" s="49">
        <f>VLOOKUP($A196,'Data shares'!$C:$FA,128)*100</f>
        <v>1.37</v>
      </c>
      <c r="F196" s="49">
        <f>VLOOKUP($A196,'Data shares'!$C:$FA,129)</f>
        <v>44600</v>
      </c>
    </row>
    <row r="197" spans="1:6" x14ac:dyDescent="0.25">
      <c r="A197" t="s">
        <v>251</v>
      </c>
      <c r="B197">
        <v>184464522</v>
      </c>
      <c r="C197">
        <v>32566800</v>
      </c>
      <c r="D197" s="17">
        <f t="shared" si="3"/>
        <v>32566800</v>
      </c>
      <c r="E197" s="49">
        <f>VLOOKUP($A197,'Data shares'!$C:$FA,128)*100</f>
        <v>4.22</v>
      </c>
      <c r="F197" s="49">
        <f>VLOOKUP($A197,'Data shares'!$C:$FA,129)</f>
        <v>549400</v>
      </c>
    </row>
    <row r="198" spans="1:6" x14ac:dyDescent="0.25">
      <c r="A198" t="s">
        <v>254</v>
      </c>
      <c r="B198">
        <v>104419539</v>
      </c>
      <c r="C198">
        <v>12741000</v>
      </c>
      <c r="D198" s="17">
        <f t="shared" si="3"/>
        <v>12741000</v>
      </c>
      <c r="E198" s="49">
        <f>VLOOKUP($A198,'Data shares'!$C:$FA,128)*100</f>
        <v>0.71000000000000008</v>
      </c>
      <c r="F198" s="49">
        <f>VLOOKUP($A198,'Data shares'!$C:$FA,129)</f>
        <v>100800</v>
      </c>
    </row>
    <row r="199" spans="1:6" x14ac:dyDescent="0.25">
      <c r="A199" t="s">
        <v>159</v>
      </c>
      <c r="B199">
        <v>55169320</v>
      </c>
      <c r="C199">
        <v>29565500</v>
      </c>
      <c r="D199" s="17">
        <f t="shared" si="3"/>
        <v>29565500</v>
      </c>
      <c r="E199" s="49">
        <f>VLOOKUP($A199,'Data shares'!$C:$FA,128)*100</f>
        <v>17.39</v>
      </c>
      <c r="F199" s="49">
        <f>VLOOKUP($A199,'Data shares'!$C:$FA,129)</f>
        <v>2907381</v>
      </c>
    </row>
    <row r="200" spans="1:6" x14ac:dyDescent="0.25">
      <c r="A200" t="s">
        <v>201</v>
      </c>
      <c r="B200">
        <v>26654592</v>
      </c>
      <c r="C200">
        <v>3469200</v>
      </c>
      <c r="D200" s="17">
        <f t="shared" si="3"/>
        <v>3469200</v>
      </c>
      <c r="E200" s="49">
        <f>VLOOKUP($A200,'Data shares'!$C:$FA,128)*100</f>
        <v>6.64</v>
      </c>
      <c r="F200" s="49">
        <f>VLOOKUP($A200,'Data shares'!$C:$FA,129)</f>
        <v>320625</v>
      </c>
    </row>
    <row r="201" spans="1:6" x14ac:dyDescent="0.25">
      <c r="A201" t="s">
        <v>199</v>
      </c>
      <c r="B201">
        <v>102562642</v>
      </c>
      <c r="C201">
        <v>20641400</v>
      </c>
      <c r="D201" s="17">
        <f t="shared" si="3"/>
        <v>20641400</v>
      </c>
      <c r="E201" s="49">
        <f>VLOOKUP($A201,'Data shares'!$C:$FA,128)*100</f>
        <v>2.31</v>
      </c>
      <c r="F201" s="49">
        <f>VLOOKUP($A201,'Data shares'!$C:$FA,129)</f>
        <v>241500</v>
      </c>
    </row>
    <row r="202" spans="1:6" x14ac:dyDescent="0.25">
      <c r="A202" t="s">
        <v>296</v>
      </c>
      <c r="B202">
        <v>124861039</v>
      </c>
      <c r="C202">
        <v>20543400</v>
      </c>
      <c r="D202" s="17">
        <f t="shared" si="3"/>
        <v>20543400</v>
      </c>
      <c r="E202" s="49">
        <f>VLOOKUP($A202,'Data shares'!$C:$FA,128)*100</f>
        <v>2.1800000000000002</v>
      </c>
      <c r="F202" s="49">
        <f>VLOOKUP($A202,'Data shares'!$C:$FA,129)</f>
        <v>376200</v>
      </c>
    </row>
    <row r="203" spans="1:6" x14ac:dyDescent="0.25">
      <c r="A203" t="s">
        <v>229</v>
      </c>
      <c r="B203">
        <v>127940594</v>
      </c>
      <c r="C203">
        <v>33552900</v>
      </c>
      <c r="D203" s="17">
        <f t="shared" si="3"/>
        <v>33552900</v>
      </c>
      <c r="E203" s="49">
        <f>VLOOKUP($A203,'Data shares'!$C:$FA,128)*100</f>
        <v>14.59</v>
      </c>
      <c r="F203" s="49">
        <f>VLOOKUP($A203,'Data shares'!$C:$FA,129)</f>
        <v>7405425</v>
      </c>
    </row>
    <row r="204" spans="1:6" x14ac:dyDescent="0.25">
      <c r="A204" t="s">
        <v>497</v>
      </c>
      <c r="B204">
        <v>10251929</v>
      </c>
      <c r="C204">
        <v>266200</v>
      </c>
      <c r="D204" s="17">
        <f t="shared" si="3"/>
        <v>266200</v>
      </c>
      <c r="E204" s="49">
        <f>VLOOKUP($A204,'Data shares'!$C:$FA,128)*100</f>
        <v>0.66</v>
      </c>
      <c r="F204" s="49">
        <f>VLOOKUP($A204,'Data shares'!$C:$FA,129)</f>
        <v>7125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0" sqref="F10"/>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zoomScale="87" zoomScaleNormal="87" workbookViewId="0">
      <selection activeCell="M12" sqref="M12"/>
    </sheetView>
  </sheetViews>
  <sheetFormatPr defaultRowHeight="15" x14ac:dyDescent="0.25"/>
  <cols>
    <col min="1" max="1" width="12.570312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3.5703125" bestFit="1" customWidth="1"/>
    <col min="82" max="82" width="11.42578125" bestFit="1" customWidth="1"/>
    <col min="83" max="83" width="13.140625" bestFit="1" customWidth="1"/>
    <col min="84" max="84" width="14.42578125" bestFit="1" customWidth="1"/>
    <col min="85" max="85" width="13.5703125" bestFit="1" customWidth="1"/>
    <col min="86" max="86" width="11.42578125" bestFit="1" customWidth="1"/>
    <col min="87" max="88" width="13.140625" bestFit="1" customWidth="1"/>
    <col min="89" max="89" width="11.5703125" bestFit="1" customWidth="1"/>
    <col min="90" max="90" width="10.42578125" bestFit="1" customWidth="1"/>
    <col min="91" max="92" width="14.28515625" bestFit="1" customWidth="1"/>
    <col min="93" max="93" width="13.140625" bestFit="1" customWidth="1"/>
    <col min="94" max="94" width="10.42578125" bestFit="1" customWidth="1"/>
    <col min="95" max="95" width="13.140625" bestFit="1" customWidth="1"/>
    <col min="96" max="96" width="13.28515625" bestFit="1" customWidth="1"/>
    <col min="97" max="97" width="12.28515625" bestFit="1" customWidth="1"/>
    <col min="98" max="98" width="10.285156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46093</v>
      </c>
      <c r="B2" s="227" t="s">
        <v>215</v>
      </c>
      <c r="C2" s="227" t="s">
        <v>159</v>
      </c>
      <c r="D2" s="231">
        <v>1998.9</v>
      </c>
      <c r="E2" s="231">
        <v>1975.3</v>
      </c>
      <c r="F2" s="228">
        <v>23.6</v>
      </c>
      <c r="G2" s="229">
        <v>1.1900000000000001E-2</v>
      </c>
      <c r="H2" s="231">
        <v>2002</v>
      </c>
      <c r="I2" s="231">
        <v>1974.7</v>
      </c>
      <c r="J2" s="228">
        <v>27.3</v>
      </c>
      <c r="K2" s="229">
        <v>1.38E-2</v>
      </c>
      <c r="L2" s="231">
        <v>1998.9</v>
      </c>
      <c r="M2" s="231">
        <v>1975.3</v>
      </c>
      <c r="N2" s="228">
        <v>23.6</v>
      </c>
      <c r="O2" s="229">
        <v>1.1900000000000001E-2</v>
      </c>
      <c r="P2" s="231">
        <v>2002.8</v>
      </c>
      <c r="Q2" s="231">
        <v>1979.1</v>
      </c>
      <c r="R2" s="228">
        <v>23.7</v>
      </c>
      <c r="S2" s="229">
        <v>1.2E-2</v>
      </c>
      <c r="T2" s="231">
        <v>2011</v>
      </c>
      <c r="U2" s="231">
        <v>1988.6</v>
      </c>
      <c r="V2" s="228">
        <v>22.4</v>
      </c>
      <c r="W2" s="229">
        <v>1.1299999999999999E-2</v>
      </c>
      <c r="X2" s="228">
        <v>-3.1</v>
      </c>
      <c r="Y2" s="228">
        <v>0.6</v>
      </c>
      <c r="Z2" s="228">
        <v>-3.7</v>
      </c>
      <c r="AA2" s="229">
        <v>-1.5E-3</v>
      </c>
      <c r="AB2" s="228">
        <v>-3.1</v>
      </c>
      <c r="AC2" s="228">
        <v>0.6</v>
      </c>
      <c r="AD2" s="228">
        <v>-3.7</v>
      </c>
      <c r="AE2" s="229">
        <v>-1.5E-3</v>
      </c>
      <c r="AF2" s="228">
        <v>0.8</v>
      </c>
      <c r="AG2" s="228">
        <v>4.4000000000000004</v>
      </c>
      <c r="AH2" s="228">
        <v>-3.6</v>
      </c>
      <c r="AI2" s="229">
        <v>4.0000000000000002E-4</v>
      </c>
      <c r="AJ2" s="228">
        <v>9</v>
      </c>
      <c r="AK2" s="228">
        <v>13.9</v>
      </c>
      <c r="AL2" s="228">
        <v>-4.9000000000000004</v>
      </c>
      <c r="AM2" s="229">
        <v>4.4999999999999997E-3</v>
      </c>
      <c r="AN2" s="231">
        <v>1995.37</v>
      </c>
      <c r="AO2" s="231">
        <v>1983.09</v>
      </c>
      <c r="AP2" s="228">
        <v>0</v>
      </c>
      <c r="AQ2" s="230">
        <v>13405</v>
      </c>
      <c r="AR2" s="230">
        <v>5578</v>
      </c>
      <c r="AS2" s="230">
        <v>7827</v>
      </c>
      <c r="AT2" s="229">
        <v>1.4032</v>
      </c>
      <c r="AU2" s="230">
        <v>7006</v>
      </c>
      <c r="AV2" s="230">
        <v>4780</v>
      </c>
      <c r="AW2" s="230">
        <v>2226</v>
      </c>
      <c r="AX2" s="229">
        <v>0.4657</v>
      </c>
      <c r="AY2" s="230">
        <v>6246</v>
      </c>
      <c r="AZ2" s="228">
        <v>734</v>
      </c>
      <c r="BA2" s="230">
        <v>5512</v>
      </c>
      <c r="BB2" s="229">
        <v>7.5095000000000001</v>
      </c>
      <c r="BC2" s="228">
        <v>153</v>
      </c>
      <c r="BD2" s="228">
        <v>64</v>
      </c>
      <c r="BE2" s="228">
        <v>89</v>
      </c>
      <c r="BF2" s="229">
        <v>1.3906000000000001</v>
      </c>
      <c r="BG2" s="230">
        <v>28245</v>
      </c>
      <c r="BH2" s="230">
        <v>15895</v>
      </c>
      <c r="BI2" s="230">
        <v>12350</v>
      </c>
      <c r="BJ2" s="229">
        <v>0.77700000000000002</v>
      </c>
      <c r="BK2" s="230">
        <v>14183</v>
      </c>
      <c r="BL2" s="230">
        <v>8991</v>
      </c>
      <c r="BM2" s="230">
        <v>5192</v>
      </c>
      <c r="BN2" s="229">
        <v>0.57750000000000001</v>
      </c>
      <c r="BO2" s="230">
        <v>55833</v>
      </c>
      <c r="BP2" s="230">
        <v>30464</v>
      </c>
      <c r="BQ2" s="230">
        <v>25369</v>
      </c>
      <c r="BR2" s="229">
        <v>0.83279999999999998</v>
      </c>
      <c r="BS2" s="230">
        <v>1573388</v>
      </c>
      <c r="BT2" s="230">
        <v>2473315</v>
      </c>
      <c r="BU2" s="230">
        <v>-899927</v>
      </c>
      <c r="BV2" s="229">
        <v>-0.3639</v>
      </c>
      <c r="BW2" s="230">
        <v>18852399</v>
      </c>
      <c r="BX2" s="230">
        <v>19055103</v>
      </c>
      <c r="BY2" s="230">
        <v>-202704</v>
      </c>
      <c r="BZ2" s="229">
        <v>-1.06E-2</v>
      </c>
      <c r="CA2" s="230">
        <v>15574527</v>
      </c>
      <c r="CB2" s="230">
        <v>16147722</v>
      </c>
      <c r="CC2" s="230">
        <v>-573195</v>
      </c>
      <c r="CD2" s="229">
        <v>-3.5499999999999997E-2</v>
      </c>
      <c r="CE2" s="230">
        <v>2208114</v>
      </c>
      <c r="CF2" s="230">
        <v>1835769</v>
      </c>
      <c r="CG2" s="230">
        <v>372345</v>
      </c>
      <c r="CH2" s="229">
        <v>0.20280000000000001</v>
      </c>
      <c r="CI2" s="230">
        <v>1069758</v>
      </c>
      <c r="CJ2" s="230">
        <v>1071612</v>
      </c>
      <c r="CK2" s="230">
        <v>-1854</v>
      </c>
      <c r="CL2" s="229">
        <v>-1.6999999999999999E-3</v>
      </c>
      <c r="CM2" s="230">
        <v>6825501</v>
      </c>
      <c r="CN2" s="230">
        <v>6608892</v>
      </c>
      <c r="CO2" s="230">
        <v>216609</v>
      </c>
      <c r="CP2" s="229">
        <v>3.2800000000000003E-2</v>
      </c>
      <c r="CQ2" s="230">
        <v>5654391</v>
      </c>
      <c r="CR2" s="230">
        <v>5606496</v>
      </c>
      <c r="CS2" s="230">
        <v>47895</v>
      </c>
      <c r="CT2" s="229">
        <v>8.5000000000000006E-3</v>
      </c>
      <c r="CU2" s="230">
        <v>31332291</v>
      </c>
      <c r="CV2" s="230">
        <v>31270491</v>
      </c>
      <c r="CW2" s="230">
        <v>61800</v>
      </c>
      <c r="CX2" s="229">
        <v>2E-3</v>
      </c>
      <c r="CY2" s="228">
        <v>41.05</v>
      </c>
      <c r="CZ2" s="228">
        <v>42.76</v>
      </c>
      <c r="DA2" s="228">
        <v>-1.71</v>
      </c>
      <c r="DB2" s="228">
        <v>-1.71</v>
      </c>
      <c r="DC2" s="228">
        <v>48.16</v>
      </c>
      <c r="DD2" s="228">
        <v>48.26</v>
      </c>
      <c r="DE2" s="228">
        <v>-7.11</v>
      </c>
      <c r="DF2" s="228">
        <v>-0.1</v>
      </c>
      <c r="DG2" s="228">
        <v>40.159999999999997</v>
      </c>
      <c r="DH2" s="228">
        <v>42.57</v>
      </c>
      <c r="DI2" s="228">
        <v>-2.41</v>
      </c>
      <c r="DJ2" s="228">
        <v>-2.41</v>
      </c>
      <c r="DK2" s="228">
        <v>42.83</v>
      </c>
      <c r="DL2" s="228">
        <v>43.08</v>
      </c>
      <c r="DM2" s="228">
        <v>-0.25</v>
      </c>
      <c r="DN2" s="228">
        <v>-0.25</v>
      </c>
      <c r="DO2" s="228">
        <v>0.83</v>
      </c>
      <c r="DP2" s="228">
        <v>0.85</v>
      </c>
      <c r="DQ2" s="228">
        <v>-0.02</v>
      </c>
      <c r="DR2" s="229">
        <v>-2.35E-2</v>
      </c>
      <c r="DS2" s="231">
        <v>2200</v>
      </c>
      <c r="DT2" s="231">
        <v>2200</v>
      </c>
      <c r="DU2" s="228">
        <v>0.5</v>
      </c>
      <c r="DV2" s="228">
        <v>0.56999999999999995</v>
      </c>
      <c r="DW2" s="228">
        <v>-7.0000000000000007E-2</v>
      </c>
      <c r="DX2" s="229">
        <v>-0.12280000000000001</v>
      </c>
      <c r="DY2" s="229">
        <v>0.1739</v>
      </c>
      <c r="DZ2" s="230">
        <v>2907381</v>
      </c>
      <c r="EA2" s="229">
        <v>2E-3</v>
      </c>
      <c r="EB2" s="229">
        <v>0.1739</v>
      </c>
      <c r="EC2" s="228">
        <v>-12.28</v>
      </c>
      <c r="ED2" s="229">
        <v>-6.1999999999999998E-3</v>
      </c>
      <c r="EE2" s="230">
        <v>415118</v>
      </c>
      <c r="EF2" s="230">
        <v>1678682</v>
      </c>
      <c r="EG2" s="229">
        <v>-0.75270000000000004</v>
      </c>
      <c r="EH2" s="229">
        <v>0.26379999999999998</v>
      </c>
      <c r="EI2" s="231">
        <v>186393.53</v>
      </c>
      <c r="EJ2" s="231">
        <v>87976.320000000007</v>
      </c>
      <c r="EK2" s="231">
        <v>82419.19</v>
      </c>
      <c r="EL2" s="231">
        <v>7897</v>
      </c>
      <c r="EM2" s="231">
        <v>356789.04</v>
      </c>
      <c r="EN2" s="231">
        <v>195462.58</v>
      </c>
      <c r="EO2" s="231">
        <v>161326.46</v>
      </c>
      <c r="EP2" s="229">
        <v>0.82540000000000002</v>
      </c>
      <c r="EQ2" s="231">
        <v>148942</v>
      </c>
      <c r="ER2" s="231">
        <v>119003</v>
      </c>
      <c r="ES2" s="231">
        <v>377056</v>
      </c>
      <c r="ET2" s="231">
        <v>49117354</v>
      </c>
      <c r="EU2" s="231">
        <v>645002</v>
      </c>
      <c r="EV2" s="231">
        <v>639189</v>
      </c>
      <c r="EW2" s="231">
        <v>5813</v>
      </c>
      <c r="EX2" s="229">
        <v>9.1000000000000004E-3</v>
      </c>
      <c r="EY2" s="229">
        <v>0.63790000000000002</v>
      </c>
    </row>
    <row r="3" spans="1:155" ht="17.25" thickBot="1" x14ac:dyDescent="0.3">
      <c r="A3" s="226">
        <v>46093</v>
      </c>
      <c r="B3" s="227" t="s">
        <v>215</v>
      </c>
      <c r="C3" s="227" t="s">
        <v>160</v>
      </c>
      <c r="D3" s="231">
        <v>1397</v>
      </c>
      <c r="E3" s="231">
        <v>1415.5</v>
      </c>
      <c r="F3" s="228">
        <v>-18.5</v>
      </c>
      <c r="G3" s="229">
        <v>-1.3100000000000001E-2</v>
      </c>
      <c r="H3" s="231">
        <v>1391.5</v>
      </c>
      <c r="I3" s="231">
        <v>1410.8</v>
      </c>
      <c r="J3" s="228">
        <v>-19.3</v>
      </c>
      <c r="K3" s="229">
        <v>-1.37E-2</v>
      </c>
      <c r="L3" s="231">
        <v>1397</v>
      </c>
      <c r="M3" s="231">
        <v>1415.5</v>
      </c>
      <c r="N3" s="228">
        <v>-18.5</v>
      </c>
      <c r="O3" s="229">
        <v>-1.3100000000000001E-2</v>
      </c>
      <c r="P3" s="231">
        <v>1405.8</v>
      </c>
      <c r="Q3" s="231">
        <v>1424.7</v>
      </c>
      <c r="R3" s="228">
        <v>-18.899999999999999</v>
      </c>
      <c r="S3" s="229">
        <v>-1.3299999999999999E-2</v>
      </c>
      <c r="T3" s="231">
        <v>1411.8</v>
      </c>
      <c r="U3" s="231">
        <v>1431</v>
      </c>
      <c r="V3" s="228">
        <v>-19.2</v>
      </c>
      <c r="W3" s="229">
        <v>-1.34E-2</v>
      </c>
      <c r="X3" s="228">
        <v>5.5</v>
      </c>
      <c r="Y3" s="228">
        <v>4.7</v>
      </c>
      <c r="Z3" s="228">
        <v>0.8</v>
      </c>
      <c r="AA3" s="229">
        <v>4.0000000000000001E-3</v>
      </c>
      <c r="AB3" s="228">
        <v>5.5</v>
      </c>
      <c r="AC3" s="228">
        <v>4.7</v>
      </c>
      <c r="AD3" s="228">
        <v>0.8</v>
      </c>
      <c r="AE3" s="229">
        <v>4.0000000000000001E-3</v>
      </c>
      <c r="AF3" s="228">
        <v>14.3</v>
      </c>
      <c r="AG3" s="228">
        <v>13.9</v>
      </c>
      <c r="AH3" s="228">
        <v>0.4</v>
      </c>
      <c r="AI3" s="229">
        <v>1.03E-2</v>
      </c>
      <c r="AJ3" s="228">
        <v>20.3</v>
      </c>
      <c r="AK3" s="228">
        <v>20.2</v>
      </c>
      <c r="AL3" s="228">
        <v>0.1</v>
      </c>
      <c r="AM3" s="229">
        <v>1.46E-2</v>
      </c>
      <c r="AN3" s="231">
        <v>1402.47</v>
      </c>
      <c r="AO3" s="231">
        <v>1409.55</v>
      </c>
      <c r="AP3" s="228">
        <v>0</v>
      </c>
      <c r="AQ3" s="230">
        <v>5927</v>
      </c>
      <c r="AR3" s="230">
        <v>7304</v>
      </c>
      <c r="AS3" s="230">
        <v>-1377</v>
      </c>
      <c r="AT3" s="229">
        <v>-0.1885</v>
      </c>
      <c r="AU3" s="230">
        <v>5458</v>
      </c>
      <c r="AV3" s="230">
        <v>6771</v>
      </c>
      <c r="AW3" s="230">
        <v>-1313</v>
      </c>
      <c r="AX3" s="229">
        <v>-0.19389999999999999</v>
      </c>
      <c r="AY3" s="228">
        <v>410</v>
      </c>
      <c r="AZ3" s="228">
        <v>479</v>
      </c>
      <c r="BA3" s="228">
        <v>-69</v>
      </c>
      <c r="BB3" s="229">
        <v>-0.14410000000000001</v>
      </c>
      <c r="BC3" s="228">
        <v>59</v>
      </c>
      <c r="BD3" s="228">
        <v>54</v>
      </c>
      <c r="BE3" s="228">
        <v>5</v>
      </c>
      <c r="BF3" s="229">
        <v>9.2600000000000002E-2</v>
      </c>
      <c r="BG3" s="230">
        <v>19569</v>
      </c>
      <c r="BH3" s="230">
        <v>19785</v>
      </c>
      <c r="BI3" s="228">
        <v>-216</v>
      </c>
      <c r="BJ3" s="229">
        <v>-1.09E-2</v>
      </c>
      <c r="BK3" s="230">
        <v>18366</v>
      </c>
      <c r="BL3" s="230">
        <v>17910</v>
      </c>
      <c r="BM3" s="228">
        <v>456</v>
      </c>
      <c r="BN3" s="229">
        <v>2.5499999999999998E-2</v>
      </c>
      <c r="BO3" s="230">
        <v>43862</v>
      </c>
      <c r="BP3" s="230">
        <v>44999</v>
      </c>
      <c r="BQ3" s="230">
        <v>-1137</v>
      </c>
      <c r="BR3" s="229">
        <v>-2.53E-2</v>
      </c>
      <c r="BS3" s="230">
        <v>2862980</v>
      </c>
      <c r="BT3" s="230">
        <v>2315752</v>
      </c>
      <c r="BU3" s="230">
        <v>547228</v>
      </c>
      <c r="BV3" s="229">
        <v>0.23630000000000001</v>
      </c>
      <c r="BW3" s="230">
        <v>21980150</v>
      </c>
      <c r="BX3" s="230">
        <v>21768300</v>
      </c>
      <c r="BY3" s="230">
        <v>211850</v>
      </c>
      <c r="BZ3" s="229">
        <v>9.7000000000000003E-3</v>
      </c>
      <c r="CA3" s="230">
        <v>20989775</v>
      </c>
      <c r="CB3" s="230">
        <v>20803575</v>
      </c>
      <c r="CC3" s="230">
        <v>186200</v>
      </c>
      <c r="CD3" s="229">
        <v>8.9999999999999993E-3</v>
      </c>
      <c r="CE3" s="230">
        <v>808925</v>
      </c>
      <c r="CF3" s="230">
        <v>787075</v>
      </c>
      <c r="CG3" s="230">
        <v>21850</v>
      </c>
      <c r="CH3" s="229">
        <v>2.7799999999999998E-2</v>
      </c>
      <c r="CI3" s="230">
        <v>181450</v>
      </c>
      <c r="CJ3" s="230">
        <v>177650</v>
      </c>
      <c r="CK3" s="230">
        <v>3800</v>
      </c>
      <c r="CL3" s="229">
        <v>2.1399999999999999E-2</v>
      </c>
      <c r="CM3" s="230">
        <v>8851150</v>
      </c>
      <c r="CN3" s="230">
        <v>8514375</v>
      </c>
      <c r="CO3" s="230">
        <v>336775</v>
      </c>
      <c r="CP3" s="229">
        <v>3.9600000000000003E-2</v>
      </c>
      <c r="CQ3" s="230">
        <v>7008150</v>
      </c>
      <c r="CR3" s="230">
        <v>7248500</v>
      </c>
      <c r="CS3" s="230">
        <v>-240350</v>
      </c>
      <c r="CT3" s="229">
        <v>-3.32E-2</v>
      </c>
      <c r="CU3" s="230">
        <v>37839450</v>
      </c>
      <c r="CV3" s="230">
        <v>37531175</v>
      </c>
      <c r="CW3" s="230">
        <v>308275</v>
      </c>
      <c r="CX3" s="229">
        <v>8.2000000000000007E-3</v>
      </c>
      <c r="CY3" s="228">
        <v>39.36</v>
      </c>
      <c r="CZ3" s="228">
        <v>39.729999999999997</v>
      </c>
      <c r="DA3" s="228">
        <v>-0.37</v>
      </c>
      <c r="DB3" s="228">
        <v>-0.37</v>
      </c>
      <c r="DC3" s="228">
        <v>39.020000000000003</v>
      </c>
      <c r="DD3" s="228">
        <v>39.07</v>
      </c>
      <c r="DE3" s="228">
        <v>0.34</v>
      </c>
      <c r="DF3" s="228">
        <v>-0.05</v>
      </c>
      <c r="DG3" s="228">
        <v>38.200000000000003</v>
      </c>
      <c r="DH3" s="228">
        <v>38.520000000000003</v>
      </c>
      <c r="DI3" s="228">
        <v>-0.32</v>
      </c>
      <c r="DJ3" s="228">
        <v>-0.32</v>
      </c>
      <c r="DK3" s="228">
        <v>40.61</v>
      </c>
      <c r="DL3" s="228">
        <v>41.07</v>
      </c>
      <c r="DM3" s="228">
        <v>-0.46</v>
      </c>
      <c r="DN3" s="228">
        <v>-0.46</v>
      </c>
      <c r="DO3" s="228">
        <v>0.79</v>
      </c>
      <c r="DP3" s="228">
        <v>0.85</v>
      </c>
      <c r="DQ3" s="228">
        <v>-0.06</v>
      </c>
      <c r="DR3" s="229">
        <v>-7.0599999999999996E-2</v>
      </c>
      <c r="DS3" s="231">
        <v>1600</v>
      </c>
      <c r="DT3" s="231">
        <v>1500</v>
      </c>
      <c r="DU3" s="228">
        <v>0.94</v>
      </c>
      <c r="DV3" s="228">
        <v>0.91</v>
      </c>
      <c r="DW3" s="228">
        <v>0.03</v>
      </c>
      <c r="DX3" s="229">
        <v>3.3000000000000002E-2</v>
      </c>
      <c r="DY3" s="229">
        <v>4.5100000000000001E-2</v>
      </c>
      <c r="DZ3" s="230">
        <v>964725</v>
      </c>
      <c r="EA3" s="229">
        <v>6.3E-3</v>
      </c>
      <c r="EB3" s="229">
        <v>4.5100000000000001E-2</v>
      </c>
      <c r="EC3" s="228">
        <v>7.08</v>
      </c>
      <c r="ED3" s="229">
        <v>5.0000000000000001E-3</v>
      </c>
      <c r="EE3" s="230">
        <v>1256343</v>
      </c>
      <c r="EF3" s="230">
        <v>1016503</v>
      </c>
      <c r="EG3" s="229">
        <v>0.2359</v>
      </c>
      <c r="EH3" s="229">
        <v>0.43880000000000002</v>
      </c>
      <c r="EI3" s="231">
        <v>140096.81</v>
      </c>
      <c r="EJ3" s="231">
        <v>121890.16</v>
      </c>
      <c r="EK3" s="231">
        <v>39502.01</v>
      </c>
      <c r="EL3" s="231">
        <v>7830</v>
      </c>
      <c r="EM3" s="231">
        <v>301488.98</v>
      </c>
      <c r="EN3" s="231">
        <v>314593.17</v>
      </c>
      <c r="EO3" s="231">
        <v>-13104.19</v>
      </c>
      <c r="EP3" s="229">
        <v>-4.1700000000000001E-2</v>
      </c>
      <c r="EQ3" s="231">
        <v>137145</v>
      </c>
      <c r="ER3" s="231">
        <v>99069</v>
      </c>
      <c r="ES3" s="231">
        <v>307161</v>
      </c>
      <c r="ET3" s="231">
        <v>84394936</v>
      </c>
      <c r="EU3" s="231">
        <v>543375</v>
      </c>
      <c r="EV3" s="231">
        <v>543540</v>
      </c>
      <c r="EW3" s="228">
        <v>-165</v>
      </c>
      <c r="EX3" s="229">
        <v>-2.9999999999999997E-4</v>
      </c>
      <c r="EY3" s="229">
        <v>0.44840000000000002</v>
      </c>
    </row>
    <row r="4" spans="1:155" ht="17.25" thickBot="1" x14ac:dyDescent="0.3">
      <c r="A4" s="226">
        <v>46093</v>
      </c>
      <c r="B4" s="227" t="s">
        <v>170</v>
      </c>
      <c r="C4" s="227" t="s">
        <v>165</v>
      </c>
      <c r="D4" s="231">
        <v>7582.5</v>
      </c>
      <c r="E4" s="231">
        <v>7703</v>
      </c>
      <c r="F4" s="228">
        <v>-120.5</v>
      </c>
      <c r="G4" s="229">
        <v>-1.5599999999999999E-2</v>
      </c>
      <c r="H4" s="231">
        <v>7574.5</v>
      </c>
      <c r="I4" s="231">
        <v>7684</v>
      </c>
      <c r="J4" s="228">
        <v>-109.5</v>
      </c>
      <c r="K4" s="229">
        <v>-1.43E-2</v>
      </c>
      <c r="L4" s="231">
        <v>7582.5</v>
      </c>
      <c r="M4" s="231">
        <v>7703</v>
      </c>
      <c r="N4" s="228">
        <v>-120.5</v>
      </c>
      <c r="O4" s="229">
        <v>-1.5599999999999999E-2</v>
      </c>
      <c r="P4" s="231">
        <v>7636</v>
      </c>
      <c r="Q4" s="231">
        <v>7745</v>
      </c>
      <c r="R4" s="228">
        <v>-109</v>
      </c>
      <c r="S4" s="229">
        <v>-1.41E-2</v>
      </c>
      <c r="T4" s="231">
        <v>7668.5</v>
      </c>
      <c r="U4" s="231">
        <v>7795</v>
      </c>
      <c r="V4" s="228">
        <v>-126.5</v>
      </c>
      <c r="W4" s="229">
        <v>-1.6199999999999999E-2</v>
      </c>
      <c r="X4" s="228">
        <v>8</v>
      </c>
      <c r="Y4" s="228">
        <v>19</v>
      </c>
      <c r="Z4" s="228">
        <v>-11</v>
      </c>
      <c r="AA4" s="229">
        <v>1.1000000000000001E-3</v>
      </c>
      <c r="AB4" s="228">
        <v>8</v>
      </c>
      <c r="AC4" s="228">
        <v>19</v>
      </c>
      <c r="AD4" s="228">
        <v>-11</v>
      </c>
      <c r="AE4" s="229">
        <v>1.1000000000000001E-3</v>
      </c>
      <c r="AF4" s="228">
        <v>61.5</v>
      </c>
      <c r="AG4" s="228">
        <v>61</v>
      </c>
      <c r="AH4" s="228">
        <v>0.5</v>
      </c>
      <c r="AI4" s="229">
        <v>8.0999999999999996E-3</v>
      </c>
      <c r="AJ4" s="228">
        <v>94</v>
      </c>
      <c r="AK4" s="228">
        <v>111</v>
      </c>
      <c r="AL4" s="228">
        <v>-17</v>
      </c>
      <c r="AM4" s="229">
        <v>1.24E-2</v>
      </c>
      <c r="AN4" s="231">
        <v>7593.1</v>
      </c>
      <c r="AO4" s="231">
        <v>7643.28</v>
      </c>
      <c r="AP4" s="228">
        <v>0</v>
      </c>
      <c r="AQ4" s="230">
        <v>3871</v>
      </c>
      <c r="AR4" s="230">
        <v>2024</v>
      </c>
      <c r="AS4" s="230">
        <v>1847</v>
      </c>
      <c r="AT4" s="229">
        <v>0.91249999999999998</v>
      </c>
      <c r="AU4" s="230">
        <v>3542</v>
      </c>
      <c r="AV4" s="230">
        <v>1842</v>
      </c>
      <c r="AW4" s="230">
        <v>1700</v>
      </c>
      <c r="AX4" s="229">
        <v>0.92290000000000005</v>
      </c>
      <c r="AY4" s="228">
        <v>254</v>
      </c>
      <c r="AZ4" s="228">
        <v>171</v>
      </c>
      <c r="BA4" s="228">
        <v>83</v>
      </c>
      <c r="BB4" s="229">
        <v>0.4854</v>
      </c>
      <c r="BC4" s="228">
        <v>75</v>
      </c>
      <c r="BD4" s="228">
        <v>11</v>
      </c>
      <c r="BE4" s="228">
        <v>64</v>
      </c>
      <c r="BF4" s="229">
        <v>5.8182</v>
      </c>
      <c r="BG4" s="230">
        <v>10636</v>
      </c>
      <c r="BH4" s="230">
        <v>8718</v>
      </c>
      <c r="BI4" s="230">
        <v>1918</v>
      </c>
      <c r="BJ4" s="229">
        <v>0.22</v>
      </c>
      <c r="BK4" s="230">
        <v>5896</v>
      </c>
      <c r="BL4" s="230">
        <v>7468</v>
      </c>
      <c r="BM4" s="230">
        <v>-1572</v>
      </c>
      <c r="BN4" s="229">
        <v>-0.21049999999999999</v>
      </c>
      <c r="BO4" s="230">
        <v>20403</v>
      </c>
      <c r="BP4" s="230">
        <v>18210</v>
      </c>
      <c r="BQ4" s="230">
        <v>2193</v>
      </c>
      <c r="BR4" s="229">
        <v>0.12039999999999999</v>
      </c>
      <c r="BS4" s="230">
        <v>576094</v>
      </c>
      <c r="BT4" s="230">
        <v>339658</v>
      </c>
      <c r="BU4" s="230">
        <v>236436</v>
      </c>
      <c r="BV4" s="229">
        <v>0.69610000000000005</v>
      </c>
      <c r="BW4" s="230">
        <v>2459000</v>
      </c>
      <c r="BX4" s="230">
        <v>2514125</v>
      </c>
      <c r="BY4" s="230">
        <v>-55125</v>
      </c>
      <c r="BZ4" s="229">
        <v>-2.1899999999999999E-2</v>
      </c>
      <c r="CA4" s="230">
        <v>2405500</v>
      </c>
      <c r="CB4" s="230">
        <v>2473250</v>
      </c>
      <c r="CC4" s="230">
        <v>-67750</v>
      </c>
      <c r="CD4" s="229">
        <v>-2.7400000000000001E-2</v>
      </c>
      <c r="CE4" s="230">
        <v>46250</v>
      </c>
      <c r="CF4" s="230">
        <v>35500</v>
      </c>
      <c r="CG4" s="230">
        <v>10750</v>
      </c>
      <c r="CH4" s="229">
        <v>0.30280000000000001</v>
      </c>
      <c r="CI4" s="230">
        <v>7250</v>
      </c>
      <c r="CJ4" s="230">
        <v>5375</v>
      </c>
      <c r="CK4" s="230">
        <v>1875</v>
      </c>
      <c r="CL4" s="229">
        <v>0.3488</v>
      </c>
      <c r="CM4" s="230">
        <v>1070000</v>
      </c>
      <c r="CN4" s="230">
        <v>1050625</v>
      </c>
      <c r="CO4" s="230">
        <v>19375</v>
      </c>
      <c r="CP4" s="229">
        <v>1.84E-2</v>
      </c>
      <c r="CQ4" s="230">
        <v>766250</v>
      </c>
      <c r="CR4" s="230">
        <v>788125</v>
      </c>
      <c r="CS4" s="230">
        <v>-21875</v>
      </c>
      <c r="CT4" s="229">
        <v>-2.7799999999999998E-2</v>
      </c>
      <c r="CU4" s="230">
        <v>4295250</v>
      </c>
      <c r="CV4" s="230">
        <v>4352875</v>
      </c>
      <c r="CW4" s="230">
        <v>-57625</v>
      </c>
      <c r="CX4" s="229">
        <v>-1.32E-2</v>
      </c>
      <c r="CY4" s="228">
        <v>23.76</v>
      </c>
      <c r="CZ4" s="228">
        <v>24.15</v>
      </c>
      <c r="DA4" s="228">
        <v>-0.39</v>
      </c>
      <c r="DB4" s="228">
        <v>-0.39</v>
      </c>
      <c r="DC4" s="228">
        <v>24.54</v>
      </c>
      <c r="DD4" s="228">
        <v>24.53</v>
      </c>
      <c r="DE4" s="228">
        <v>-0.78</v>
      </c>
      <c r="DF4" s="228">
        <v>0.01</v>
      </c>
      <c r="DG4" s="228">
        <v>23.48</v>
      </c>
      <c r="DH4" s="228">
        <v>23.34</v>
      </c>
      <c r="DI4" s="228">
        <v>0.14000000000000001</v>
      </c>
      <c r="DJ4" s="228">
        <v>0.14000000000000001</v>
      </c>
      <c r="DK4" s="228">
        <v>24.27</v>
      </c>
      <c r="DL4" s="228">
        <v>25.09</v>
      </c>
      <c r="DM4" s="228">
        <v>-0.82</v>
      </c>
      <c r="DN4" s="228">
        <v>-0.82</v>
      </c>
      <c r="DO4" s="228">
        <v>0.72</v>
      </c>
      <c r="DP4" s="228">
        <v>0.75</v>
      </c>
      <c r="DQ4" s="228">
        <v>-0.03</v>
      </c>
      <c r="DR4" s="229">
        <v>-0.04</v>
      </c>
      <c r="DS4" s="231">
        <v>8500</v>
      </c>
      <c r="DT4" s="231">
        <v>7000</v>
      </c>
      <c r="DU4" s="228">
        <v>0.55000000000000004</v>
      </c>
      <c r="DV4" s="228">
        <v>0.86</v>
      </c>
      <c r="DW4" s="228">
        <v>-0.31</v>
      </c>
      <c r="DX4" s="229">
        <v>-0.36049999999999999</v>
      </c>
      <c r="DY4" s="229">
        <v>2.18E-2</v>
      </c>
      <c r="DZ4" s="230">
        <v>40875</v>
      </c>
      <c r="EA4" s="229">
        <v>7.1000000000000004E-3</v>
      </c>
      <c r="EB4" s="229">
        <v>2.18E-2</v>
      </c>
      <c r="EC4" s="228">
        <v>50.18</v>
      </c>
      <c r="ED4" s="229">
        <v>6.6E-3</v>
      </c>
      <c r="EE4" s="230">
        <v>362554</v>
      </c>
      <c r="EF4" s="230">
        <v>200301</v>
      </c>
      <c r="EG4" s="229">
        <v>0.81</v>
      </c>
      <c r="EH4" s="229">
        <v>0.62929999999999997</v>
      </c>
      <c r="EI4" s="231">
        <v>106366.05</v>
      </c>
      <c r="EJ4" s="231">
        <v>55446.559999999998</v>
      </c>
      <c r="EK4" s="231">
        <v>36765.980000000003</v>
      </c>
      <c r="EL4" s="231">
        <v>2551</v>
      </c>
      <c r="EM4" s="231">
        <v>198578.59</v>
      </c>
      <c r="EN4" s="231">
        <v>178611.88</v>
      </c>
      <c r="EO4" s="231">
        <v>19966.71</v>
      </c>
      <c r="EP4" s="229">
        <v>0.1118</v>
      </c>
      <c r="EQ4" s="231">
        <v>85579</v>
      </c>
      <c r="ER4" s="231">
        <v>56308</v>
      </c>
      <c r="ES4" s="231">
        <v>186485</v>
      </c>
      <c r="ET4" s="231">
        <v>15524629</v>
      </c>
      <c r="EU4" s="231">
        <v>328371</v>
      </c>
      <c r="EV4" s="231">
        <v>335861</v>
      </c>
      <c r="EW4" s="231">
        <v>-7490</v>
      </c>
      <c r="EX4" s="229">
        <v>-2.23E-2</v>
      </c>
      <c r="EY4" s="229">
        <v>0.2767</v>
      </c>
    </row>
    <row r="5" spans="1:155" ht="17.25" thickBot="1" x14ac:dyDescent="0.3">
      <c r="A5" s="226">
        <v>46093</v>
      </c>
      <c r="B5" s="227" t="s">
        <v>168</v>
      </c>
      <c r="C5" s="227" t="s">
        <v>169</v>
      </c>
      <c r="D5" s="231">
        <v>2226.6</v>
      </c>
      <c r="E5" s="231">
        <v>2234.4</v>
      </c>
      <c r="F5" s="228">
        <v>-7.8</v>
      </c>
      <c r="G5" s="229">
        <v>-3.5000000000000001E-3</v>
      </c>
      <c r="H5" s="231">
        <v>2221.1999999999998</v>
      </c>
      <c r="I5" s="231">
        <v>2232</v>
      </c>
      <c r="J5" s="228">
        <v>-10.8</v>
      </c>
      <c r="K5" s="229">
        <v>-4.7999999999999996E-3</v>
      </c>
      <c r="L5" s="231">
        <v>2226.6</v>
      </c>
      <c r="M5" s="231">
        <v>2234.4</v>
      </c>
      <c r="N5" s="228">
        <v>-7.8</v>
      </c>
      <c r="O5" s="229">
        <v>-3.5000000000000001E-3</v>
      </c>
      <c r="P5" s="231">
        <v>2241.1</v>
      </c>
      <c r="Q5" s="231">
        <v>2249.1999999999998</v>
      </c>
      <c r="R5" s="228">
        <v>-8.1</v>
      </c>
      <c r="S5" s="229">
        <v>-3.5999999999999999E-3</v>
      </c>
      <c r="T5" s="231">
        <v>2253</v>
      </c>
      <c r="U5" s="231">
        <v>2261.6999999999998</v>
      </c>
      <c r="V5" s="228">
        <v>-8.6999999999999993</v>
      </c>
      <c r="W5" s="229">
        <v>-3.8E-3</v>
      </c>
      <c r="X5" s="228">
        <v>5.4</v>
      </c>
      <c r="Y5" s="228">
        <v>2.4</v>
      </c>
      <c r="Z5" s="228">
        <v>3</v>
      </c>
      <c r="AA5" s="229">
        <v>2.3999999999999998E-3</v>
      </c>
      <c r="AB5" s="228">
        <v>5.4</v>
      </c>
      <c r="AC5" s="228">
        <v>2.4</v>
      </c>
      <c r="AD5" s="228">
        <v>3</v>
      </c>
      <c r="AE5" s="229">
        <v>2.3999999999999998E-3</v>
      </c>
      <c r="AF5" s="228">
        <v>19.899999999999999</v>
      </c>
      <c r="AG5" s="228">
        <v>17.2</v>
      </c>
      <c r="AH5" s="228">
        <v>2.7</v>
      </c>
      <c r="AI5" s="229">
        <v>8.9999999999999993E-3</v>
      </c>
      <c r="AJ5" s="228">
        <v>31.8</v>
      </c>
      <c r="AK5" s="228">
        <v>29.7</v>
      </c>
      <c r="AL5" s="228">
        <v>2.1</v>
      </c>
      <c r="AM5" s="229">
        <v>1.43E-2</v>
      </c>
      <c r="AN5" s="231">
        <v>2232.75</v>
      </c>
      <c r="AO5" s="231">
        <v>2244.27</v>
      </c>
      <c r="AP5" s="228">
        <v>0</v>
      </c>
      <c r="AQ5" s="230">
        <v>4940</v>
      </c>
      <c r="AR5" s="230">
        <v>4629</v>
      </c>
      <c r="AS5" s="228">
        <v>311</v>
      </c>
      <c r="AT5" s="229">
        <v>6.7199999999999996E-2</v>
      </c>
      <c r="AU5" s="230">
        <v>4595</v>
      </c>
      <c r="AV5" s="230">
        <v>4259</v>
      </c>
      <c r="AW5" s="228">
        <v>336</v>
      </c>
      <c r="AX5" s="229">
        <v>7.8899999999999998E-2</v>
      </c>
      <c r="AY5" s="228">
        <v>322</v>
      </c>
      <c r="AZ5" s="228">
        <v>316</v>
      </c>
      <c r="BA5" s="228">
        <v>6</v>
      </c>
      <c r="BB5" s="229">
        <v>1.9E-2</v>
      </c>
      <c r="BC5" s="228">
        <v>23</v>
      </c>
      <c r="BD5" s="228">
        <v>54</v>
      </c>
      <c r="BE5" s="228">
        <v>-31</v>
      </c>
      <c r="BF5" s="229">
        <v>-0.57410000000000005</v>
      </c>
      <c r="BG5" s="230">
        <v>19015</v>
      </c>
      <c r="BH5" s="230">
        <v>18732</v>
      </c>
      <c r="BI5" s="228">
        <v>283</v>
      </c>
      <c r="BJ5" s="229">
        <v>1.5100000000000001E-2</v>
      </c>
      <c r="BK5" s="230">
        <v>20016</v>
      </c>
      <c r="BL5" s="230">
        <v>17969</v>
      </c>
      <c r="BM5" s="230">
        <v>2047</v>
      </c>
      <c r="BN5" s="229">
        <v>0.1139</v>
      </c>
      <c r="BO5" s="230">
        <v>43971</v>
      </c>
      <c r="BP5" s="230">
        <v>41330</v>
      </c>
      <c r="BQ5" s="230">
        <v>2641</v>
      </c>
      <c r="BR5" s="229">
        <v>6.3899999999999998E-2</v>
      </c>
      <c r="BS5" s="230">
        <v>1554542</v>
      </c>
      <c r="BT5" s="230">
        <v>733292</v>
      </c>
      <c r="BU5" s="230">
        <v>821250</v>
      </c>
      <c r="BV5" s="229">
        <v>1.1198999999999999</v>
      </c>
      <c r="BW5" s="230">
        <v>13705500</v>
      </c>
      <c r="BX5" s="230">
        <v>13779250</v>
      </c>
      <c r="BY5" s="230">
        <v>-73750</v>
      </c>
      <c r="BZ5" s="229">
        <v>-5.4000000000000003E-3</v>
      </c>
      <c r="CA5" s="230">
        <v>13344500</v>
      </c>
      <c r="CB5" s="230">
        <v>13439500</v>
      </c>
      <c r="CC5" s="230">
        <v>-95000</v>
      </c>
      <c r="CD5" s="229">
        <v>-7.1000000000000004E-3</v>
      </c>
      <c r="CE5" s="230">
        <v>309500</v>
      </c>
      <c r="CF5" s="230">
        <v>288000</v>
      </c>
      <c r="CG5" s="230">
        <v>21500</v>
      </c>
      <c r="CH5" s="229">
        <v>7.4700000000000003E-2</v>
      </c>
      <c r="CI5" s="230">
        <v>51500</v>
      </c>
      <c r="CJ5" s="230">
        <v>51750</v>
      </c>
      <c r="CK5" s="228">
        <v>-250</v>
      </c>
      <c r="CL5" s="229">
        <v>-4.7999999999999996E-3</v>
      </c>
      <c r="CM5" s="230">
        <v>4964500</v>
      </c>
      <c r="CN5" s="230">
        <v>4609750</v>
      </c>
      <c r="CO5" s="230">
        <v>354750</v>
      </c>
      <c r="CP5" s="229">
        <v>7.6999999999999999E-2</v>
      </c>
      <c r="CQ5" s="230">
        <v>4674250</v>
      </c>
      <c r="CR5" s="230">
        <v>4527000</v>
      </c>
      <c r="CS5" s="230">
        <v>147250</v>
      </c>
      <c r="CT5" s="229">
        <v>3.2500000000000001E-2</v>
      </c>
      <c r="CU5" s="230">
        <v>23344250</v>
      </c>
      <c r="CV5" s="230">
        <v>22916000</v>
      </c>
      <c r="CW5" s="230">
        <v>428250</v>
      </c>
      <c r="CX5" s="229">
        <v>1.8700000000000001E-2</v>
      </c>
      <c r="CY5" s="228">
        <v>32.880000000000003</v>
      </c>
      <c r="CZ5" s="228">
        <v>32.93</v>
      </c>
      <c r="DA5" s="228">
        <v>-0.05</v>
      </c>
      <c r="DB5" s="228">
        <v>-0.05</v>
      </c>
      <c r="DC5" s="228">
        <v>26.66</v>
      </c>
      <c r="DD5" s="228">
        <v>26.72</v>
      </c>
      <c r="DE5" s="228">
        <v>6.22</v>
      </c>
      <c r="DF5" s="228">
        <v>-0.06</v>
      </c>
      <c r="DG5" s="228">
        <v>30.71</v>
      </c>
      <c r="DH5" s="228">
        <v>30.78</v>
      </c>
      <c r="DI5" s="228">
        <v>-7.0000000000000007E-2</v>
      </c>
      <c r="DJ5" s="228">
        <v>-7.0000000000000007E-2</v>
      </c>
      <c r="DK5" s="228">
        <v>34.950000000000003</v>
      </c>
      <c r="DL5" s="228">
        <v>35.17</v>
      </c>
      <c r="DM5" s="228">
        <v>-0.22</v>
      </c>
      <c r="DN5" s="228">
        <v>-0.22</v>
      </c>
      <c r="DO5" s="228">
        <v>0.94</v>
      </c>
      <c r="DP5" s="228">
        <v>0.98</v>
      </c>
      <c r="DQ5" s="228">
        <v>-0.04</v>
      </c>
      <c r="DR5" s="229">
        <v>-4.0800000000000003E-2</v>
      </c>
      <c r="DS5" s="231">
        <v>2500</v>
      </c>
      <c r="DT5" s="231">
        <v>2000</v>
      </c>
      <c r="DU5" s="228">
        <v>1.05</v>
      </c>
      <c r="DV5" s="228">
        <v>0.96</v>
      </c>
      <c r="DW5" s="228">
        <v>0.09</v>
      </c>
      <c r="DX5" s="229">
        <v>9.3799999999999994E-2</v>
      </c>
      <c r="DY5" s="229">
        <v>2.63E-2</v>
      </c>
      <c r="DZ5" s="230">
        <v>339750</v>
      </c>
      <c r="EA5" s="229">
        <v>6.4999999999999997E-3</v>
      </c>
      <c r="EB5" s="229">
        <v>2.63E-2</v>
      </c>
      <c r="EC5" s="228">
        <v>11.52</v>
      </c>
      <c r="ED5" s="229">
        <v>5.1999999999999998E-3</v>
      </c>
      <c r="EE5" s="230">
        <v>758873</v>
      </c>
      <c r="EF5" s="230">
        <v>372466</v>
      </c>
      <c r="EG5" s="229">
        <v>1.0374000000000001</v>
      </c>
      <c r="EH5" s="229">
        <v>0.48820000000000002</v>
      </c>
      <c r="EI5" s="231">
        <v>112656.43</v>
      </c>
      <c r="EJ5" s="231">
        <v>109766.33</v>
      </c>
      <c r="EK5" s="231">
        <v>27585.17</v>
      </c>
      <c r="EL5" s="231">
        <v>7076</v>
      </c>
      <c r="EM5" s="231">
        <v>250007.93</v>
      </c>
      <c r="EN5" s="231">
        <v>237719.63</v>
      </c>
      <c r="EO5" s="231">
        <v>12288.3</v>
      </c>
      <c r="EP5" s="229">
        <v>5.1700000000000003E-2</v>
      </c>
      <c r="EQ5" s="231">
        <v>121981</v>
      </c>
      <c r="ER5" s="231">
        <v>102346</v>
      </c>
      <c r="ES5" s="231">
        <v>305225</v>
      </c>
      <c r="ET5" s="231">
        <v>49389162</v>
      </c>
      <c r="EU5" s="231">
        <v>529551</v>
      </c>
      <c r="EV5" s="231">
        <v>520900</v>
      </c>
      <c r="EW5" s="231">
        <v>8651</v>
      </c>
      <c r="EX5" s="229">
        <v>1.66E-2</v>
      </c>
      <c r="EY5" s="229">
        <v>0.47270000000000001</v>
      </c>
    </row>
    <row r="6" spans="1:155" ht="17.25" thickBot="1" x14ac:dyDescent="0.3">
      <c r="A6" s="226">
        <v>46093</v>
      </c>
      <c r="B6" s="227" t="s">
        <v>172</v>
      </c>
      <c r="C6" s="227" t="s">
        <v>173</v>
      </c>
      <c r="D6" s="231">
        <v>1239.4000000000001</v>
      </c>
      <c r="E6" s="231">
        <v>1260.3</v>
      </c>
      <c r="F6" s="228">
        <v>-20.9</v>
      </c>
      <c r="G6" s="229">
        <v>-1.66E-2</v>
      </c>
      <c r="H6" s="231">
        <v>1234.5</v>
      </c>
      <c r="I6" s="231">
        <v>1255.8</v>
      </c>
      <c r="J6" s="228">
        <v>-21.3</v>
      </c>
      <c r="K6" s="229">
        <v>-1.7000000000000001E-2</v>
      </c>
      <c r="L6" s="231">
        <v>1239.4000000000001</v>
      </c>
      <c r="M6" s="231">
        <v>1260.3</v>
      </c>
      <c r="N6" s="228">
        <v>-20.9</v>
      </c>
      <c r="O6" s="229">
        <v>-1.66E-2</v>
      </c>
      <c r="P6" s="231">
        <v>1246.7</v>
      </c>
      <c r="Q6" s="231">
        <v>1267.9000000000001</v>
      </c>
      <c r="R6" s="228">
        <v>-21.2</v>
      </c>
      <c r="S6" s="229">
        <v>-1.67E-2</v>
      </c>
      <c r="T6" s="231">
        <v>1253.5</v>
      </c>
      <c r="U6" s="231">
        <v>1276.5999999999999</v>
      </c>
      <c r="V6" s="228">
        <v>-23.1</v>
      </c>
      <c r="W6" s="229">
        <v>-1.8100000000000002E-2</v>
      </c>
      <c r="X6" s="228">
        <v>4.9000000000000004</v>
      </c>
      <c r="Y6" s="228">
        <v>4.5</v>
      </c>
      <c r="Z6" s="228">
        <v>0.4</v>
      </c>
      <c r="AA6" s="229">
        <v>4.0000000000000001E-3</v>
      </c>
      <c r="AB6" s="228">
        <v>4.9000000000000004</v>
      </c>
      <c r="AC6" s="228">
        <v>4.5</v>
      </c>
      <c r="AD6" s="228">
        <v>0.4</v>
      </c>
      <c r="AE6" s="229">
        <v>4.0000000000000001E-3</v>
      </c>
      <c r="AF6" s="228">
        <v>12.2</v>
      </c>
      <c r="AG6" s="228">
        <v>12.1</v>
      </c>
      <c r="AH6" s="228">
        <v>0.1</v>
      </c>
      <c r="AI6" s="229">
        <v>9.9000000000000008E-3</v>
      </c>
      <c r="AJ6" s="228">
        <v>19</v>
      </c>
      <c r="AK6" s="228">
        <v>20.8</v>
      </c>
      <c r="AL6" s="228">
        <v>-1.8</v>
      </c>
      <c r="AM6" s="229">
        <v>1.54E-2</v>
      </c>
      <c r="AN6" s="231">
        <v>1245.23</v>
      </c>
      <c r="AO6" s="231">
        <v>1253.28</v>
      </c>
      <c r="AP6" s="228">
        <v>0</v>
      </c>
      <c r="AQ6" s="230">
        <v>16681</v>
      </c>
      <c r="AR6" s="230">
        <v>28874</v>
      </c>
      <c r="AS6" s="230">
        <v>-12193</v>
      </c>
      <c r="AT6" s="229">
        <v>-0.42230000000000001</v>
      </c>
      <c r="AU6" s="230">
        <v>14564</v>
      </c>
      <c r="AV6" s="230">
        <v>20713</v>
      </c>
      <c r="AW6" s="230">
        <v>-6149</v>
      </c>
      <c r="AX6" s="229">
        <v>-0.2969</v>
      </c>
      <c r="AY6" s="230">
        <v>1110</v>
      </c>
      <c r="AZ6" s="230">
        <v>7987</v>
      </c>
      <c r="BA6" s="230">
        <v>-6877</v>
      </c>
      <c r="BB6" s="229">
        <v>-0.86099999999999999</v>
      </c>
      <c r="BC6" s="230">
        <v>1007</v>
      </c>
      <c r="BD6" s="228">
        <v>174</v>
      </c>
      <c r="BE6" s="228">
        <v>833</v>
      </c>
      <c r="BF6" s="229">
        <v>4.7873999999999999</v>
      </c>
      <c r="BG6" s="230">
        <v>46423</v>
      </c>
      <c r="BH6" s="230">
        <v>61827</v>
      </c>
      <c r="BI6" s="230">
        <v>-15404</v>
      </c>
      <c r="BJ6" s="229">
        <v>-0.24909999999999999</v>
      </c>
      <c r="BK6" s="230">
        <v>30076</v>
      </c>
      <c r="BL6" s="230">
        <v>41773</v>
      </c>
      <c r="BM6" s="230">
        <v>-11697</v>
      </c>
      <c r="BN6" s="229">
        <v>-0.28000000000000003</v>
      </c>
      <c r="BO6" s="230">
        <v>93180</v>
      </c>
      <c r="BP6" s="230">
        <v>132474</v>
      </c>
      <c r="BQ6" s="230">
        <v>-39294</v>
      </c>
      <c r="BR6" s="229">
        <v>-0.29659999999999997</v>
      </c>
      <c r="BS6" s="230">
        <v>10622021</v>
      </c>
      <c r="BT6" s="230">
        <v>7364481</v>
      </c>
      <c r="BU6" s="230">
        <v>3257540</v>
      </c>
      <c r="BV6" s="229">
        <v>0.44230000000000003</v>
      </c>
      <c r="BW6" s="230">
        <v>68205625</v>
      </c>
      <c r="BX6" s="230">
        <v>66745625</v>
      </c>
      <c r="BY6" s="230">
        <v>1460000</v>
      </c>
      <c r="BZ6" s="229">
        <v>2.1899999999999999E-2</v>
      </c>
      <c r="CA6" s="230">
        <v>56565000</v>
      </c>
      <c r="CB6" s="230">
        <v>55967500</v>
      </c>
      <c r="CC6" s="230">
        <v>597500</v>
      </c>
      <c r="CD6" s="229">
        <v>1.0699999999999999E-2</v>
      </c>
      <c r="CE6" s="230">
        <v>10906250</v>
      </c>
      <c r="CF6" s="230">
        <v>10610625</v>
      </c>
      <c r="CG6" s="230">
        <v>295625</v>
      </c>
      <c r="CH6" s="229">
        <v>2.7900000000000001E-2</v>
      </c>
      <c r="CI6" s="230">
        <v>734375</v>
      </c>
      <c r="CJ6" s="230">
        <v>167500</v>
      </c>
      <c r="CK6" s="230">
        <v>566875</v>
      </c>
      <c r="CL6" s="229">
        <v>3.3843000000000001</v>
      </c>
      <c r="CM6" s="230">
        <v>22890000</v>
      </c>
      <c r="CN6" s="230">
        <v>21193750</v>
      </c>
      <c r="CO6" s="230">
        <v>1696250</v>
      </c>
      <c r="CP6" s="229">
        <v>0.08</v>
      </c>
      <c r="CQ6" s="230">
        <v>11006875</v>
      </c>
      <c r="CR6" s="230">
        <v>10561875</v>
      </c>
      <c r="CS6" s="230">
        <v>445000</v>
      </c>
      <c r="CT6" s="229">
        <v>4.2099999999999999E-2</v>
      </c>
      <c r="CU6" s="230">
        <v>102102500</v>
      </c>
      <c r="CV6" s="230">
        <v>98501250</v>
      </c>
      <c r="CW6" s="230">
        <v>3601250</v>
      </c>
      <c r="CX6" s="229">
        <v>3.6600000000000001E-2</v>
      </c>
      <c r="CY6" s="228">
        <v>27.94</v>
      </c>
      <c r="CZ6" s="228">
        <v>27.84</v>
      </c>
      <c r="DA6" s="228">
        <v>0.1</v>
      </c>
      <c r="DB6" s="228">
        <v>0.1</v>
      </c>
      <c r="DC6" s="228">
        <v>27.33</v>
      </c>
      <c r="DD6" s="228">
        <v>27.3</v>
      </c>
      <c r="DE6" s="228">
        <v>0.61</v>
      </c>
      <c r="DF6" s="228">
        <v>0.03</v>
      </c>
      <c r="DG6" s="228">
        <v>27.26</v>
      </c>
      <c r="DH6" s="228">
        <v>27.13</v>
      </c>
      <c r="DI6" s="228">
        <v>0.13</v>
      </c>
      <c r="DJ6" s="228">
        <v>0.13</v>
      </c>
      <c r="DK6" s="228">
        <v>28.99</v>
      </c>
      <c r="DL6" s="228">
        <v>28.89</v>
      </c>
      <c r="DM6" s="228">
        <v>0.1</v>
      </c>
      <c r="DN6" s="228">
        <v>0.1</v>
      </c>
      <c r="DO6" s="228">
        <v>0.48</v>
      </c>
      <c r="DP6" s="228">
        <v>0.5</v>
      </c>
      <c r="DQ6" s="228">
        <v>-0.02</v>
      </c>
      <c r="DR6" s="229">
        <v>-0.04</v>
      </c>
      <c r="DS6" s="231">
        <v>1300</v>
      </c>
      <c r="DT6" s="231">
        <v>1400</v>
      </c>
      <c r="DU6" s="228">
        <v>0.65</v>
      </c>
      <c r="DV6" s="228">
        <v>0.68</v>
      </c>
      <c r="DW6" s="228">
        <v>-0.03</v>
      </c>
      <c r="DX6" s="229">
        <v>-4.41E-2</v>
      </c>
      <c r="DY6" s="229">
        <v>0.17069999999999999</v>
      </c>
      <c r="DZ6" s="230">
        <v>10778125</v>
      </c>
      <c r="EA6" s="229">
        <v>5.8999999999999999E-3</v>
      </c>
      <c r="EB6" s="229">
        <v>0.17069999999999999</v>
      </c>
      <c r="EC6" s="228">
        <v>8.0500000000000007</v>
      </c>
      <c r="ED6" s="229">
        <v>6.4999999999999997E-3</v>
      </c>
      <c r="EE6" s="230">
        <v>6673467</v>
      </c>
      <c r="EF6" s="230">
        <v>4460260</v>
      </c>
      <c r="EG6" s="229">
        <v>0.49619999999999997</v>
      </c>
      <c r="EH6" s="229">
        <v>0.62829999999999997</v>
      </c>
      <c r="EI6" s="231">
        <v>381963.51</v>
      </c>
      <c r="EJ6" s="231">
        <v>234056.69</v>
      </c>
      <c r="EK6" s="231">
        <v>129963.82</v>
      </c>
      <c r="EL6" s="231">
        <v>20394</v>
      </c>
      <c r="EM6" s="231">
        <v>745984.02</v>
      </c>
      <c r="EN6" s="231">
        <v>1083851.47</v>
      </c>
      <c r="EO6" s="231">
        <v>-337867.45</v>
      </c>
      <c r="EP6" s="229">
        <v>-0.31169999999999998</v>
      </c>
      <c r="EQ6" s="231">
        <v>309698</v>
      </c>
      <c r="ER6" s="231">
        <v>142063</v>
      </c>
      <c r="ES6" s="231">
        <v>846240</v>
      </c>
      <c r="ET6" s="231">
        <v>296371456</v>
      </c>
      <c r="EU6" s="231">
        <v>1298001</v>
      </c>
      <c r="EV6" s="231">
        <v>1267320</v>
      </c>
      <c r="EW6" s="231">
        <v>30681</v>
      </c>
      <c r="EX6" s="229">
        <v>2.4199999999999999E-2</v>
      </c>
      <c r="EY6" s="229">
        <v>0.34449999999999997</v>
      </c>
    </row>
    <row r="7" spans="1:155" ht="17.25" thickBot="1" x14ac:dyDescent="0.3">
      <c r="A7" s="226">
        <v>46093</v>
      </c>
      <c r="B7" s="227" t="s">
        <v>162</v>
      </c>
      <c r="C7" s="227" t="s">
        <v>174</v>
      </c>
      <c r="D7" s="231">
        <v>9127.5</v>
      </c>
      <c r="E7" s="231">
        <v>9308</v>
      </c>
      <c r="F7" s="228">
        <v>-180.5</v>
      </c>
      <c r="G7" s="229">
        <v>-1.9400000000000001E-2</v>
      </c>
      <c r="H7" s="231">
        <v>9162</v>
      </c>
      <c r="I7" s="231">
        <v>9327.5</v>
      </c>
      <c r="J7" s="228">
        <v>-165.5</v>
      </c>
      <c r="K7" s="229">
        <v>-1.77E-2</v>
      </c>
      <c r="L7" s="231">
        <v>9127.5</v>
      </c>
      <c r="M7" s="231">
        <v>9308</v>
      </c>
      <c r="N7" s="228">
        <v>-180.5</v>
      </c>
      <c r="O7" s="229">
        <v>-1.9400000000000001E-2</v>
      </c>
      <c r="P7" s="231">
        <v>9148.5</v>
      </c>
      <c r="Q7" s="231">
        <v>9329.5</v>
      </c>
      <c r="R7" s="228">
        <v>-181</v>
      </c>
      <c r="S7" s="229">
        <v>-1.9400000000000001E-2</v>
      </c>
      <c r="T7" s="231">
        <v>9160.5</v>
      </c>
      <c r="U7" s="231">
        <v>9385</v>
      </c>
      <c r="V7" s="228">
        <v>-224.5</v>
      </c>
      <c r="W7" s="229">
        <v>-2.3900000000000001E-2</v>
      </c>
      <c r="X7" s="228">
        <v>-34.5</v>
      </c>
      <c r="Y7" s="228">
        <v>-19.5</v>
      </c>
      <c r="Z7" s="228">
        <v>-15</v>
      </c>
      <c r="AA7" s="229">
        <v>-3.8E-3</v>
      </c>
      <c r="AB7" s="228">
        <v>-34.5</v>
      </c>
      <c r="AC7" s="228">
        <v>-19.5</v>
      </c>
      <c r="AD7" s="228">
        <v>-15</v>
      </c>
      <c r="AE7" s="229">
        <v>-3.8E-3</v>
      </c>
      <c r="AF7" s="228">
        <v>-13.5</v>
      </c>
      <c r="AG7" s="228">
        <v>2</v>
      </c>
      <c r="AH7" s="228">
        <v>-15.5</v>
      </c>
      <c r="AI7" s="229">
        <v>-1.5E-3</v>
      </c>
      <c r="AJ7" s="228">
        <v>-1.5</v>
      </c>
      <c r="AK7" s="228">
        <v>57.5</v>
      </c>
      <c r="AL7" s="228">
        <v>-59</v>
      </c>
      <c r="AM7" s="229">
        <v>-2.0000000000000001E-4</v>
      </c>
      <c r="AN7" s="231">
        <v>9148.02</v>
      </c>
      <c r="AO7" s="231">
        <v>9166.1</v>
      </c>
      <c r="AP7" s="228">
        <v>0</v>
      </c>
      <c r="AQ7" s="230">
        <v>9531</v>
      </c>
      <c r="AR7" s="230">
        <v>9026</v>
      </c>
      <c r="AS7" s="228">
        <v>505</v>
      </c>
      <c r="AT7" s="229">
        <v>5.5899999999999998E-2</v>
      </c>
      <c r="AU7" s="230">
        <v>7808</v>
      </c>
      <c r="AV7" s="230">
        <v>8345</v>
      </c>
      <c r="AW7" s="228">
        <v>-537</v>
      </c>
      <c r="AX7" s="229">
        <v>-6.4299999999999996E-2</v>
      </c>
      <c r="AY7" s="230">
        <v>1691</v>
      </c>
      <c r="AZ7" s="228">
        <v>639</v>
      </c>
      <c r="BA7" s="230">
        <v>1052</v>
      </c>
      <c r="BB7" s="229">
        <v>1.6463000000000001</v>
      </c>
      <c r="BC7" s="228">
        <v>32</v>
      </c>
      <c r="BD7" s="228">
        <v>42</v>
      </c>
      <c r="BE7" s="228">
        <v>-10</v>
      </c>
      <c r="BF7" s="229">
        <v>-0.23810000000000001</v>
      </c>
      <c r="BG7" s="230">
        <v>27676</v>
      </c>
      <c r="BH7" s="230">
        <v>34622</v>
      </c>
      <c r="BI7" s="230">
        <v>-6946</v>
      </c>
      <c r="BJ7" s="229">
        <v>-0.2006</v>
      </c>
      <c r="BK7" s="230">
        <v>19508</v>
      </c>
      <c r="BL7" s="230">
        <v>26783</v>
      </c>
      <c r="BM7" s="230">
        <v>-7275</v>
      </c>
      <c r="BN7" s="229">
        <v>-0.27160000000000001</v>
      </c>
      <c r="BO7" s="230">
        <v>56715</v>
      </c>
      <c r="BP7" s="230">
        <v>70431</v>
      </c>
      <c r="BQ7" s="230">
        <v>-13716</v>
      </c>
      <c r="BR7" s="229">
        <v>-0.19470000000000001</v>
      </c>
      <c r="BS7" s="230">
        <v>410172</v>
      </c>
      <c r="BT7" s="230">
        <v>498126</v>
      </c>
      <c r="BU7" s="230">
        <v>-87954</v>
      </c>
      <c r="BV7" s="229">
        <v>-0.17660000000000001</v>
      </c>
      <c r="BW7" s="230">
        <v>3395625</v>
      </c>
      <c r="BX7" s="230">
        <v>3255075</v>
      </c>
      <c r="BY7" s="230">
        <v>140550</v>
      </c>
      <c r="BZ7" s="229">
        <v>4.3200000000000002E-2</v>
      </c>
      <c r="CA7" s="230">
        <v>3246675</v>
      </c>
      <c r="CB7" s="230">
        <v>3201000</v>
      </c>
      <c r="CC7" s="230">
        <v>45675</v>
      </c>
      <c r="CD7" s="229">
        <v>1.43E-2</v>
      </c>
      <c r="CE7" s="230">
        <v>142800</v>
      </c>
      <c r="CF7" s="230">
        <v>48675</v>
      </c>
      <c r="CG7" s="230">
        <v>94125</v>
      </c>
      <c r="CH7" s="229">
        <v>1.9337</v>
      </c>
      <c r="CI7" s="230">
        <v>6150</v>
      </c>
      <c r="CJ7" s="230">
        <v>5400</v>
      </c>
      <c r="CK7" s="228">
        <v>750</v>
      </c>
      <c r="CL7" s="229">
        <v>0.1389</v>
      </c>
      <c r="CM7" s="230">
        <v>1769700</v>
      </c>
      <c r="CN7" s="230">
        <v>1668450</v>
      </c>
      <c r="CO7" s="230">
        <v>101250</v>
      </c>
      <c r="CP7" s="229">
        <v>6.0699999999999997E-2</v>
      </c>
      <c r="CQ7" s="230">
        <v>828150</v>
      </c>
      <c r="CR7" s="230">
        <v>832575</v>
      </c>
      <c r="CS7" s="230">
        <v>-4425</v>
      </c>
      <c r="CT7" s="229">
        <v>-5.3E-3</v>
      </c>
      <c r="CU7" s="230">
        <v>5993475</v>
      </c>
      <c r="CV7" s="230">
        <v>5756100</v>
      </c>
      <c r="CW7" s="230">
        <v>237375</v>
      </c>
      <c r="CX7" s="229">
        <v>4.1200000000000001E-2</v>
      </c>
      <c r="CY7" s="228">
        <v>31.66</v>
      </c>
      <c r="CZ7" s="228">
        <v>30.67</v>
      </c>
      <c r="DA7" s="228">
        <v>0.99</v>
      </c>
      <c r="DB7" s="228">
        <v>0.99</v>
      </c>
      <c r="DC7" s="228">
        <v>28.32</v>
      </c>
      <c r="DD7" s="228">
        <v>28.29</v>
      </c>
      <c r="DE7" s="228">
        <v>3.34</v>
      </c>
      <c r="DF7" s="228">
        <v>0.03</v>
      </c>
      <c r="DG7" s="228">
        <v>30.93</v>
      </c>
      <c r="DH7" s="228">
        <v>29.64</v>
      </c>
      <c r="DI7" s="228">
        <v>1.29</v>
      </c>
      <c r="DJ7" s="228">
        <v>1.29</v>
      </c>
      <c r="DK7" s="228">
        <v>32.71</v>
      </c>
      <c r="DL7" s="228">
        <v>32</v>
      </c>
      <c r="DM7" s="228">
        <v>0.71</v>
      </c>
      <c r="DN7" s="228">
        <v>0.71</v>
      </c>
      <c r="DO7" s="228">
        <v>0.47</v>
      </c>
      <c r="DP7" s="228">
        <v>0.5</v>
      </c>
      <c r="DQ7" s="228">
        <v>-0.03</v>
      </c>
      <c r="DR7" s="229">
        <v>-0.06</v>
      </c>
      <c r="DS7" s="231">
        <v>10500</v>
      </c>
      <c r="DT7" s="231">
        <v>9000</v>
      </c>
      <c r="DU7" s="228">
        <v>0.7</v>
      </c>
      <c r="DV7" s="228">
        <v>0.77</v>
      </c>
      <c r="DW7" s="228">
        <v>-7.0000000000000007E-2</v>
      </c>
      <c r="DX7" s="229">
        <v>-9.0899999999999995E-2</v>
      </c>
      <c r="DY7" s="229">
        <v>4.3900000000000002E-2</v>
      </c>
      <c r="DZ7" s="230">
        <v>54075</v>
      </c>
      <c r="EA7" s="229">
        <v>2.3E-3</v>
      </c>
      <c r="EB7" s="229">
        <v>4.3900000000000002E-2</v>
      </c>
      <c r="EC7" s="228">
        <v>18.079999999999998</v>
      </c>
      <c r="ED7" s="229">
        <v>2E-3</v>
      </c>
      <c r="EE7" s="230">
        <v>207483</v>
      </c>
      <c r="EF7" s="230">
        <v>238234</v>
      </c>
      <c r="EG7" s="229">
        <v>-0.12909999999999999</v>
      </c>
      <c r="EH7" s="229">
        <v>0.50580000000000003</v>
      </c>
      <c r="EI7" s="231">
        <v>204103.27</v>
      </c>
      <c r="EJ7" s="231">
        <v>132966.81</v>
      </c>
      <c r="EK7" s="231">
        <v>65416.22</v>
      </c>
      <c r="EL7" s="231">
        <v>7431</v>
      </c>
      <c r="EM7" s="231">
        <v>402486.3</v>
      </c>
      <c r="EN7" s="231">
        <v>512399.98</v>
      </c>
      <c r="EO7" s="231">
        <v>-109913.68</v>
      </c>
      <c r="EP7" s="229">
        <v>-0.2145</v>
      </c>
      <c r="EQ7" s="231">
        <v>178712</v>
      </c>
      <c r="ER7" s="231">
        <v>76140</v>
      </c>
      <c r="ES7" s="231">
        <v>309968</v>
      </c>
      <c r="ET7" s="231">
        <v>15906526</v>
      </c>
      <c r="EU7" s="231">
        <v>564819</v>
      </c>
      <c r="EV7" s="231">
        <v>549603</v>
      </c>
      <c r="EW7" s="231">
        <v>15216</v>
      </c>
      <c r="EX7" s="229">
        <v>2.7699999999999999E-2</v>
      </c>
      <c r="EY7" s="229">
        <v>0.37680000000000002</v>
      </c>
    </row>
    <row r="8" spans="1:155" ht="17.25" thickBot="1" x14ac:dyDescent="0.3">
      <c r="A8" s="226">
        <v>46093</v>
      </c>
      <c r="B8" s="227" t="s">
        <v>175</v>
      </c>
      <c r="C8" s="227" t="s">
        <v>176</v>
      </c>
      <c r="D8" s="231">
        <v>1773.1</v>
      </c>
      <c r="E8" s="231">
        <v>1797.6</v>
      </c>
      <c r="F8" s="228">
        <v>-24.5</v>
      </c>
      <c r="G8" s="229">
        <v>-1.3599999999999999E-2</v>
      </c>
      <c r="H8" s="231">
        <v>1770.8</v>
      </c>
      <c r="I8" s="231">
        <v>1795.3</v>
      </c>
      <c r="J8" s="228">
        <v>-24.5</v>
      </c>
      <c r="K8" s="229">
        <v>-1.3599999999999999E-2</v>
      </c>
      <c r="L8" s="231">
        <v>1773.1</v>
      </c>
      <c r="M8" s="231">
        <v>1797.6</v>
      </c>
      <c r="N8" s="228">
        <v>-24.5</v>
      </c>
      <c r="O8" s="229">
        <v>-1.3599999999999999E-2</v>
      </c>
      <c r="P8" s="231">
        <v>1783.5</v>
      </c>
      <c r="Q8" s="231">
        <v>1809.8</v>
      </c>
      <c r="R8" s="228">
        <v>-26.3</v>
      </c>
      <c r="S8" s="229">
        <v>-1.4500000000000001E-2</v>
      </c>
      <c r="T8" s="231">
        <v>1794.2</v>
      </c>
      <c r="U8" s="231">
        <v>1818.6</v>
      </c>
      <c r="V8" s="228">
        <v>-24.4</v>
      </c>
      <c r="W8" s="229">
        <v>-1.34E-2</v>
      </c>
      <c r="X8" s="228">
        <v>2.2999999999999998</v>
      </c>
      <c r="Y8" s="228">
        <v>2.2999999999999998</v>
      </c>
      <c r="Z8" s="228">
        <v>0</v>
      </c>
      <c r="AA8" s="229">
        <v>1.2999999999999999E-3</v>
      </c>
      <c r="AB8" s="228">
        <v>2.2999999999999998</v>
      </c>
      <c r="AC8" s="228">
        <v>2.2999999999999998</v>
      </c>
      <c r="AD8" s="228">
        <v>0</v>
      </c>
      <c r="AE8" s="229">
        <v>1.2999999999999999E-3</v>
      </c>
      <c r="AF8" s="228">
        <v>12.7</v>
      </c>
      <c r="AG8" s="228">
        <v>14.5</v>
      </c>
      <c r="AH8" s="228">
        <v>-1.8</v>
      </c>
      <c r="AI8" s="229">
        <v>7.1999999999999998E-3</v>
      </c>
      <c r="AJ8" s="228">
        <v>23.4</v>
      </c>
      <c r="AK8" s="228">
        <v>23.3</v>
      </c>
      <c r="AL8" s="228">
        <v>0.1</v>
      </c>
      <c r="AM8" s="229">
        <v>1.32E-2</v>
      </c>
      <c r="AN8" s="231">
        <v>1780.23</v>
      </c>
      <c r="AO8" s="231">
        <v>1791.4</v>
      </c>
      <c r="AP8" s="228">
        <v>0</v>
      </c>
      <c r="AQ8" s="230">
        <v>5131</v>
      </c>
      <c r="AR8" s="230">
        <v>7314</v>
      </c>
      <c r="AS8" s="230">
        <v>-2183</v>
      </c>
      <c r="AT8" s="229">
        <v>-0.29849999999999999</v>
      </c>
      <c r="AU8" s="230">
        <v>4720</v>
      </c>
      <c r="AV8" s="230">
        <v>6799</v>
      </c>
      <c r="AW8" s="230">
        <v>-2079</v>
      </c>
      <c r="AX8" s="229">
        <v>-0.30580000000000002</v>
      </c>
      <c r="AY8" s="228">
        <v>373</v>
      </c>
      <c r="AZ8" s="228">
        <v>476</v>
      </c>
      <c r="BA8" s="228">
        <v>-103</v>
      </c>
      <c r="BB8" s="229">
        <v>-0.21640000000000001</v>
      </c>
      <c r="BC8" s="228">
        <v>38</v>
      </c>
      <c r="BD8" s="228">
        <v>39</v>
      </c>
      <c r="BE8" s="228">
        <v>-1</v>
      </c>
      <c r="BF8" s="229">
        <v>-2.5600000000000001E-2</v>
      </c>
      <c r="BG8" s="230">
        <v>23491</v>
      </c>
      <c r="BH8" s="230">
        <v>51443</v>
      </c>
      <c r="BI8" s="230">
        <v>-27952</v>
      </c>
      <c r="BJ8" s="229">
        <v>-0.54339999999999999</v>
      </c>
      <c r="BK8" s="230">
        <v>11722</v>
      </c>
      <c r="BL8" s="230">
        <v>28315</v>
      </c>
      <c r="BM8" s="230">
        <v>-16593</v>
      </c>
      <c r="BN8" s="229">
        <v>-0.58599999999999997</v>
      </c>
      <c r="BO8" s="230">
        <v>40344</v>
      </c>
      <c r="BP8" s="230">
        <v>87072</v>
      </c>
      <c r="BQ8" s="230">
        <v>-46728</v>
      </c>
      <c r="BR8" s="229">
        <v>-0.53669999999999995</v>
      </c>
      <c r="BS8" s="230">
        <v>1145598</v>
      </c>
      <c r="BT8" s="230">
        <v>1359325</v>
      </c>
      <c r="BU8" s="230">
        <v>-213727</v>
      </c>
      <c r="BV8" s="229">
        <v>-0.15720000000000001</v>
      </c>
      <c r="BW8" s="230">
        <v>12861250</v>
      </c>
      <c r="BX8" s="230">
        <v>12981500</v>
      </c>
      <c r="BY8" s="230">
        <v>-120250</v>
      </c>
      <c r="BZ8" s="229">
        <v>-9.2999999999999992E-3</v>
      </c>
      <c r="CA8" s="230">
        <v>12521500</v>
      </c>
      <c r="CB8" s="230">
        <v>12671750</v>
      </c>
      <c r="CC8" s="230">
        <v>-150250</v>
      </c>
      <c r="CD8" s="229">
        <v>-1.1900000000000001E-2</v>
      </c>
      <c r="CE8" s="230">
        <v>286250</v>
      </c>
      <c r="CF8" s="230">
        <v>262000</v>
      </c>
      <c r="CG8" s="230">
        <v>24250</v>
      </c>
      <c r="CH8" s="229">
        <v>9.2600000000000002E-2</v>
      </c>
      <c r="CI8" s="230">
        <v>53500</v>
      </c>
      <c r="CJ8" s="230">
        <v>47750</v>
      </c>
      <c r="CK8" s="230">
        <v>5750</v>
      </c>
      <c r="CL8" s="229">
        <v>0.12039999999999999</v>
      </c>
      <c r="CM8" s="230">
        <v>9313750</v>
      </c>
      <c r="CN8" s="230">
        <v>8890750</v>
      </c>
      <c r="CO8" s="230">
        <v>423000</v>
      </c>
      <c r="CP8" s="229">
        <v>4.7600000000000003E-2</v>
      </c>
      <c r="CQ8" s="230">
        <v>4214250</v>
      </c>
      <c r="CR8" s="230">
        <v>4316750</v>
      </c>
      <c r="CS8" s="230">
        <v>-102500</v>
      </c>
      <c r="CT8" s="229">
        <v>-2.3699999999999999E-2</v>
      </c>
      <c r="CU8" s="230">
        <v>26389250</v>
      </c>
      <c r="CV8" s="230">
        <v>26189000</v>
      </c>
      <c r="CW8" s="230">
        <v>200250</v>
      </c>
      <c r="CX8" s="229">
        <v>7.6E-3</v>
      </c>
      <c r="CY8" s="228">
        <v>28.04</v>
      </c>
      <c r="CZ8" s="228">
        <v>26.99</v>
      </c>
      <c r="DA8" s="228">
        <v>1.05</v>
      </c>
      <c r="DB8" s="228">
        <v>1.05</v>
      </c>
      <c r="DC8" s="228">
        <v>28.53</v>
      </c>
      <c r="DD8" s="228">
        <v>28.54</v>
      </c>
      <c r="DE8" s="228">
        <v>-0.49</v>
      </c>
      <c r="DF8" s="228">
        <v>-0.01</v>
      </c>
      <c r="DG8" s="228">
        <v>27.4</v>
      </c>
      <c r="DH8" s="228">
        <v>26.15</v>
      </c>
      <c r="DI8" s="228">
        <v>1.25</v>
      </c>
      <c r="DJ8" s="228">
        <v>1.25</v>
      </c>
      <c r="DK8" s="228">
        <v>29.34</v>
      </c>
      <c r="DL8" s="228">
        <v>28.51</v>
      </c>
      <c r="DM8" s="228">
        <v>0.83</v>
      </c>
      <c r="DN8" s="228">
        <v>0.83</v>
      </c>
      <c r="DO8" s="228">
        <v>0.45</v>
      </c>
      <c r="DP8" s="228">
        <v>0.49</v>
      </c>
      <c r="DQ8" s="228">
        <v>-0.04</v>
      </c>
      <c r="DR8" s="229">
        <v>-8.1600000000000006E-2</v>
      </c>
      <c r="DS8" s="231">
        <v>1860</v>
      </c>
      <c r="DT8" s="231">
        <v>1700</v>
      </c>
      <c r="DU8" s="228">
        <v>0.5</v>
      </c>
      <c r="DV8" s="228">
        <v>0.55000000000000004</v>
      </c>
      <c r="DW8" s="228">
        <v>-0.05</v>
      </c>
      <c r="DX8" s="229">
        <v>-9.0899999999999995E-2</v>
      </c>
      <c r="DY8" s="229">
        <v>2.64E-2</v>
      </c>
      <c r="DZ8" s="230">
        <v>309750</v>
      </c>
      <c r="EA8" s="229">
        <v>5.8999999999999999E-3</v>
      </c>
      <c r="EB8" s="229">
        <v>2.64E-2</v>
      </c>
      <c r="EC8" s="228">
        <v>11.17</v>
      </c>
      <c r="ED8" s="229">
        <v>6.3E-3</v>
      </c>
      <c r="EE8" s="230">
        <v>560312</v>
      </c>
      <c r="EF8" s="230">
        <v>785371</v>
      </c>
      <c r="EG8" s="229">
        <v>-0.28660000000000002</v>
      </c>
      <c r="EH8" s="229">
        <v>0.48909999999999998</v>
      </c>
      <c r="EI8" s="231">
        <v>111121.81</v>
      </c>
      <c r="EJ8" s="231">
        <v>52572.53</v>
      </c>
      <c r="EK8" s="231">
        <v>22848.13</v>
      </c>
      <c r="EL8" s="231">
        <v>6600</v>
      </c>
      <c r="EM8" s="231">
        <v>186542.47</v>
      </c>
      <c r="EN8" s="231">
        <v>407860.07</v>
      </c>
      <c r="EO8" s="231">
        <v>-221317.6</v>
      </c>
      <c r="EP8" s="229">
        <v>-0.54259999999999997</v>
      </c>
      <c r="EQ8" s="231">
        <v>180634</v>
      </c>
      <c r="ER8" s="231">
        <v>79181</v>
      </c>
      <c r="ES8" s="231">
        <v>228084</v>
      </c>
      <c r="ET8" s="231">
        <v>65701623</v>
      </c>
      <c r="EU8" s="231">
        <v>487899</v>
      </c>
      <c r="EV8" s="231">
        <v>487598</v>
      </c>
      <c r="EW8" s="228">
        <v>301</v>
      </c>
      <c r="EX8" s="229">
        <v>5.9999999999999995E-4</v>
      </c>
      <c r="EY8" s="229">
        <v>0.4017</v>
      </c>
    </row>
    <row r="9" spans="1:155" ht="17.25" thickBot="1" x14ac:dyDescent="0.3">
      <c r="A9" s="226">
        <v>46093</v>
      </c>
      <c r="B9" s="227" t="s">
        <v>175</v>
      </c>
      <c r="C9" s="227" t="s">
        <v>177</v>
      </c>
      <c r="D9" s="228">
        <v>866.6</v>
      </c>
      <c r="E9" s="228">
        <v>894.1</v>
      </c>
      <c r="F9" s="228">
        <v>-27.5</v>
      </c>
      <c r="G9" s="229">
        <v>-3.0800000000000001E-2</v>
      </c>
      <c r="H9" s="228">
        <v>863.1</v>
      </c>
      <c r="I9" s="228">
        <v>893.65</v>
      </c>
      <c r="J9" s="228">
        <v>-30.55</v>
      </c>
      <c r="K9" s="229">
        <v>-3.4200000000000001E-2</v>
      </c>
      <c r="L9" s="228">
        <v>866.6</v>
      </c>
      <c r="M9" s="228">
        <v>894.1</v>
      </c>
      <c r="N9" s="228">
        <v>-27.5</v>
      </c>
      <c r="O9" s="229">
        <v>-3.0800000000000001E-2</v>
      </c>
      <c r="P9" s="228">
        <v>871.2</v>
      </c>
      <c r="Q9" s="228">
        <v>901</v>
      </c>
      <c r="R9" s="228">
        <v>-29.8</v>
      </c>
      <c r="S9" s="229">
        <v>-3.3099999999999997E-2</v>
      </c>
      <c r="T9" s="228">
        <v>877</v>
      </c>
      <c r="U9" s="228">
        <v>904.6</v>
      </c>
      <c r="V9" s="228">
        <v>-27.6</v>
      </c>
      <c r="W9" s="229">
        <v>-3.0499999999999999E-2</v>
      </c>
      <c r="X9" s="228">
        <v>3.5</v>
      </c>
      <c r="Y9" s="228">
        <v>0.45</v>
      </c>
      <c r="Z9" s="228">
        <v>3.05</v>
      </c>
      <c r="AA9" s="229">
        <v>4.1000000000000003E-3</v>
      </c>
      <c r="AB9" s="228">
        <v>3.5</v>
      </c>
      <c r="AC9" s="228">
        <v>0.45</v>
      </c>
      <c r="AD9" s="228">
        <v>3.05</v>
      </c>
      <c r="AE9" s="229">
        <v>4.1000000000000003E-3</v>
      </c>
      <c r="AF9" s="228">
        <v>8.1</v>
      </c>
      <c r="AG9" s="228">
        <v>7.35</v>
      </c>
      <c r="AH9" s="228">
        <v>0.75</v>
      </c>
      <c r="AI9" s="229">
        <v>9.4000000000000004E-3</v>
      </c>
      <c r="AJ9" s="228">
        <v>13.9</v>
      </c>
      <c r="AK9" s="228">
        <v>10.95</v>
      </c>
      <c r="AL9" s="228">
        <v>2.95</v>
      </c>
      <c r="AM9" s="229">
        <v>1.61E-2</v>
      </c>
      <c r="AN9" s="228">
        <v>875.4</v>
      </c>
      <c r="AO9" s="228">
        <v>880.33</v>
      </c>
      <c r="AP9" s="228">
        <v>0</v>
      </c>
      <c r="AQ9" s="230">
        <v>17620</v>
      </c>
      <c r="AR9" s="230">
        <v>16652</v>
      </c>
      <c r="AS9" s="228">
        <v>968</v>
      </c>
      <c r="AT9" s="229">
        <v>5.8099999999999999E-2</v>
      </c>
      <c r="AU9" s="230">
        <v>14651</v>
      </c>
      <c r="AV9" s="230">
        <v>14802</v>
      </c>
      <c r="AW9" s="228">
        <v>-151</v>
      </c>
      <c r="AX9" s="229">
        <v>-1.0200000000000001E-2</v>
      </c>
      <c r="AY9" s="230">
        <v>2708</v>
      </c>
      <c r="AZ9" s="230">
        <v>1644</v>
      </c>
      <c r="BA9" s="230">
        <v>1064</v>
      </c>
      <c r="BB9" s="229">
        <v>0.6472</v>
      </c>
      <c r="BC9" s="228">
        <v>261</v>
      </c>
      <c r="BD9" s="228">
        <v>206</v>
      </c>
      <c r="BE9" s="228">
        <v>55</v>
      </c>
      <c r="BF9" s="229">
        <v>0.26700000000000002</v>
      </c>
      <c r="BG9" s="230">
        <v>42558</v>
      </c>
      <c r="BH9" s="230">
        <v>43769</v>
      </c>
      <c r="BI9" s="230">
        <v>-1211</v>
      </c>
      <c r="BJ9" s="229">
        <v>-2.7699999999999999E-2</v>
      </c>
      <c r="BK9" s="230">
        <v>33676</v>
      </c>
      <c r="BL9" s="230">
        <v>44396</v>
      </c>
      <c r="BM9" s="230">
        <v>-10720</v>
      </c>
      <c r="BN9" s="229">
        <v>-0.24149999999999999</v>
      </c>
      <c r="BO9" s="230">
        <v>93854</v>
      </c>
      <c r="BP9" s="230">
        <v>104817</v>
      </c>
      <c r="BQ9" s="230">
        <v>-10963</v>
      </c>
      <c r="BR9" s="229">
        <v>-0.1046</v>
      </c>
      <c r="BS9" s="230">
        <v>15862641</v>
      </c>
      <c r="BT9" s="230">
        <v>11694786</v>
      </c>
      <c r="BU9" s="230">
        <v>4167855</v>
      </c>
      <c r="BV9" s="229">
        <v>0.35639999999999999</v>
      </c>
      <c r="BW9" s="230">
        <v>78203250</v>
      </c>
      <c r="BX9" s="230">
        <v>75986250</v>
      </c>
      <c r="BY9" s="230">
        <v>2217000</v>
      </c>
      <c r="BZ9" s="229">
        <v>2.92E-2</v>
      </c>
      <c r="CA9" s="230">
        <v>74178000</v>
      </c>
      <c r="CB9" s="230">
        <v>73027500</v>
      </c>
      <c r="CC9" s="230">
        <v>1150500</v>
      </c>
      <c r="CD9" s="229">
        <v>1.5800000000000002E-2</v>
      </c>
      <c r="CE9" s="230">
        <v>3716250</v>
      </c>
      <c r="CF9" s="230">
        <v>2724750</v>
      </c>
      <c r="CG9" s="230">
        <v>991500</v>
      </c>
      <c r="CH9" s="229">
        <v>0.3639</v>
      </c>
      <c r="CI9" s="230">
        <v>309000</v>
      </c>
      <c r="CJ9" s="230">
        <v>234000</v>
      </c>
      <c r="CK9" s="230">
        <v>75000</v>
      </c>
      <c r="CL9" s="229">
        <v>0.32050000000000001</v>
      </c>
      <c r="CM9" s="230">
        <v>24132000</v>
      </c>
      <c r="CN9" s="230">
        <v>20127750</v>
      </c>
      <c r="CO9" s="230">
        <v>4004250</v>
      </c>
      <c r="CP9" s="229">
        <v>0.19889999999999999</v>
      </c>
      <c r="CQ9" s="230">
        <v>16580250</v>
      </c>
      <c r="CR9" s="230">
        <v>15385500</v>
      </c>
      <c r="CS9" s="230">
        <v>1194750</v>
      </c>
      <c r="CT9" s="229">
        <v>7.7700000000000005E-2</v>
      </c>
      <c r="CU9" s="230">
        <v>118915500</v>
      </c>
      <c r="CV9" s="230">
        <v>111499500</v>
      </c>
      <c r="CW9" s="230">
        <v>7416000</v>
      </c>
      <c r="CX9" s="229">
        <v>6.6500000000000004E-2</v>
      </c>
      <c r="CY9" s="228">
        <v>36.119999999999997</v>
      </c>
      <c r="CZ9" s="228">
        <v>35</v>
      </c>
      <c r="DA9" s="228">
        <v>1.1200000000000001</v>
      </c>
      <c r="DB9" s="228">
        <v>1.1200000000000001</v>
      </c>
      <c r="DC9" s="228">
        <v>32.409999999999997</v>
      </c>
      <c r="DD9" s="228">
        <v>32.15</v>
      </c>
      <c r="DE9" s="228">
        <v>3.71</v>
      </c>
      <c r="DF9" s="228">
        <v>0.26</v>
      </c>
      <c r="DG9" s="228">
        <v>36.03</v>
      </c>
      <c r="DH9" s="228">
        <v>34.47</v>
      </c>
      <c r="DI9" s="228">
        <v>1.56</v>
      </c>
      <c r="DJ9" s="228">
        <v>1.56</v>
      </c>
      <c r="DK9" s="228">
        <v>36.229999999999997</v>
      </c>
      <c r="DL9" s="228">
        <v>35.53</v>
      </c>
      <c r="DM9" s="228">
        <v>0.7</v>
      </c>
      <c r="DN9" s="228">
        <v>0.7</v>
      </c>
      <c r="DO9" s="228">
        <v>0.69</v>
      </c>
      <c r="DP9" s="228">
        <v>0.76</v>
      </c>
      <c r="DQ9" s="228">
        <v>-7.0000000000000007E-2</v>
      </c>
      <c r="DR9" s="229">
        <v>-9.2100000000000001E-2</v>
      </c>
      <c r="DS9" s="231">
        <v>1000</v>
      </c>
      <c r="DT9" s="228">
        <v>960</v>
      </c>
      <c r="DU9" s="228">
        <v>0.79</v>
      </c>
      <c r="DV9" s="228">
        <v>1.01</v>
      </c>
      <c r="DW9" s="228">
        <v>-0.22</v>
      </c>
      <c r="DX9" s="229">
        <v>-0.21779999999999999</v>
      </c>
      <c r="DY9" s="229">
        <v>5.1499999999999997E-2</v>
      </c>
      <c r="DZ9" s="230">
        <v>2958750</v>
      </c>
      <c r="EA9" s="229">
        <v>5.3E-3</v>
      </c>
      <c r="EB9" s="229">
        <v>5.1499999999999997E-2</v>
      </c>
      <c r="EC9" s="228">
        <v>4.93</v>
      </c>
      <c r="ED9" s="229">
        <v>5.5999999999999999E-3</v>
      </c>
      <c r="EE9" s="230">
        <v>10458740</v>
      </c>
      <c r="EF9" s="230">
        <v>6832137</v>
      </c>
      <c r="EG9" s="229">
        <v>0.53080000000000005</v>
      </c>
      <c r="EH9" s="229">
        <v>0.6593</v>
      </c>
      <c r="EI9" s="231">
        <v>302400.2</v>
      </c>
      <c r="EJ9" s="231">
        <v>221973.36</v>
      </c>
      <c r="EK9" s="231">
        <v>115807.43</v>
      </c>
      <c r="EL9" s="231">
        <v>11287</v>
      </c>
      <c r="EM9" s="231">
        <v>640180.99</v>
      </c>
      <c r="EN9" s="231">
        <v>732533.66</v>
      </c>
      <c r="EO9" s="231">
        <v>-92352.67</v>
      </c>
      <c r="EP9" s="229">
        <v>-0.12609999999999999</v>
      </c>
      <c r="EQ9" s="231">
        <v>238631</v>
      </c>
      <c r="ER9" s="231">
        <v>155056</v>
      </c>
      <c r="ES9" s="231">
        <v>677912</v>
      </c>
      <c r="ET9" s="231">
        <v>317526833</v>
      </c>
      <c r="EU9" s="231">
        <v>1071599</v>
      </c>
      <c r="EV9" s="231">
        <v>1028075</v>
      </c>
      <c r="EW9" s="231">
        <v>43524</v>
      </c>
      <c r="EX9" s="229">
        <v>4.2299999999999997E-2</v>
      </c>
      <c r="EY9" s="229">
        <v>0.3745</v>
      </c>
    </row>
    <row r="10" spans="1:155" ht="17.25" thickBot="1" x14ac:dyDescent="0.3">
      <c r="A10" s="226">
        <v>46093</v>
      </c>
      <c r="B10" s="227" t="s">
        <v>184</v>
      </c>
      <c r="C10" s="227" t="s">
        <v>185</v>
      </c>
      <c r="D10" s="228">
        <v>454.4</v>
      </c>
      <c r="E10" s="228">
        <v>455.8</v>
      </c>
      <c r="F10" s="228">
        <v>-1.4</v>
      </c>
      <c r="G10" s="229">
        <v>-3.0999999999999999E-3</v>
      </c>
      <c r="H10" s="228">
        <v>453.55</v>
      </c>
      <c r="I10" s="228">
        <v>454.1</v>
      </c>
      <c r="J10" s="228">
        <v>-0.55000000000000004</v>
      </c>
      <c r="K10" s="229">
        <v>-1.1999999999999999E-3</v>
      </c>
      <c r="L10" s="228">
        <v>454.4</v>
      </c>
      <c r="M10" s="228">
        <v>455.8</v>
      </c>
      <c r="N10" s="228">
        <v>-1.4</v>
      </c>
      <c r="O10" s="229">
        <v>-3.0999999999999999E-3</v>
      </c>
      <c r="P10" s="228">
        <v>457.1</v>
      </c>
      <c r="Q10" s="228">
        <v>458.65</v>
      </c>
      <c r="R10" s="228">
        <v>-1.55</v>
      </c>
      <c r="S10" s="229">
        <v>-3.3999999999999998E-3</v>
      </c>
      <c r="T10" s="228">
        <v>459.15</v>
      </c>
      <c r="U10" s="228">
        <v>461.7</v>
      </c>
      <c r="V10" s="228">
        <v>-2.5499999999999998</v>
      </c>
      <c r="W10" s="229">
        <v>-5.4999999999999997E-3</v>
      </c>
      <c r="X10" s="228">
        <v>0.85</v>
      </c>
      <c r="Y10" s="228">
        <v>1.7</v>
      </c>
      <c r="Z10" s="228">
        <v>-0.85</v>
      </c>
      <c r="AA10" s="229">
        <v>1.9E-3</v>
      </c>
      <c r="AB10" s="228">
        <v>0.85</v>
      </c>
      <c r="AC10" s="228">
        <v>1.7</v>
      </c>
      <c r="AD10" s="228">
        <v>-0.85</v>
      </c>
      <c r="AE10" s="229">
        <v>1.9E-3</v>
      </c>
      <c r="AF10" s="228">
        <v>3.55</v>
      </c>
      <c r="AG10" s="228">
        <v>4.55</v>
      </c>
      <c r="AH10" s="228">
        <v>-1</v>
      </c>
      <c r="AI10" s="229">
        <v>7.7999999999999996E-3</v>
      </c>
      <c r="AJ10" s="228">
        <v>5.6</v>
      </c>
      <c r="AK10" s="228">
        <v>7.6</v>
      </c>
      <c r="AL10" s="228">
        <v>-2</v>
      </c>
      <c r="AM10" s="229">
        <v>1.23E-2</v>
      </c>
      <c r="AN10" s="228">
        <v>452.78</v>
      </c>
      <c r="AO10" s="228">
        <v>455.69</v>
      </c>
      <c r="AP10" s="228">
        <v>0</v>
      </c>
      <c r="AQ10" s="230">
        <v>12211</v>
      </c>
      <c r="AR10" s="230">
        <v>12297</v>
      </c>
      <c r="AS10" s="228">
        <v>-86</v>
      </c>
      <c r="AT10" s="229">
        <v>-7.0000000000000001E-3</v>
      </c>
      <c r="AU10" s="230">
        <v>9789</v>
      </c>
      <c r="AV10" s="230">
        <v>10872</v>
      </c>
      <c r="AW10" s="230">
        <v>-1083</v>
      </c>
      <c r="AX10" s="229">
        <v>-9.9599999999999994E-2</v>
      </c>
      <c r="AY10" s="228">
        <v>908</v>
      </c>
      <c r="AZ10" s="230">
        <v>1123</v>
      </c>
      <c r="BA10" s="228">
        <v>-215</v>
      </c>
      <c r="BB10" s="229">
        <v>-0.1915</v>
      </c>
      <c r="BC10" s="230">
        <v>1514</v>
      </c>
      <c r="BD10" s="228">
        <v>302</v>
      </c>
      <c r="BE10" s="230">
        <v>1212</v>
      </c>
      <c r="BF10" s="229">
        <v>4.0132000000000003</v>
      </c>
      <c r="BG10" s="230">
        <v>39415</v>
      </c>
      <c r="BH10" s="230">
        <v>40324</v>
      </c>
      <c r="BI10" s="228">
        <v>-909</v>
      </c>
      <c r="BJ10" s="229">
        <v>-2.2499999999999999E-2</v>
      </c>
      <c r="BK10" s="230">
        <v>21853</v>
      </c>
      <c r="BL10" s="230">
        <v>25422</v>
      </c>
      <c r="BM10" s="230">
        <v>-3569</v>
      </c>
      <c r="BN10" s="229">
        <v>-0.1404</v>
      </c>
      <c r="BO10" s="230">
        <v>73479</v>
      </c>
      <c r="BP10" s="230">
        <v>78043</v>
      </c>
      <c r="BQ10" s="230">
        <v>-4564</v>
      </c>
      <c r="BR10" s="229">
        <v>-5.8500000000000003E-2</v>
      </c>
      <c r="BS10" s="230">
        <v>14505666</v>
      </c>
      <c r="BT10" s="230">
        <v>16905746</v>
      </c>
      <c r="BU10" s="230">
        <v>-2400080</v>
      </c>
      <c r="BV10" s="229">
        <v>-0.14199999999999999</v>
      </c>
      <c r="BW10" s="230">
        <v>108775950</v>
      </c>
      <c r="BX10" s="230">
        <v>108861450</v>
      </c>
      <c r="BY10" s="230">
        <v>-85500</v>
      </c>
      <c r="BZ10" s="229">
        <v>-8.0000000000000004E-4</v>
      </c>
      <c r="CA10" s="230">
        <v>99323925</v>
      </c>
      <c r="CB10" s="230">
        <v>99889650</v>
      </c>
      <c r="CC10" s="230">
        <v>-565725</v>
      </c>
      <c r="CD10" s="229">
        <v>-5.7000000000000002E-3</v>
      </c>
      <c r="CE10" s="230">
        <v>6552150</v>
      </c>
      <c r="CF10" s="230">
        <v>6234375</v>
      </c>
      <c r="CG10" s="230">
        <v>317775</v>
      </c>
      <c r="CH10" s="229">
        <v>5.0999999999999997E-2</v>
      </c>
      <c r="CI10" s="230">
        <v>2899875</v>
      </c>
      <c r="CJ10" s="230">
        <v>2737425</v>
      </c>
      <c r="CK10" s="230">
        <v>162450</v>
      </c>
      <c r="CL10" s="229">
        <v>5.9299999999999999E-2</v>
      </c>
      <c r="CM10" s="230">
        <v>51704700</v>
      </c>
      <c r="CN10" s="230">
        <v>48487050</v>
      </c>
      <c r="CO10" s="230">
        <v>3217650</v>
      </c>
      <c r="CP10" s="229">
        <v>6.6400000000000001E-2</v>
      </c>
      <c r="CQ10" s="230">
        <v>29967750</v>
      </c>
      <c r="CR10" s="230">
        <v>29960625</v>
      </c>
      <c r="CS10" s="230">
        <v>7125</v>
      </c>
      <c r="CT10" s="229">
        <v>2.0000000000000001E-4</v>
      </c>
      <c r="CU10" s="230">
        <v>190448400</v>
      </c>
      <c r="CV10" s="230">
        <v>187309125</v>
      </c>
      <c r="CW10" s="230">
        <v>3139275</v>
      </c>
      <c r="CX10" s="229">
        <v>1.6799999999999999E-2</v>
      </c>
      <c r="CY10" s="228">
        <v>34.69</v>
      </c>
      <c r="CZ10" s="228">
        <v>35.299999999999997</v>
      </c>
      <c r="DA10" s="228">
        <v>-0.61</v>
      </c>
      <c r="DB10" s="228">
        <v>-0.61</v>
      </c>
      <c r="DC10" s="228">
        <v>36.9</v>
      </c>
      <c r="DD10" s="228">
        <v>36.99</v>
      </c>
      <c r="DE10" s="228">
        <v>-2.21</v>
      </c>
      <c r="DF10" s="228">
        <v>-0.09</v>
      </c>
      <c r="DG10" s="228">
        <v>34.729999999999997</v>
      </c>
      <c r="DH10" s="228">
        <v>35.44</v>
      </c>
      <c r="DI10" s="228">
        <v>-0.71</v>
      </c>
      <c r="DJ10" s="228">
        <v>-0.71</v>
      </c>
      <c r="DK10" s="228">
        <v>34.6</v>
      </c>
      <c r="DL10" s="228">
        <v>35.06</v>
      </c>
      <c r="DM10" s="228">
        <v>-0.46</v>
      </c>
      <c r="DN10" s="228">
        <v>-0.46</v>
      </c>
      <c r="DO10" s="228">
        <v>0.57999999999999996</v>
      </c>
      <c r="DP10" s="228">
        <v>0.62</v>
      </c>
      <c r="DQ10" s="228">
        <v>-0.04</v>
      </c>
      <c r="DR10" s="229">
        <v>-6.4500000000000002E-2</v>
      </c>
      <c r="DS10" s="228">
        <v>500</v>
      </c>
      <c r="DT10" s="228">
        <v>450</v>
      </c>
      <c r="DU10" s="228">
        <v>0.55000000000000004</v>
      </c>
      <c r="DV10" s="228">
        <v>0.63</v>
      </c>
      <c r="DW10" s="228">
        <v>-0.08</v>
      </c>
      <c r="DX10" s="229">
        <v>-0.127</v>
      </c>
      <c r="DY10" s="229">
        <v>8.6900000000000005E-2</v>
      </c>
      <c r="DZ10" s="230">
        <v>8971800</v>
      </c>
      <c r="EA10" s="229">
        <v>5.8999999999999999E-3</v>
      </c>
      <c r="EB10" s="229">
        <v>8.6900000000000005E-2</v>
      </c>
      <c r="EC10" s="228">
        <v>2.91</v>
      </c>
      <c r="ED10" s="229">
        <v>6.4000000000000003E-3</v>
      </c>
      <c r="EE10" s="230">
        <v>6863573</v>
      </c>
      <c r="EF10" s="230">
        <v>7848871</v>
      </c>
      <c r="EG10" s="229">
        <v>-0.1255</v>
      </c>
      <c r="EH10" s="229">
        <v>0.47320000000000001</v>
      </c>
      <c r="EI10" s="231">
        <v>272011.40999999997</v>
      </c>
      <c r="EJ10" s="231">
        <v>138315.78</v>
      </c>
      <c r="EK10" s="231">
        <v>78947.839999999997</v>
      </c>
      <c r="EL10" s="231">
        <v>20893</v>
      </c>
      <c r="EM10" s="231">
        <v>489275.03</v>
      </c>
      <c r="EN10" s="231">
        <v>524460.67000000004</v>
      </c>
      <c r="EO10" s="231">
        <v>-35185.64</v>
      </c>
      <c r="EP10" s="229">
        <v>-6.7100000000000007E-2</v>
      </c>
      <c r="EQ10" s="231">
        <v>246124</v>
      </c>
      <c r="ER10" s="231">
        <v>130263</v>
      </c>
      <c r="ES10" s="231">
        <v>494593</v>
      </c>
      <c r="ET10" s="231">
        <v>535778534</v>
      </c>
      <c r="EU10" s="231">
        <v>870979</v>
      </c>
      <c r="EV10" s="231">
        <v>856695</v>
      </c>
      <c r="EW10" s="231">
        <v>14284</v>
      </c>
      <c r="EX10" s="229">
        <v>1.67E-2</v>
      </c>
      <c r="EY10" s="229">
        <v>0.35549999999999998</v>
      </c>
    </row>
    <row r="11" spans="1:155" ht="17.25" thickBot="1" x14ac:dyDescent="0.3">
      <c r="A11" s="226">
        <v>46093</v>
      </c>
      <c r="B11" s="227" t="s">
        <v>188</v>
      </c>
      <c r="C11" s="227" t="s">
        <v>189</v>
      </c>
      <c r="D11" s="231">
        <v>1807.3</v>
      </c>
      <c r="E11" s="231">
        <v>1811.3</v>
      </c>
      <c r="F11" s="228">
        <v>-4</v>
      </c>
      <c r="G11" s="229">
        <v>-2.2000000000000001E-3</v>
      </c>
      <c r="H11" s="231">
        <v>1801.3</v>
      </c>
      <c r="I11" s="231">
        <v>1807</v>
      </c>
      <c r="J11" s="228">
        <v>-5.7</v>
      </c>
      <c r="K11" s="229">
        <v>-3.2000000000000002E-3</v>
      </c>
      <c r="L11" s="231">
        <v>1807.3</v>
      </c>
      <c r="M11" s="231">
        <v>1811.3</v>
      </c>
      <c r="N11" s="228">
        <v>-4</v>
      </c>
      <c r="O11" s="229">
        <v>-2.2000000000000001E-3</v>
      </c>
      <c r="P11" s="231">
        <v>1818.3</v>
      </c>
      <c r="Q11" s="231">
        <v>1824</v>
      </c>
      <c r="R11" s="228">
        <v>-5.7</v>
      </c>
      <c r="S11" s="229">
        <v>-3.0999999999999999E-3</v>
      </c>
      <c r="T11" s="231">
        <v>1826.9</v>
      </c>
      <c r="U11" s="231">
        <v>1831.4</v>
      </c>
      <c r="V11" s="228">
        <v>-4.5</v>
      </c>
      <c r="W11" s="229">
        <v>-2.5000000000000001E-3</v>
      </c>
      <c r="X11" s="228">
        <v>6</v>
      </c>
      <c r="Y11" s="228">
        <v>4.3</v>
      </c>
      <c r="Z11" s="228">
        <v>1.7</v>
      </c>
      <c r="AA11" s="229">
        <v>3.3E-3</v>
      </c>
      <c r="AB11" s="228">
        <v>6</v>
      </c>
      <c r="AC11" s="228">
        <v>4.3</v>
      </c>
      <c r="AD11" s="228">
        <v>1.7</v>
      </c>
      <c r="AE11" s="229">
        <v>3.3E-3</v>
      </c>
      <c r="AF11" s="228">
        <v>17</v>
      </c>
      <c r="AG11" s="228">
        <v>17</v>
      </c>
      <c r="AH11" s="228">
        <v>0</v>
      </c>
      <c r="AI11" s="229">
        <v>9.4000000000000004E-3</v>
      </c>
      <c r="AJ11" s="228">
        <v>25.6</v>
      </c>
      <c r="AK11" s="228">
        <v>24.4</v>
      </c>
      <c r="AL11" s="228">
        <v>1.2</v>
      </c>
      <c r="AM11" s="229">
        <v>1.4200000000000001E-2</v>
      </c>
      <c r="AN11" s="231">
        <v>1809.71</v>
      </c>
      <c r="AO11" s="231">
        <v>1819.26</v>
      </c>
      <c r="AP11" s="228">
        <v>0</v>
      </c>
      <c r="AQ11" s="230">
        <v>14080</v>
      </c>
      <c r="AR11" s="230">
        <v>18189</v>
      </c>
      <c r="AS11" s="230">
        <v>-4109</v>
      </c>
      <c r="AT11" s="229">
        <v>-0.22589999999999999</v>
      </c>
      <c r="AU11" s="230">
        <v>12069</v>
      </c>
      <c r="AV11" s="230">
        <v>11978</v>
      </c>
      <c r="AW11" s="228">
        <v>91</v>
      </c>
      <c r="AX11" s="229">
        <v>7.6E-3</v>
      </c>
      <c r="AY11" s="230">
        <v>1921</v>
      </c>
      <c r="AZ11" s="230">
        <v>5634</v>
      </c>
      <c r="BA11" s="230">
        <v>-3713</v>
      </c>
      <c r="BB11" s="229">
        <v>-0.65900000000000003</v>
      </c>
      <c r="BC11" s="228">
        <v>90</v>
      </c>
      <c r="BD11" s="228">
        <v>577</v>
      </c>
      <c r="BE11" s="228">
        <v>-487</v>
      </c>
      <c r="BF11" s="229">
        <v>-0.84399999999999997</v>
      </c>
      <c r="BG11" s="230">
        <v>45074</v>
      </c>
      <c r="BH11" s="230">
        <v>66682</v>
      </c>
      <c r="BI11" s="230">
        <v>-21608</v>
      </c>
      <c r="BJ11" s="229">
        <v>-0.32400000000000001</v>
      </c>
      <c r="BK11" s="230">
        <v>23375</v>
      </c>
      <c r="BL11" s="230">
        <v>40077</v>
      </c>
      <c r="BM11" s="230">
        <v>-16702</v>
      </c>
      <c r="BN11" s="229">
        <v>-0.41670000000000001</v>
      </c>
      <c r="BO11" s="230">
        <v>82529</v>
      </c>
      <c r="BP11" s="230">
        <v>124948</v>
      </c>
      <c r="BQ11" s="230">
        <v>-42419</v>
      </c>
      <c r="BR11" s="229">
        <v>-0.33950000000000002</v>
      </c>
      <c r="BS11" s="230">
        <v>14724278</v>
      </c>
      <c r="BT11" s="230">
        <v>10217190</v>
      </c>
      <c r="BU11" s="230">
        <v>4507088</v>
      </c>
      <c r="BV11" s="229">
        <v>0.44109999999999999</v>
      </c>
      <c r="BW11" s="230">
        <v>64362500</v>
      </c>
      <c r="BX11" s="230">
        <v>64891650</v>
      </c>
      <c r="BY11" s="230">
        <v>-529150</v>
      </c>
      <c r="BZ11" s="229">
        <v>-8.2000000000000007E-3</v>
      </c>
      <c r="CA11" s="230">
        <v>58908550</v>
      </c>
      <c r="CB11" s="230">
        <v>59973500</v>
      </c>
      <c r="CC11" s="230">
        <v>-1064950</v>
      </c>
      <c r="CD11" s="229">
        <v>-1.78E-2</v>
      </c>
      <c r="CE11" s="230">
        <v>5089625</v>
      </c>
      <c r="CF11" s="230">
        <v>4560475</v>
      </c>
      <c r="CG11" s="230">
        <v>529150</v>
      </c>
      <c r="CH11" s="229">
        <v>0.11600000000000001</v>
      </c>
      <c r="CI11" s="230">
        <v>364325</v>
      </c>
      <c r="CJ11" s="230">
        <v>357675</v>
      </c>
      <c r="CK11" s="230">
        <v>6650</v>
      </c>
      <c r="CL11" s="229">
        <v>1.8599999999999998E-2</v>
      </c>
      <c r="CM11" s="230">
        <v>22463225</v>
      </c>
      <c r="CN11" s="230">
        <v>22422850</v>
      </c>
      <c r="CO11" s="230">
        <v>40375</v>
      </c>
      <c r="CP11" s="229">
        <v>1.8E-3</v>
      </c>
      <c r="CQ11" s="230">
        <v>10259050</v>
      </c>
      <c r="CR11" s="230">
        <v>10345025</v>
      </c>
      <c r="CS11" s="230">
        <v>-85975</v>
      </c>
      <c r="CT11" s="229">
        <v>-8.3000000000000001E-3</v>
      </c>
      <c r="CU11" s="230">
        <v>97084775</v>
      </c>
      <c r="CV11" s="230">
        <v>97659525</v>
      </c>
      <c r="CW11" s="230">
        <v>-574750</v>
      </c>
      <c r="CX11" s="229">
        <v>-5.8999999999999999E-3</v>
      </c>
      <c r="CY11" s="228">
        <v>26.41</v>
      </c>
      <c r="CZ11" s="228">
        <v>26.88</v>
      </c>
      <c r="DA11" s="228">
        <v>-0.47</v>
      </c>
      <c r="DB11" s="228">
        <v>-0.47</v>
      </c>
      <c r="DC11" s="228">
        <v>23.93</v>
      </c>
      <c r="DD11" s="228">
        <v>23.99</v>
      </c>
      <c r="DE11" s="228">
        <v>2.48</v>
      </c>
      <c r="DF11" s="228">
        <v>-0.06</v>
      </c>
      <c r="DG11" s="228">
        <v>26.18</v>
      </c>
      <c r="DH11" s="228">
        <v>26.55</v>
      </c>
      <c r="DI11" s="228">
        <v>-0.37</v>
      </c>
      <c r="DJ11" s="228">
        <v>-0.37</v>
      </c>
      <c r="DK11" s="228">
        <v>26.86</v>
      </c>
      <c r="DL11" s="228">
        <v>27.42</v>
      </c>
      <c r="DM11" s="228">
        <v>-0.56000000000000005</v>
      </c>
      <c r="DN11" s="228">
        <v>-0.56000000000000005</v>
      </c>
      <c r="DO11" s="228">
        <v>0.46</v>
      </c>
      <c r="DP11" s="228">
        <v>0.46</v>
      </c>
      <c r="DQ11" s="228">
        <v>0</v>
      </c>
      <c r="DR11" s="229">
        <v>0</v>
      </c>
      <c r="DS11" s="231">
        <v>2000</v>
      </c>
      <c r="DT11" s="231">
        <v>1800</v>
      </c>
      <c r="DU11" s="228">
        <v>0.52</v>
      </c>
      <c r="DV11" s="228">
        <v>0.6</v>
      </c>
      <c r="DW11" s="228">
        <v>-0.08</v>
      </c>
      <c r="DX11" s="229">
        <v>-0.1333</v>
      </c>
      <c r="DY11" s="229">
        <v>8.4699999999999998E-2</v>
      </c>
      <c r="DZ11" s="230">
        <v>4918150</v>
      </c>
      <c r="EA11" s="229">
        <v>6.1000000000000004E-3</v>
      </c>
      <c r="EB11" s="229">
        <v>8.4699999999999998E-2</v>
      </c>
      <c r="EC11" s="228">
        <v>9.5500000000000007</v>
      </c>
      <c r="ED11" s="229">
        <v>5.3E-3</v>
      </c>
      <c r="EE11" s="230">
        <v>10102569</v>
      </c>
      <c r="EF11" s="230">
        <v>6864984</v>
      </c>
      <c r="EG11" s="229">
        <v>0.47160000000000002</v>
      </c>
      <c r="EH11" s="229">
        <v>0.68610000000000004</v>
      </c>
      <c r="EI11" s="231">
        <v>408266.12</v>
      </c>
      <c r="EJ11" s="231">
        <v>200720.89</v>
      </c>
      <c r="EK11" s="231">
        <v>121128.29</v>
      </c>
      <c r="EL11" s="231">
        <v>13346</v>
      </c>
      <c r="EM11" s="231">
        <v>730115.3</v>
      </c>
      <c r="EN11" s="231">
        <v>1113899.1100000001</v>
      </c>
      <c r="EO11" s="231">
        <v>-383783.81</v>
      </c>
      <c r="EP11" s="229">
        <v>-0.34449999999999997</v>
      </c>
      <c r="EQ11" s="231">
        <v>442722</v>
      </c>
      <c r="ER11" s="231">
        <v>188951</v>
      </c>
      <c r="ES11" s="231">
        <v>1163855</v>
      </c>
      <c r="ET11" s="231">
        <v>367085962</v>
      </c>
      <c r="EU11" s="231">
        <v>1795528</v>
      </c>
      <c r="EV11" s="231">
        <v>1809478</v>
      </c>
      <c r="EW11" s="231">
        <v>-13950</v>
      </c>
      <c r="EX11" s="229">
        <v>-7.7000000000000002E-3</v>
      </c>
      <c r="EY11" s="229">
        <v>0.26450000000000001</v>
      </c>
    </row>
    <row r="12" spans="1:155" ht="17.25" thickBot="1" x14ac:dyDescent="0.3">
      <c r="A12" s="226">
        <v>46093</v>
      </c>
      <c r="B12" s="227" t="s">
        <v>170</v>
      </c>
      <c r="C12" s="227" t="s">
        <v>199</v>
      </c>
      <c r="D12" s="231">
        <v>1329.8</v>
      </c>
      <c r="E12" s="231">
        <v>1330.2</v>
      </c>
      <c r="F12" s="228">
        <v>-0.4</v>
      </c>
      <c r="G12" s="229">
        <v>-2.9999999999999997E-4</v>
      </c>
      <c r="H12" s="231">
        <v>1324.3</v>
      </c>
      <c r="I12" s="231">
        <v>1329.5</v>
      </c>
      <c r="J12" s="228">
        <v>-5.2</v>
      </c>
      <c r="K12" s="229">
        <v>-3.8999999999999998E-3</v>
      </c>
      <c r="L12" s="231">
        <v>1329.8</v>
      </c>
      <c r="M12" s="231">
        <v>1330.2</v>
      </c>
      <c r="N12" s="228">
        <v>-0.4</v>
      </c>
      <c r="O12" s="229">
        <v>-2.9999999999999997E-4</v>
      </c>
      <c r="P12" s="231">
        <v>1338</v>
      </c>
      <c r="Q12" s="231">
        <v>1339.3</v>
      </c>
      <c r="R12" s="228">
        <v>-1.3</v>
      </c>
      <c r="S12" s="229">
        <v>-1E-3</v>
      </c>
      <c r="T12" s="231">
        <v>1345.8</v>
      </c>
      <c r="U12" s="231">
        <v>1342.4</v>
      </c>
      <c r="V12" s="228">
        <v>3.4</v>
      </c>
      <c r="W12" s="229">
        <v>2.5000000000000001E-3</v>
      </c>
      <c r="X12" s="228">
        <v>5.5</v>
      </c>
      <c r="Y12" s="228">
        <v>0.7</v>
      </c>
      <c r="Z12" s="228">
        <v>4.8</v>
      </c>
      <c r="AA12" s="229">
        <v>4.1999999999999997E-3</v>
      </c>
      <c r="AB12" s="228">
        <v>5.5</v>
      </c>
      <c r="AC12" s="228">
        <v>0.7</v>
      </c>
      <c r="AD12" s="228">
        <v>4.8</v>
      </c>
      <c r="AE12" s="229">
        <v>4.1999999999999997E-3</v>
      </c>
      <c r="AF12" s="228">
        <v>13.7</v>
      </c>
      <c r="AG12" s="228">
        <v>9.8000000000000007</v>
      </c>
      <c r="AH12" s="228">
        <v>3.9</v>
      </c>
      <c r="AI12" s="229">
        <v>1.03E-2</v>
      </c>
      <c r="AJ12" s="228">
        <v>21.5</v>
      </c>
      <c r="AK12" s="228">
        <v>12.9</v>
      </c>
      <c r="AL12" s="228">
        <v>8.6</v>
      </c>
      <c r="AM12" s="229">
        <v>1.6199999999999999E-2</v>
      </c>
      <c r="AN12" s="231">
        <v>1331.66</v>
      </c>
      <c r="AO12" s="231">
        <v>1338.84</v>
      </c>
      <c r="AP12" s="228">
        <v>0</v>
      </c>
      <c r="AQ12" s="230">
        <v>3964</v>
      </c>
      <c r="AR12" s="230">
        <v>3814</v>
      </c>
      <c r="AS12" s="228">
        <v>150</v>
      </c>
      <c r="AT12" s="229">
        <v>3.9300000000000002E-2</v>
      </c>
      <c r="AU12" s="230">
        <v>3478</v>
      </c>
      <c r="AV12" s="230">
        <v>3643</v>
      </c>
      <c r="AW12" s="228">
        <v>-165</v>
      </c>
      <c r="AX12" s="229">
        <v>-4.53E-2</v>
      </c>
      <c r="AY12" s="228">
        <v>469</v>
      </c>
      <c r="AZ12" s="228">
        <v>157</v>
      </c>
      <c r="BA12" s="228">
        <v>312</v>
      </c>
      <c r="BB12" s="229">
        <v>1.9873000000000001</v>
      </c>
      <c r="BC12" s="228">
        <v>17</v>
      </c>
      <c r="BD12" s="228">
        <v>14</v>
      </c>
      <c r="BE12" s="228">
        <v>3</v>
      </c>
      <c r="BF12" s="229">
        <v>0.21429999999999999</v>
      </c>
      <c r="BG12" s="230">
        <v>25002</v>
      </c>
      <c r="BH12" s="230">
        <v>12121</v>
      </c>
      <c r="BI12" s="230">
        <v>12881</v>
      </c>
      <c r="BJ12" s="229">
        <v>1.0627</v>
      </c>
      <c r="BK12" s="230">
        <v>8035</v>
      </c>
      <c r="BL12" s="230">
        <v>4046</v>
      </c>
      <c r="BM12" s="230">
        <v>3989</v>
      </c>
      <c r="BN12" s="229">
        <v>0.9859</v>
      </c>
      <c r="BO12" s="230">
        <v>37001</v>
      </c>
      <c r="BP12" s="230">
        <v>19981</v>
      </c>
      <c r="BQ12" s="230">
        <v>17020</v>
      </c>
      <c r="BR12" s="229">
        <v>0.8518</v>
      </c>
      <c r="BS12" s="230">
        <v>1565307</v>
      </c>
      <c r="BT12" s="230">
        <v>1285997</v>
      </c>
      <c r="BU12" s="230">
        <v>279310</v>
      </c>
      <c r="BV12" s="229">
        <v>0.2172</v>
      </c>
      <c r="BW12" s="230">
        <v>12998250</v>
      </c>
      <c r="BX12" s="230">
        <v>13015875</v>
      </c>
      <c r="BY12" s="230">
        <v>-17625</v>
      </c>
      <c r="BZ12" s="229">
        <v>-1.4E-3</v>
      </c>
      <c r="CA12" s="230">
        <v>12697875</v>
      </c>
      <c r="CB12" s="230">
        <v>12774375</v>
      </c>
      <c r="CC12" s="230">
        <v>-76500</v>
      </c>
      <c r="CD12" s="229">
        <v>-6.0000000000000001E-3</v>
      </c>
      <c r="CE12" s="230">
        <v>259875</v>
      </c>
      <c r="CF12" s="230">
        <v>201000</v>
      </c>
      <c r="CG12" s="230">
        <v>58875</v>
      </c>
      <c r="CH12" s="229">
        <v>0.29289999999999999</v>
      </c>
      <c r="CI12" s="230">
        <v>40500</v>
      </c>
      <c r="CJ12" s="230">
        <v>40500</v>
      </c>
      <c r="CK12" s="228">
        <v>0</v>
      </c>
      <c r="CL12" s="229">
        <v>0</v>
      </c>
      <c r="CM12" s="230">
        <v>8301000</v>
      </c>
      <c r="CN12" s="230">
        <v>7458750</v>
      </c>
      <c r="CO12" s="230">
        <v>842250</v>
      </c>
      <c r="CP12" s="229">
        <v>0.1129</v>
      </c>
      <c r="CQ12" s="230">
        <v>3405750</v>
      </c>
      <c r="CR12" s="230">
        <v>3150375</v>
      </c>
      <c r="CS12" s="230">
        <v>255375</v>
      </c>
      <c r="CT12" s="229">
        <v>8.1100000000000005E-2</v>
      </c>
      <c r="CU12" s="230">
        <v>24705000</v>
      </c>
      <c r="CV12" s="230">
        <v>23625000</v>
      </c>
      <c r="CW12" s="230">
        <v>1080000</v>
      </c>
      <c r="CX12" s="229">
        <v>4.5699999999999998E-2</v>
      </c>
      <c r="CY12" s="228">
        <v>23.14</v>
      </c>
      <c r="CZ12" s="228">
        <v>22.36</v>
      </c>
      <c r="DA12" s="228">
        <v>0.78</v>
      </c>
      <c r="DB12" s="228">
        <v>0.78</v>
      </c>
      <c r="DC12" s="228">
        <v>25.01</v>
      </c>
      <c r="DD12" s="228">
        <v>25.07</v>
      </c>
      <c r="DE12" s="228">
        <v>-1.87</v>
      </c>
      <c r="DF12" s="228">
        <v>-0.06</v>
      </c>
      <c r="DG12" s="228">
        <v>22.39</v>
      </c>
      <c r="DH12" s="228">
        <v>21.56</v>
      </c>
      <c r="DI12" s="228">
        <v>0.83</v>
      </c>
      <c r="DJ12" s="228">
        <v>0.83</v>
      </c>
      <c r="DK12" s="228">
        <v>25.46</v>
      </c>
      <c r="DL12" s="228">
        <v>24.78</v>
      </c>
      <c r="DM12" s="228">
        <v>0.68</v>
      </c>
      <c r="DN12" s="228">
        <v>0.68</v>
      </c>
      <c r="DO12" s="228">
        <v>0.41</v>
      </c>
      <c r="DP12" s="228">
        <v>0.42</v>
      </c>
      <c r="DQ12" s="228">
        <v>-0.01</v>
      </c>
      <c r="DR12" s="229">
        <v>-2.3800000000000002E-2</v>
      </c>
      <c r="DS12" s="231">
        <v>1350</v>
      </c>
      <c r="DT12" s="231">
        <v>1260</v>
      </c>
      <c r="DU12" s="228">
        <v>0.32</v>
      </c>
      <c r="DV12" s="228">
        <v>0.33</v>
      </c>
      <c r="DW12" s="228">
        <v>-0.01</v>
      </c>
      <c r="DX12" s="229">
        <v>-3.0300000000000001E-2</v>
      </c>
      <c r="DY12" s="229">
        <v>2.3099999999999999E-2</v>
      </c>
      <c r="DZ12" s="230">
        <v>241500</v>
      </c>
      <c r="EA12" s="229">
        <v>6.1999999999999998E-3</v>
      </c>
      <c r="EB12" s="229">
        <v>2.3099999999999999E-2</v>
      </c>
      <c r="EC12" s="228">
        <v>7.18</v>
      </c>
      <c r="ED12" s="229">
        <v>5.4000000000000003E-3</v>
      </c>
      <c r="EE12" s="230">
        <v>950088</v>
      </c>
      <c r="EF12" s="230">
        <v>798717</v>
      </c>
      <c r="EG12" s="229">
        <v>0.1895</v>
      </c>
      <c r="EH12" s="229">
        <v>0.60699999999999998</v>
      </c>
      <c r="EI12" s="231">
        <v>128929.49</v>
      </c>
      <c r="EJ12" s="231">
        <v>39686.83</v>
      </c>
      <c r="EK12" s="231">
        <v>19808.810000000001</v>
      </c>
      <c r="EL12" s="231">
        <v>3480</v>
      </c>
      <c r="EM12" s="231">
        <v>188425.13</v>
      </c>
      <c r="EN12" s="231">
        <v>101867</v>
      </c>
      <c r="EO12" s="231">
        <v>86558.13</v>
      </c>
      <c r="EP12" s="229">
        <v>0.84970000000000001</v>
      </c>
      <c r="EQ12" s="231">
        <v>115354</v>
      </c>
      <c r="ER12" s="231">
        <v>44002</v>
      </c>
      <c r="ES12" s="231">
        <v>172879</v>
      </c>
      <c r="ET12" s="231">
        <v>59297360</v>
      </c>
      <c r="EU12" s="231">
        <v>332234</v>
      </c>
      <c r="EV12" s="231">
        <v>317794</v>
      </c>
      <c r="EW12" s="231">
        <v>14440</v>
      </c>
      <c r="EX12" s="229">
        <v>4.5400000000000003E-2</v>
      </c>
      <c r="EY12" s="229">
        <v>0.41660000000000003</v>
      </c>
    </row>
    <row r="13" spans="1:155" ht="17.25" thickBot="1" x14ac:dyDescent="0.3">
      <c r="A13" s="226">
        <v>46093</v>
      </c>
      <c r="B13" s="227" t="s">
        <v>227</v>
      </c>
      <c r="C13" s="227" t="s">
        <v>200</v>
      </c>
      <c r="D13" s="228">
        <v>470.55</v>
      </c>
      <c r="E13" s="228">
        <v>448.45</v>
      </c>
      <c r="F13" s="228">
        <v>22.1</v>
      </c>
      <c r="G13" s="229">
        <v>4.9299999999999997E-2</v>
      </c>
      <c r="H13" s="228">
        <v>470.1</v>
      </c>
      <c r="I13" s="228">
        <v>446.75</v>
      </c>
      <c r="J13" s="228">
        <v>23.35</v>
      </c>
      <c r="K13" s="229">
        <v>5.2299999999999999E-2</v>
      </c>
      <c r="L13" s="228">
        <v>470.55</v>
      </c>
      <c r="M13" s="228">
        <v>448.45</v>
      </c>
      <c r="N13" s="228">
        <v>22.1</v>
      </c>
      <c r="O13" s="229">
        <v>4.9299999999999997E-2</v>
      </c>
      <c r="P13" s="228">
        <v>473.2</v>
      </c>
      <c r="Q13" s="228">
        <v>451.25</v>
      </c>
      <c r="R13" s="228">
        <v>21.95</v>
      </c>
      <c r="S13" s="229">
        <v>4.8599999999999997E-2</v>
      </c>
      <c r="T13" s="228">
        <v>475.4</v>
      </c>
      <c r="U13" s="228">
        <v>453.5</v>
      </c>
      <c r="V13" s="228">
        <v>21.9</v>
      </c>
      <c r="W13" s="229">
        <v>4.8300000000000003E-2</v>
      </c>
      <c r="X13" s="228">
        <v>0.45</v>
      </c>
      <c r="Y13" s="228">
        <v>1.7</v>
      </c>
      <c r="Z13" s="228">
        <v>-1.25</v>
      </c>
      <c r="AA13" s="229">
        <v>1E-3</v>
      </c>
      <c r="AB13" s="228">
        <v>0.45</v>
      </c>
      <c r="AC13" s="228">
        <v>1.7</v>
      </c>
      <c r="AD13" s="228">
        <v>-1.25</v>
      </c>
      <c r="AE13" s="229">
        <v>1E-3</v>
      </c>
      <c r="AF13" s="228">
        <v>3.1</v>
      </c>
      <c r="AG13" s="228">
        <v>4.5</v>
      </c>
      <c r="AH13" s="228">
        <v>-1.4</v>
      </c>
      <c r="AI13" s="229">
        <v>6.6E-3</v>
      </c>
      <c r="AJ13" s="228">
        <v>5.3</v>
      </c>
      <c r="AK13" s="228">
        <v>6.75</v>
      </c>
      <c r="AL13" s="228">
        <v>-1.45</v>
      </c>
      <c r="AM13" s="229">
        <v>1.1299999999999999E-2</v>
      </c>
      <c r="AN13" s="228">
        <v>463.81</v>
      </c>
      <c r="AO13" s="228">
        <v>467.43</v>
      </c>
      <c r="AP13" s="228">
        <v>0</v>
      </c>
      <c r="AQ13" s="230">
        <v>22078</v>
      </c>
      <c r="AR13" s="230">
        <v>10004</v>
      </c>
      <c r="AS13" s="230">
        <v>12074</v>
      </c>
      <c r="AT13" s="229">
        <v>1.2069000000000001</v>
      </c>
      <c r="AU13" s="230">
        <v>19872</v>
      </c>
      <c r="AV13" s="230">
        <v>9269</v>
      </c>
      <c r="AW13" s="230">
        <v>10603</v>
      </c>
      <c r="AX13" s="229">
        <v>1.1438999999999999</v>
      </c>
      <c r="AY13" s="230">
        <v>2027</v>
      </c>
      <c r="AZ13" s="228">
        <v>677</v>
      </c>
      <c r="BA13" s="230">
        <v>1350</v>
      </c>
      <c r="BB13" s="229">
        <v>1.9941</v>
      </c>
      <c r="BC13" s="228">
        <v>179</v>
      </c>
      <c r="BD13" s="228">
        <v>58</v>
      </c>
      <c r="BE13" s="228">
        <v>121</v>
      </c>
      <c r="BF13" s="229">
        <v>2.0861999999999998</v>
      </c>
      <c r="BG13" s="230">
        <v>150525</v>
      </c>
      <c r="BH13" s="230">
        <v>48989</v>
      </c>
      <c r="BI13" s="230">
        <v>101536</v>
      </c>
      <c r="BJ13" s="229">
        <v>2.0726</v>
      </c>
      <c r="BK13" s="230">
        <v>60591</v>
      </c>
      <c r="BL13" s="230">
        <v>23453</v>
      </c>
      <c r="BM13" s="230">
        <v>37138</v>
      </c>
      <c r="BN13" s="229">
        <v>1.5834999999999999</v>
      </c>
      <c r="BO13" s="230">
        <v>233194</v>
      </c>
      <c r="BP13" s="230">
        <v>82446</v>
      </c>
      <c r="BQ13" s="230">
        <v>150748</v>
      </c>
      <c r="BR13" s="229">
        <v>1.8284</v>
      </c>
      <c r="BS13" s="230">
        <v>28382820</v>
      </c>
      <c r="BT13" s="230">
        <v>10402062</v>
      </c>
      <c r="BU13" s="230">
        <v>17980758</v>
      </c>
      <c r="BV13" s="229">
        <v>1.7285999999999999</v>
      </c>
      <c r="BW13" s="230">
        <v>49048200</v>
      </c>
      <c r="BX13" s="230">
        <v>46618200</v>
      </c>
      <c r="BY13" s="230">
        <v>2430000</v>
      </c>
      <c r="BZ13" s="229">
        <v>5.21E-2</v>
      </c>
      <c r="CA13" s="230">
        <v>43447050</v>
      </c>
      <c r="CB13" s="230">
        <v>41187150</v>
      </c>
      <c r="CC13" s="230">
        <v>2259900</v>
      </c>
      <c r="CD13" s="229">
        <v>5.4899999999999997E-2</v>
      </c>
      <c r="CE13" s="230">
        <v>5400000</v>
      </c>
      <c r="CF13" s="230">
        <v>5247450</v>
      </c>
      <c r="CG13" s="230">
        <v>152550</v>
      </c>
      <c r="CH13" s="229">
        <v>2.9100000000000001E-2</v>
      </c>
      <c r="CI13" s="230">
        <v>201150</v>
      </c>
      <c r="CJ13" s="230">
        <v>183600</v>
      </c>
      <c r="CK13" s="230">
        <v>17550</v>
      </c>
      <c r="CL13" s="229">
        <v>9.5600000000000004E-2</v>
      </c>
      <c r="CM13" s="230">
        <v>37076400</v>
      </c>
      <c r="CN13" s="230">
        <v>34065900</v>
      </c>
      <c r="CO13" s="230">
        <v>3010500</v>
      </c>
      <c r="CP13" s="229">
        <v>8.8400000000000006E-2</v>
      </c>
      <c r="CQ13" s="230">
        <v>27403650</v>
      </c>
      <c r="CR13" s="230">
        <v>22148100</v>
      </c>
      <c r="CS13" s="230">
        <v>5255550</v>
      </c>
      <c r="CT13" s="229">
        <v>0.23730000000000001</v>
      </c>
      <c r="CU13" s="230">
        <v>113528250</v>
      </c>
      <c r="CV13" s="230">
        <v>102832200</v>
      </c>
      <c r="CW13" s="230">
        <v>10696050</v>
      </c>
      <c r="CX13" s="229">
        <v>0.104</v>
      </c>
      <c r="CY13" s="228">
        <v>31.17</v>
      </c>
      <c r="CZ13" s="228">
        <v>28.69</v>
      </c>
      <c r="DA13" s="228">
        <v>2.48</v>
      </c>
      <c r="DB13" s="228">
        <v>2.48</v>
      </c>
      <c r="DC13" s="228">
        <v>30.56</v>
      </c>
      <c r="DD13" s="228">
        <v>29.93</v>
      </c>
      <c r="DE13" s="228">
        <v>0.61</v>
      </c>
      <c r="DF13" s="228">
        <v>0.63</v>
      </c>
      <c r="DG13" s="228">
        <v>30.54</v>
      </c>
      <c r="DH13" s="228">
        <v>28.44</v>
      </c>
      <c r="DI13" s="228">
        <v>2.1</v>
      </c>
      <c r="DJ13" s="228">
        <v>2.1</v>
      </c>
      <c r="DK13" s="228">
        <v>32.74</v>
      </c>
      <c r="DL13" s="228">
        <v>29.22</v>
      </c>
      <c r="DM13" s="228">
        <v>3.52</v>
      </c>
      <c r="DN13" s="228">
        <v>3.52</v>
      </c>
      <c r="DO13" s="228">
        <v>0.74</v>
      </c>
      <c r="DP13" s="228">
        <v>0.65</v>
      </c>
      <c r="DQ13" s="228">
        <v>0.09</v>
      </c>
      <c r="DR13" s="229">
        <v>0.13850000000000001</v>
      </c>
      <c r="DS13" s="228">
        <v>500</v>
      </c>
      <c r="DT13" s="228">
        <v>430</v>
      </c>
      <c r="DU13" s="228">
        <v>0.4</v>
      </c>
      <c r="DV13" s="228">
        <v>0.48</v>
      </c>
      <c r="DW13" s="228">
        <v>-0.08</v>
      </c>
      <c r="DX13" s="229">
        <v>-0.16669999999999999</v>
      </c>
      <c r="DY13" s="229">
        <v>0.1142</v>
      </c>
      <c r="DZ13" s="230">
        <v>5431050</v>
      </c>
      <c r="EA13" s="229">
        <v>5.5999999999999999E-3</v>
      </c>
      <c r="EB13" s="229">
        <v>0.1142</v>
      </c>
      <c r="EC13" s="228">
        <v>3.62</v>
      </c>
      <c r="ED13" s="229">
        <v>7.7999999999999996E-3</v>
      </c>
      <c r="EE13" s="230">
        <v>10477326</v>
      </c>
      <c r="EF13" s="230">
        <v>4122969</v>
      </c>
      <c r="EG13" s="229">
        <v>1.5411999999999999</v>
      </c>
      <c r="EH13" s="229">
        <v>0.36909999999999998</v>
      </c>
      <c r="EI13" s="231">
        <v>985752.93</v>
      </c>
      <c r="EJ13" s="231">
        <v>368535.42</v>
      </c>
      <c r="EK13" s="231">
        <v>138346.79999999999</v>
      </c>
      <c r="EL13" s="231">
        <v>12629</v>
      </c>
      <c r="EM13" s="231">
        <v>1492635.15</v>
      </c>
      <c r="EN13" s="231">
        <v>513383.82</v>
      </c>
      <c r="EO13" s="231">
        <v>979251.33</v>
      </c>
      <c r="EP13" s="229">
        <v>1.9074</v>
      </c>
      <c r="EQ13" s="231">
        <v>174176</v>
      </c>
      <c r="ER13" s="231">
        <v>118383</v>
      </c>
      <c r="ES13" s="231">
        <v>230949</v>
      </c>
      <c r="ET13" s="231">
        <v>278206904</v>
      </c>
      <c r="EU13" s="231">
        <v>523509</v>
      </c>
      <c r="EV13" s="231">
        <v>460910</v>
      </c>
      <c r="EW13" s="231">
        <v>62599</v>
      </c>
      <c r="EX13" s="229">
        <v>0.1358</v>
      </c>
      <c r="EY13" s="229">
        <v>0.40810000000000002</v>
      </c>
    </row>
    <row r="14" spans="1:155" ht="17.25" thickBot="1" x14ac:dyDescent="0.3">
      <c r="A14" s="226">
        <v>46093</v>
      </c>
      <c r="B14" s="227" t="s">
        <v>170</v>
      </c>
      <c r="C14" s="227" t="s">
        <v>208</v>
      </c>
      <c r="D14" s="231">
        <v>1324.2</v>
      </c>
      <c r="E14" s="231">
        <v>1326.5</v>
      </c>
      <c r="F14" s="228">
        <v>-2.2999999999999998</v>
      </c>
      <c r="G14" s="229">
        <v>-1.6999999999999999E-3</v>
      </c>
      <c r="H14" s="231">
        <v>1319</v>
      </c>
      <c r="I14" s="231">
        <v>1325.5</v>
      </c>
      <c r="J14" s="228">
        <v>-6.5</v>
      </c>
      <c r="K14" s="229">
        <v>-4.8999999999999998E-3</v>
      </c>
      <c r="L14" s="231">
        <v>1324.2</v>
      </c>
      <c r="M14" s="231">
        <v>1326.5</v>
      </c>
      <c r="N14" s="228">
        <v>-2.2999999999999998</v>
      </c>
      <c r="O14" s="229">
        <v>-1.6999999999999999E-3</v>
      </c>
      <c r="P14" s="231">
        <v>1332.4</v>
      </c>
      <c r="Q14" s="231">
        <v>1334.2</v>
      </c>
      <c r="R14" s="228">
        <v>-1.8</v>
      </c>
      <c r="S14" s="229">
        <v>-1.2999999999999999E-3</v>
      </c>
      <c r="T14" s="231">
        <v>1341.5</v>
      </c>
      <c r="U14" s="231">
        <v>1340.9</v>
      </c>
      <c r="V14" s="228">
        <v>0.6</v>
      </c>
      <c r="W14" s="229">
        <v>4.0000000000000002E-4</v>
      </c>
      <c r="X14" s="228">
        <v>5.2</v>
      </c>
      <c r="Y14" s="228">
        <v>1</v>
      </c>
      <c r="Z14" s="228">
        <v>4.2</v>
      </c>
      <c r="AA14" s="229">
        <v>3.8999999999999998E-3</v>
      </c>
      <c r="AB14" s="228">
        <v>5.2</v>
      </c>
      <c r="AC14" s="228">
        <v>1</v>
      </c>
      <c r="AD14" s="228">
        <v>4.2</v>
      </c>
      <c r="AE14" s="229">
        <v>3.8999999999999998E-3</v>
      </c>
      <c r="AF14" s="228">
        <v>13.4</v>
      </c>
      <c r="AG14" s="228">
        <v>8.6999999999999993</v>
      </c>
      <c r="AH14" s="228">
        <v>4.7</v>
      </c>
      <c r="AI14" s="229">
        <v>1.0200000000000001E-2</v>
      </c>
      <c r="AJ14" s="228">
        <v>22.5</v>
      </c>
      <c r="AK14" s="228">
        <v>15.4</v>
      </c>
      <c r="AL14" s="228">
        <v>7.1</v>
      </c>
      <c r="AM14" s="229">
        <v>1.7100000000000001E-2</v>
      </c>
      <c r="AN14" s="231">
        <v>1322.06</v>
      </c>
      <c r="AO14" s="231">
        <v>1328.59</v>
      </c>
      <c r="AP14" s="228">
        <v>0</v>
      </c>
      <c r="AQ14" s="230">
        <v>3936</v>
      </c>
      <c r="AR14" s="230">
        <v>5111</v>
      </c>
      <c r="AS14" s="230">
        <v>-1175</v>
      </c>
      <c r="AT14" s="229">
        <v>-0.22989999999999999</v>
      </c>
      <c r="AU14" s="230">
        <v>3716</v>
      </c>
      <c r="AV14" s="230">
        <v>4937</v>
      </c>
      <c r="AW14" s="230">
        <v>-1221</v>
      </c>
      <c r="AX14" s="229">
        <v>-0.24729999999999999</v>
      </c>
      <c r="AY14" s="228">
        <v>214</v>
      </c>
      <c r="AZ14" s="228">
        <v>168</v>
      </c>
      <c r="BA14" s="228">
        <v>46</v>
      </c>
      <c r="BB14" s="229">
        <v>0.27379999999999999</v>
      </c>
      <c r="BC14" s="228">
        <v>6</v>
      </c>
      <c r="BD14" s="228">
        <v>6</v>
      </c>
      <c r="BE14" s="228">
        <v>0</v>
      </c>
      <c r="BF14" s="229">
        <v>0</v>
      </c>
      <c r="BG14" s="230">
        <v>17264</v>
      </c>
      <c r="BH14" s="230">
        <v>31177</v>
      </c>
      <c r="BI14" s="230">
        <v>-13913</v>
      </c>
      <c r="BJ14" s="229">
        <v>-0.44629999999999997</v>
      </c>
      <c r="BK14" s="230">
        <v>6332</v>
      </c>
      <c r="BL14" s="230">
        <v>9043</v>
      </c>
      <c r="BM14" s="230">
        <v>-2711</v>
      </c>
      <c r="BN14" s="229">
        <v>-0.29980000000000001</v>
      </c>
      <c r="BO14" s="230">
        <v>27532</v>
      </c>
      <c r="BP14" s="230">
        <v>45331</v>
      </c>
      <c r="BQ14" s="230">
        <v>-17799</v>
      </c>
      <c r="BR14" s="229">
        <v>-0.3926</v>
      </c>
      <c r="BS14" s="230">
        <v>2011185</v>
      </c>
      <c r="BT14" s="230">
        <v>2525403</v>
      </c>
      <c r="BU14" s="230">
        <v>-514218</v>
      </c>
      <c r="BV14" s="229">
        <v>-0.2036</v>
      </c>
      <c r="BW14" s="230">
        <v>14965000</v>
      </c>
      <c r="BX14" s="230">
        <v>14966875</v>
      </c>
      <c r="BY14" s="230">
        <v>-1875</v>
      </c>
      <c r="BZ14" s="229">
        <v>-1E-4</v>
      </c>
      <c r="CA14" s="230">
        <v>14682500</v>
      </c>
      <c r="CB14" s="230">
        <v>14731250</v>
      </c>
      <c r="CC14" s="230">
        <v>-48750</v>
      </c>
      <c r="CD14" s="229">
        <v>-3.3E-3</v>
      </c>
      <c r="CE14" s="230">
        <v>258125</v>
      </c>
      <c r="CF14" s="230">
        <v>211875</v>
      </c>
      <c r="CG14" s="230">
        <v>46250</v>
      </c>
      <c r="CH14" s="229">
        <v>0.21829999999999999</v>
      </c>
      <c r="CI14" s="230">
        <v>24375</v>
      </c>
      <c r="CJ14" s="230">
        <v>23750</v>
      </c>
      <c r="CK14" s="228">
        <v>625</v>
      </c>
      <c r="CL14" s="229">
        <v>2.63E-2</v>
      </c>
      <c r="CM14" s="230">
        <v>9868750</v>
      </c>
      <c r="CN14" s="230">
        <v>9796250</v>
      </c>
      <c r="CO14" s="230">
        <v>72500</v>
      </c>
      <c r="CP14" s="229">
        <v>7.4000000000000003E-3</v>
      </c>
      <c r="CQ14" s="230">
        <v>4674375</v>
      </c>
      <c r="CR14" s="230">
        <v>4519375</v>
      </c>
      <c r="CS14" s="230">
        <v>155000</v>
      </c>
      <c r="CT14" s="229">
        <v>3.4299999999999997E-2</v>
      </c>
      <c r="CU14" s="230">
        <v>29508125</v>
      </c>
      <c r="CV14" s="230">
        <v>29282500</v>
      </c>
      <c r="CW14" s="230">
        <v>225625</v>
      </c>
      <c r="CX14" s="229">
        <v>7.7000000000000002E-3</v>
      </c>
      <c r="CY14" s="228">
        <v>23.93</v>
      </c>
      <c r="CZ14" s="228">
        <v>23.71</v>
      </c>
      <c r="DA14" s="228">
        <v>0.22</v>
      </c>
      <c r="DB14" s="228">
        <v>0.22</v>
      </c>
      <c r="DC14" s="228">
        <v>24.98</v>
      </c>
      <c r="DD14" s="228">
        <v>25.03</v>
      </c>
      <c r="DE14" s="228">
        <v>-1.05</v>
      </c>
      <c r="DF14" s="228">
        <v>-0.05</v>
      </c>
      <c r="DG14" s="228">
        <v>22.97</v>
      </c>
      <c r="DH14" s="228">
        <v>23</v>
      </c>
      <c r="DI14" s="228">
        <v>-0.03</v>
      </c>
      <c r="DJ14" s="228">
        <v>-0.03</v>
      </c>
      <c r="DK14" s="228">
        <v>26.54</v>
      </c>
      <c r="DL14" s="228">
        <v>26.17</v>
      </c>
      <c r="DM14" s="228">
        <v>0.37</v>
      </c>
      <c r="DN14" s="228">
        <v>0.37</v>
      </c>
      <c r="DO14" s="228">
        <v>0.47</v>
      </c>
      <c r="DP14" s="228">
        <v>0.46</v>
      </c>
      <c r="DQ14" s="228">
        <v>0.01</v>
      </c>
      <c r="DR14" s="229">
        <v>2.1700000000000001E-2</v>
      </c>
      <c r="DS14" s="231">
        <v>1350</v>
      </c>
      <c r="DT14" s="231">
        <v>1300</v>
      </c>
      <c r="DU14" s="228">
        <v>0.37</v>
      </c>
      <c r="DV14" s="228">
        <v>0.28999999999999998</v>
      </c>
      <c r="DW14" s="228">
        <v>0.08</v>
      </c>
      <c r="DX14" s="229">
        <v>0.27589999999999998</v>
      </c>
      <c r="DY14" s="229">
        <v>1.89E-2</v>
      </c>
      <c r="DZ14" s="230">
        <v>235625</v>
      </c>
      <c r="EA14" s="229">
        <v>6.1999999999999998E-3</v>
      </c>
      <c r="EB14" s="229">
        <v>1.89E-2</v>
      </c>
      <c r="EC14" s="228">
        <v>6.53</v>
      </c>
      <c r="ED14" s="229">
        <v>4.8999999999999998E-3</v>
      </c>
      <c r="EE14" s="230">
        <v>1083064</v>
      </c>
      <c r="EF14" s="230">
        <v>1561178</v>
      </c>
      <c r="EG14" s="229">
        <v>-0.30630000000000002</v>
      </c>
      <c r="EH14" s="229">
        <v>0.53849999999999998</v>
      </c>
      <c r="EI14" s="231">
        <v>147507.21</v>
      </c>
      <c r="EJ14" s="231">
        <v>51715.68</v>
      </c>
      <c r="EK14" s="231">
        <v>32531.97</v>
      </c>
      <c r="EL14" s="231">
        <v>4313</v>
      </c>
      <c r="EM14" s="231">
        <v>231754.86</v>
      </c>
      <c r="EN14" s="231">
        <v>383775.12</v>
      </c>
      <c r="EO14" s="231">
        <v>-152020.26</v>
      </c>
      <c r="EP14" s="229">
        <v>-0.39610000000000001</v>
      </c>
      <c r="EQ14" s="231">
        <v>133626</v>
      </c>
      <c r="ER14" s="231">
        <v>58415</v>
      </c>
      <c r="ES14" s="231">
        <v>198192</v>
      </c>
      <c r="ET14" s="231">
        <v>91531454</v>
      </c>
      <c r="EU14" s="231">
        <v>390233</v>
      </c>
      <c r="EV14" s="231">
        <v>387533</v>
      </c>
      <c r="EW14" s="231">
        <v>2700</v>
      </c>
      <c r="EX14" s="229">
        <v>7.0000000000000001E-3</v>
      </c>
      <c r="EY14" s="229">
        <v>0.32240000000000002</v>
      </c>
    </row>
    <row r="15" spans="1:155" ht="17.25" thickBot="1" x14ac:dyDescent="0.3">
      <c r="A15" s="226">
        <v>46093</v>
      </c>
      <c r="B15" s="227" t="s">
        <v>162</v>
      </c>
      <c r="C15" s="227" t="s">
        <v>209</v>
      </c>
      <c r="D15" s="231">
        <v>7005</v>
      </c>
      <c r="E15" s="231">
        <v>7277.5</v>
      </c>
      <c r="F15" s="228">
        <v>-272.5</v>
      </c>
      <c r="G15" s="229">
        <v>-3.7400000000000003E-2</v>
      </c>
      <c r="H15" s="231">
        <v>6975.5</v>
      </c>
      <c r="I15" s="231">
        <v>7253.5</v>
      </c>
      <c r="J15" s="228">
        <v>-278</v>
      </c>
      <c r="K15" s="229">
        <v>-3.8300000000000001E-2</v>
      </c>
      <c r="L15" s="231">
        <v>7005</v>
      </c>
      <c r="M15" s="231">
        <v>7277.5</v>
      </c>
      <c r="N15" s="228">
        <v>-272.5</v>
      </c>
      <c r="O15" s="229">
        <v>-3.7400000000000003E-2</v>
      </c>
      <c r="P15" s="231">
        <v>7046.5</v>
      </c>
      <c r="Q15" s="231">
        <v>7324.5</v>
      </c>
      <c r="R15" s="228">
        <v>-278</v>
      </c>
      <c r="S15" s="229">
        <v>-3.7999999999999999E-2</v>
      </c>
      <c r="T15" s="231">
        <v>7082</v>
      </c>
      <c r="U15" s="231">
        <v>7363.5</v>
      </c>
      <c r="V15" s="228">
        <v>-281.5</v>
      </c>
      <c r="W15" s="229">
        <v>-3.8199999999999998E-2</v>
      </c>
      <c r="X15" s="228">
        <v>29.5</v>
      </c>
      <c r="Y15" s="228">
        <v>24</v>
      </c>
      <c r="Z15" s="228">
        <v>5.5</v>
      </c>
      <c r="AA15" s="229">
        <v>4.1999999999999997E-3</v>
      </c>
      <c r="AB15" s="228">
        <v>29.5</v>
      </c>
      <c r="AC15" s="228">
        <v>24</v>
      </c>
      <c r="AD15" s="228">
        <v>5.5</v>
      </c>
      <c r="AE15" s="229">
        <v>4.1999999999999997E-3</v>
      </c>
      <c r="AF15" s="228">
        <v>71</v>
      </c>
      <c r="AG15" s="228">
        <v>71</v>
      </c>
      <c r="AH15" s="228">
        <v>0</v>
      </c>
      <c r="AI15" s="229">
        <v>1.0200000000000001E-2</v>
      </c>
      <c r="AJ15" s="228">
        <v>106.5</v>
      </c>
      <c r="AK15" s="228">
        <v>110</v>
      </c>
      <c r="AL15" s="228">
        <v>-3.5</v>
      </c>
      <c r="AM15" s="229">
        <v>1.5299999999999999E-2</v>
      </c>
      <c r="AN15" s="231">
        <v>7057.98</v>
      </c>
      <c r="AO15" s="231">
        <v>7101.37</v>
      </c>
      <c r="AP15" s="228">
        <v>0</v>
      </c>
      <c r="AQ15" s="230">
        <v>10224</v>
      </c>
      <c r="AR15" s="230">
        <v>5343</v>
      </c>
      <c r="AS15" s="230">
        <v>4881</v>
      </c>
      <c r="AT15" s="229">
        <v>0.91349999999999998</v>
      </c>
      <c r="AU15" s="230">
        <v>9191</v>
      </c>
      <c r="AV15" s="230">
        <v>4965</v>
      </c>
      <c r="AW15" s="230">
        <v>4226</v>
      </c>
      <c r="AX15" s="229">
        <v>0.85119999999999996</v>
      </c>
      <c r="AY15" s="228">
        <v>955</v>
      </c>
      <c r="AZ15" s="228">
        <v>347</v>
      </c>
      <c r="BA15" s="228">
        <v>608</v>
      </c>
      <c r="BB15" s="229">
        <v>1.7522</v>
      </c>
      <c r="BC15" s="228">
        <v>78</v>
      </c>
      <c r="BD15" s="228">
        <v>31</v>
      </c>
      <c r="BE15" s="228">
        <v>47</v>
      </c>
      <c r="BF15" s="229">
        <v>1.5161</v>
      </c>
      <c r="BG15" s="230">
        <v>39327</v>
      </c>
      <c r="BH15" s="230">
        <v>21829</v>
      </c>
      <c r="BI15" s="230">
        <v>17498</v>
      </c>
      <c r="BJ15" s="229">
        <v>0.80159999999999998</v>
      </c>
      <c r="BK15" s="230">
        <v>27522</v>
      </c>
      <c r="BL15" s="230">
        <v>15151</v>
      </c>
      <c r="BM15" s="230">
        <v>12371</v>
      </c>
      <c r="BN15" s="229">
        <v>0.8165</v>
      </c>
      <c r="BO15" s="230">
        <v>77073</v>
      </c>
      <c r="BP15" s="230">
        <v>42323</v>
      </c>
      <c r="BQ15" s="230">
        <v>34750</v>
      </c>
      <c r="BR15" s="229">
        <v>0.82110000000000005</v>
      </c>
      <c r="BS15" s="230">
        <v>1317854</v>
      </c>
      <c r="BT15" s="230">
        <v>641722</v>
      </c>
      <c r="BU15" s="230">
        <v>676132</v>
      </c>
      <c r="BV15" s="229">
        <v>1.0536000000000001</v>
      </c>
      <c r="BW15" s="230">
        <v>3447900</v>
      </c>
      <c r="BX15" s="230">
        <v>3212200</v>
      </c>
      <c r="BY15" s="230">
        <v>235700</v>
      </c>
      <c r="BZ15" s="229">
        <v>7.3400000000000007E-2</v>
      </c>
      <c r="CA15" s="230">
        <v>3279800</v>
      </c>
      <c r="CB15" s="230">
        <v>3088700</v>
      </c>
      <c r="CC15" s="230">
        <v>191100</v>
      </c>
      <c r="CD15" s="229">
        <v>6.1899999999999997E-2</v>
      </c>
      <c r="CE15" s="230">
        <v>153400</v>
      </c>
      <c r="CF15" s="230">
        <v>110400</v>
      </c>
      <c r="CG15" s="230">
        <v>43000</v>
      </c>
      <c r="CH15" s="229">
        <v>0.38950000000000001</v>
      </c>
      <c r="CI15" s="230">
        <v>14700</v>
      </c>
      <c r="CJ15" s="230">
        <v>13100</v>
      </c>
      <c r="CK15" s="230">
        <v>1600</v>
      </c>
      <c r="CL15" s="229">
        <v>0.1221</v>
      </c>
      <c r="CM15" s="230">
        <v>2684600</v>
      </c>
      <c r="CN15" s="230">
        <v>2297600</v>
      </c>
      <c r="CO15" s="230">
        <v>387000</v>
      </c>
      <c r="CP15" s="229">
        <v>0.16839999999999999</v>
      </c>
      <c r="CQ15" s="230">
        <v>1449400</v>
      </c>
      <c r="CR15" s="230">
        <v>1340200</v>
      </c>
      <c r="CS15" s="230">
        <v>109200</v>
      </c>
      <c r="CT15" s="229">
        <v>8.1500000000000003E-2</v>
      </c>
      <c r="CU15" s="230">
        <v>7581900</v>
      </c>
      <c r="CV15" s="230">
        <v>6850000</v>
      </c>
      <c r="CW15" s="230">
        <v>731900</v>
      </c>
      <c r="CX15" s="229">
        <v>0.10680000000000001</v>
      </c>
      <c r="CY15" s="228">
        <v>36.86</v>
      </c>
      <c r="CZ15" s="228">
        <v>34.369999999999997</v>
      </c>
      <c r="DA15" s="228">
        <v>2.4900000000000002</v>
      </c>
      <c r="DB15" s="228">
        <v>2.4900000000000002</v>
      </c>
      <c r="DC15" s="228">
        <v>30.04</v>
      </c>
      <c r="DD15" s="228">
        <v>29.65</v>
      </c>
      <c r="DE15" s="228">
        <v>6.82</v>
      </c>
      <c r="DF15" s="228">
        <v>0.39</v>
      </c>
      <c r="DG15" s="228">
        <v>36.840000000000003</v>
      </c>
      <c r="DH15" s="228">
        <v>34.51</v>
      </c>
      <c r="DI15" s="228">
        <v>2.33</v>
      </c>
      <c r="DJ15" s="228">
        <v>2.33</v>
      </c>
      <c r="DK15" s="228">
        <v>36.89</v>
      </c>
      <c r="DL15" s="228">
        <v>34.17</v>
      </c>
      <c r="DM15" s="228">
        <v>2.72</v>
      </c>
      <c r="DN15" s="228">
        <v>2.72</v>
      </c>
      <c r="DO15" s="228">
        <v>0.54</v>
      </c>
      <c r="DP15" s="228">
        <v>0.57999999999999996</v>
      </c>
      <c r="DQ15" s="228">
        <v>-0.04</v>
      </c>
      <c r="DR15" s="229">
        <v>-6.9000000000000006E-2</v>
      </c>
      <c r="DS15" s="231">
        <v>8000</v>
      </c>
      <c r="DT15" s="231">
        <v>7000</v>
      </c>
      <c r="DU15" s="228">
        <v>0.7</v>
      </c>
      <c r="DV15" s="228">
        <v>0.69</v>
      </c>
      <c r="DW15" s="228">
        <v>0.01</v>
      </c>
      <c r="DX15" s="229">
        <v>1.4500000000000001E-2</v>
      </c>
      <c r="DY15" s="229">
        <v>4.8800000000000003E-2</v>
      </c>
      <c r="DZ15" s="230">
        <v>123500</v>
      </c>
      <c r="EA15" s="229">
        <v>5.8999999999999999E-3</v>
      </c>
      <c r="EB15" s="229">
        <v>4.8800000000000003E-2</v>
      </c>
      <c r="EC15" s="228">
        <v>43.39</v>
      </c>
      <c r="ED15" s="229">
        <v>6.1000000000000004E-3</v>
      </c>
      <c r="EE15" s="230">
        <v>786618</v>
      </c>
      <c r="EF15" s="230">
        <v>364936</v>
      </c>
      <c r="EG15" s="229">
        <v>1.1555</v>
      </c>
      <c r="EH15" s="229">
        <v>0.59689999999999999</v>
      </c>
      <c r="EI15" s="231">
        <v>304672.92</v>
      </c>
      <c r="EJ15" s="231">
        <v>194984.84</v>
      </c>
      <c r="EK15" s="231">
        <v>72209.460000000006</v>
      </c>
      <c r="EL15" s="231">
        <v>5428</v>
      </c>
      <c r="EM15" s="231">
        <v>571867.22</v>
      </c>
      <c r="EN15" s="231">
        <v>327026.87</v>
      </c>
      <c r="EO15" s="231">
        <v>244840.35</v>
      </c>
      <c r="EP15" s="229">
        <v>0.74870000000000003</v>
      </c>
      <c r="EQ15" s="231">
        <v>216138</v>
      </c>
      <c r="ER15" s="231">
        <v>107230</v>
      </c>
      <c r="ES15" s="231">
        <v>241600</v>
      </c>
      <c r="ET15" s="231">
        <v>19199175</v>
      </c>
      <c r="EU15" s="231">
        <v>564968</v>
      </c>
      <c r="EV15" s="231">
        <v>521264</v>
      </c>
      <c r="EW15" s="231">
        <v>43704</v>
      </c>
      <c r="EX15" s="229">
        <v>8.3799999999999999E-2</v>
      </c>
      <c r="EY15" s="229">
        <v>0.39489999999999997</v>
      </c>
    </row>
    <row r="16" spans="1:155" ht="17.25" thickBot="1" x14ac:dyDescent="0.3">
      <c r="A16" s="226">
        <v>46093</v>
      </c>
      <c r="B16" s="227" t="s">
        <v>615</v>
      </c>
      <c r="C16" s="227" t="s">
        <v>666</v>
      </c>
      <c r="D16" s="228">
        <v>221.99</v>
      </c>
      <c r="E16" s="228">
        <v>224</v>
      </c>
      <c r="F16" s="228">
        <v>-2.0099999999999998</v>
      </c>
      <c r="G16" s="229">
        <v>-8.9999999999999993E-3</v>
      </c>
      <c r="H16" s="228">
        <v>221.17</v>
      </c>
      <c r="I16" s="228">
        <v>223.8</v>
      </c>
      <c r="J16" s="228">
        <v>-2.63</v>
      </c>
      <c r="K16" s="229">
        <v>-1.18E-2</v>
      </c>
      <c r="L16" s="228">
        <v>221.99</v>
      </c>
      <c r="M16" s="228">
        <v>224</v>
      </c>
      <c r="N16" s="228">
        <v>-2.0099999999999998</v>
      </c>
      <c r="O16" s="229">
        <v>-8.9999999999999993E-3</v>
      </c>
      <c r="P16" s="228">
        <v>223.34</v>
      </c>
      <c r="Q16" s="228">
        <v>225.45</v>
      </c>
      <c r="R16" s="228">
        <v>-2.11</v>
      </c>
      <c r="S16" s="229">
        <v>-9.4000000000000004E-3</v>
      </c>
      <c r="T16" s="228">
        <v>224.34</v>
      </c>
      <c r="U16" s="228">
        <v>226.69</v>
      </c>
      <c r="V16" s="228">
        <v>-2.35</v>
      </c>
      <c r="W16" s="229">
        <v>-1.04E-2</v>
      </c>
      <c r="X16" s="228">
        <v>0.82</v>
      </c>
      <c r="Y16" s="228">
        <v>0.2</v>
      </c>
      <c r="Z16" s="228">
        <v>0.62</v>
      </c>
      <c r="AA16" s="229">
        <v>3.7000000000000002E-3</v>
      </c>
      <c r="AB16" s="228">
        <v>0.82</v>
      </c>
      <c r="AC16" s="228">
        <v>0.2</v>
      </c>
      <c r="AD16" s="228">
        <v>0.62</v>
      </c>
      <c r="AE16" s="229">
        <v>3.7000000000000002E-3</v>
      </c>
      <c r="AF16" s="228">
        <v>2.17</v>
      </c>
      <c r="AG16" s="228">
        <v>1.65</v>
      </c>
      <c r="AH16" s="228">
        <v>0.52</v>
      </c>
      <c r="AI16" s="229">
        <v>9.7999999999999997E-3</v>
      </c>
      <c r="AJ16" s="228">
        <v>3.17</v>
      </c>
      <c r="AK16" s="228">
        <v>2.89</v>
      </c>
      <c r="AL16" s="228">
        <v>0.28000000000000003</v>
      </c>
      <c r="AM16" s="229">
        <v>1.43E-2</v>
      </c>
      <c r="AN16" s="228">
        <v>219.72</v>
      </c>
      <c r="AO16" s="228">
        <v>220.63</v>
      </c>
      <c r="AP16" s="228">
        <v>0</v>
      </c>
      <c r="AQ16" s="230">
        <v>24624</v>
      </c>
      <c r="AR16" s="230">
        <v>9529</v>
      </c>
      <c r="AS16" s="230">
        <v>15095</v>
      </c>
      <c r="AT16" s="229">
        <v>1.5841000000000001</v>
      </c>
      <c r="AU16" s="230">
        <v>18854</v>
      </c>
      <c r="AV16" s="230">
        <v>8552</v>
      </c>
      <c r="AW16" s="230">
        <v>10302</v>
      </c>
      <c r="AX16" s="229">
        <v>1.2045999999999999</v>
      </c>
      <c r="AY16" s="230">
        <v>2657</v>
      </c>
      <c r="AZ16" s="228">
        <v>889</v>
      </c>
      <c r="BA16" s="230">
        <v>1768</v>
      </c>
      <c r="BB16" s="229">
        <v>1.9887999999999999</v>
      </c>
      <c r="BC16" s="230">
        <v>3113</v>
      </c>
      <c r="BD16" s="228">
        <v>88</v>
      </c>
      <c r="BE16" s="230">
        <v>3025</v>
      </c>
      <c r="BF16" s="229">
        <v>34.375</v>
      </c>
      <c r="BG16" s="230">
        <v>47963</v>
      </c>
      <c r="BH16" s="230">
        <v>28967</v>
      </c>
      <c r="BI16" s="230">
        <v>18996</v>
      </c>
      <c r="BJ16" s="229">
        <v>0.65580000000000005</v>
      </c>
      <c r="BK16" s="230">
        <v>57967</v>
      </c>
      <c r="BL16" s="230">
        <v>20912</v>
      </c>
      <c r="BM16" s="230">
        <v>37055</v>
      </c>
      <c r="BN16" s="229">
        <v>1.7719</v>
      </c>
      <c r="BO16" s="230">
        <v>130554</v>
      </c>
      <c r="BP16" s="230">
        <v>59408</v>
      </c>
      <c r="BQ16" s="230">
        <v>71146</v>
      </c>
      <c r="BR16" s="229">
        <v>1.1976</v>
      </c>
      <c r="BS16" s="230">
        <v>71921518</v>
      </c>
      <c r="BT16" s="230">
        <v>38807287</v>
      </c>
      <c r="BU16" s="230">
        <v>33114231</v>
      </c>
      <c r="BV16" s="229">
        <v>0.85329999999999995</v>
      </c>
      <c r="BW16" s="230">
        <v>300826100</v>
      </c>
      <c r="BX16" s="230">
        <v>298308950</v>
      </c>
      <c r="BY16" s="230">
        <v>2517150</v>
      </c>
      <c r="BZ16" s="229">
        <v>8.3999999999999995E-3</v>
      </c>
      <c r="CA16" s="230">
        <v>259331925</v>
      </c>
      <c r="CB16" s="230">
        <v>258776600</v>
      </c>
      <c r="CC16" s="230">
        <v>555325</v>
      </c>
      <c r="CD16" s="229">
        <v>2.0999999999999999E-3</v>
      </c>
      <c r="CE16" s="230">
        <v>26779275</v>
      </c>
      <c r="CF16" s="230">
        <v>25004175</v>
      </c>
      <c r="CG16" s="230">
        <v>1775100</v>
      </c>
      <c r="CH16" s="229">
        <v>7.0999999999999994E-2</v>
      </c>
      <c r="CI16" s="230">
        <v>14714900</v>
      </c>
      <c r="CJ16" s="230">
        <v>14528175</v>
      </c>
      <c r="CK16" s="230">
        <v>186725</v>
      </c>
      <c r="CL16" s="229">
        <v>1.29E-2</v>
      </c>
      <c r="CM16" s="230">
        <v>123408250</v>
      </c>
      <c r="CN16" s="230">
        <v>124390375</v>
      </c>
      <c r="CO16" s="230">
        <v>-982125</v>
      </c>
      <c r="CP16" s="229">
        <v>-7.9000000000000008E-3</v>
      </c>
      <c r="CQ16" s="230">
        <v>69970950</v>
      </c>
      <c r="CR16" s="230">
        <v>67402875</v>
      </c>
      <c r="CS16" s="230">
        <v>2568075</v>
      </c>
      <c r="CT16" s="229">
        <v>3.8100000000000002E-2</v>
      </c>
      <c r="CU16" s="230">
        <v>494205300</v>
      </c>
      <c r="CV16" s="230">
        <v>490102200</v>
      </c>
      <c r="CW16" s="230">
        <v>4103100</v>
      </c>
      <c r="CX16" s="229">
        <v>8.3999999999999995E-3</v>
      </c>
      <c r="CY16" s="228">
        <v>48.98</v>
      </c>
      <c r="CZ16" s="228">
        <v>47.75</v>
      </c>
      <c r="DA16" s="228">
        <v>1.23</v>
      </c>
      <c r="DB16" s="228">
        <v>1.23</v>
      </c>
      <c r="DC16" s="228">
        <v>44.47</v>
      </c>
      <c r="DD16" s="228">
        <v>44.55</v>
      </c>
      <c r="DE16" s="228">
        <v>4.51</v>
      </c>
      <c r="DF16" s="228">
        <v>-0.08</v>
      </c>
      <c r="DG16" s="228">
        <v>46.05</v>
      </c>
      <c r="DH16" s="228">
        <v>46.88</v>
      </c>
      <c r="DI16" s="228">
        <v>-0.83</v>
      </c>
      <c r="DJ16" s="228">
        <v>-0.83</v>
      </c>
      <c r="DK16" s="228">
        <v>51.4</v>
      </c>
      <c r="DL16" s="228">
        <v>48.96</v>
      </c>
      <c r="DM16" s="228">
        <v>2.44</v>
      </c>
      <c r="DN16" s="228">
        <v>2.44</v>
      </c>
      <c r="DO16" s="228">
        <v>0.56999999999999995</v>
      </c>
      <c r="DP16" s="228">
        <v>0.54</v>
      </c>
      <c r="DQ16" s="228">
        <v>0.03</v>
      </c>
      <c r="DR16" s="229">
        <v>5.5599999999999997E-2</v>
      </c>
      <c r="DS16" s="228">
        <v>250</v>
      </c>
      <c r="DT16" s="228">
        <v>220</v>
      </c>
      <c r="DU16" s="228">
        <v>1.21</v>
      </c>
      <c r="DV16" s="228">
        <v>0.72</v>
      </c>
      <c r="DW16" s="228">
        <v>0.49</v>
      </c>
      <c r="DX16" s="229">
        <v>0.68059999999999998</v>
      </c>
      <c r="DY16" s="229">
        <v>0.13789999999999999</v>
      </c>
      <c r="DZ16" s="230">
        <v>39532350</v>
      </c>
      <c r="EA16" s="229">
        <v>6.1000000000000004E-3</v>
      </c>
      <c r="EB16" s="229">
        <v>0.13789999999999999</v>
      </c>
      <c r="EC16" s="228">
        <v>0.91</v>
      </c>
      <c r="ED16" s="229">
        <v>4.1000000000000003E-3</v>
      </c>
      <c r="EE16" s="230">
        <v>32517603</v>
      </c>
      <c r="EF16" s="230">
        <v>21585714</v>
      </c>
      <c r="EG16" s="229">
        <v>0.50639999999999996</v>
      </c>
      <c r="EH16" s="229">
        <v>0.4521</v>
      </c>
      <c r="EI16" s="231">
        <v>285195.94</v>
      </c>
      <c r="EJ16" s="231">
        <v>301484.38</v>
      </c>
      <c r="EK16" s="231">
        <v>131677.01</v>
      </c>
      <c r="EL16" s="231">
        <v>18410</v>
      </c>
      <c r="EM16" s="231">
        <v>718357.33</v>
      </c>
      <c r="EN16" s="231">
        <v>342953.67</v>
      </c>
      <c r="EO16" s="231">
        <v>375403.66</v>
      </c>
      <c r="EP16" s="229">
        <v>1.0946</v>
      </c>
      <c r="EQ16" s="231">
        <v>327746</v>
      </c>
      <c r="ER16" s="231">
        <v>167175</v>
      </c>
      <c r="ES16" s="231">
        <v>668511</v>
      </c>
      <c r="ET16" s="231">
        <v>1251309857</v>
      </c>
      <c r="EU16" s="231">
        <v>1163432</v>
      </c>
      <c r="EV16" s="231">
        <v>1164184</v>
      </c>
      <c r="EW16" s="228">
        <v>-752</v>
      </c>
      <c r="EX16" s="229">
        <v>-5.9999999999999995E-4</v>
      </c>
      <c r="EY16" s="229">
        <v>0.39500000000000002</v>
      </c>
    </row>
    <row r="17" spans="1:155" ht="17.25" thickBot="1" x14ac:dyDescent="0.3">
      <c r="A17" s="226">
        <v>46093</v>
      </c>
      <c r="B17" s="227" t="s">
        <v>157</v>
      </c>
      <c r="C17" s="227" t="s">
        <v>219</v>
      </c>
      <c r="D17" s="231">
        <v>2675.6</v>
      </c>
      <c r="E17" s="231">
        <v>2734.4</v>
      </c>
      <c r="F17" s="228">
        <v>-58.8</v>
      </c>
      <c r="G17" s="229">
        <v>-2.1499999999999998E-2</v>
      </c>
      <c r="H17" s="231">
        <v>2673.1</v>
      </c>
      <c r="I17" s="231">
        <v>2735.6</v>
      </c>
      <c r="J17" s="228">
        <v>-62.5</v>
      </c>
      <c r="K17" s="229">
        <v>-2.2800000000000001E-2</v>
      </c>
      <c r="L17" s="231">
        <v>2675.6</v>
      </c>
      <c r="M17" s="231">
        <v>2734.4</v>
      </c>
      <c r="N17" s="228">
        <v>-58.8</v>
      </c>
      <c r="O17" s="229">
        <v>-2.1499999999999998E-2</v>
      </c>
      <c r="P17" s="231">
        <v>2692.1</v>
      </c>
      <c r="Q17" s="231">
        <v>2748.8</v>
      </c>
      <c r="R17" s="228">
        <v>-56.7</v>
      </c>
      <c r="S17" s="229">
        <v>-2.06E-2</v>
      </c>
      <c r="T17" s="231">
        <v>2728</v>
      </c>
      <c r="U17" s="231">
        <v>2758</v>
      </c>
      <c r="V17" s="228">
        <v>-30</v>
      </c>
      <c r="W17" s="229">
        <v>-1.09E-2</v>
      </c>
      <c r="X17" s="228">
        <v>2.5</v>
      </c>
      <c r="Y17" s="228">
        <v>-1.2</v>
      </c>
      <c r="Z17" s="228">
        <v>3.7</v>
      </c>
      <c r="AA17" s="229">
        <v>8.9999999999999998E-4</v>
      </c>
      <c r="AB17" s="228">
        <v>2.5</v>
      </c>
      <c r="AC17" s="228">
        <v>-1.2</v>
      </c>
      <c r="AD17" s="228">
        <v>3.7</v>
      </c>
      <c r="AE17" s="229">
        <v>8.9999999999999998E-4</v>
      </c>
      <c r="AF17" s="228">
        <v>19</v>
      </c>
      <c r="AG17" s="228">
        <v>13.2</v>
      </c>
      <c r="AH17" s="228">
        <v>5.8</v>
      </c>
      <c r="AI17" s="229">
        <v>7.1000000000000004E-3</v>
      </c>
      <c r="AJ17" s="228">
        <v>54.9</v>
      </c>
      <c r="AK17" s="228">
        <v>22.4</v>
      </c>
      <c r="AL17" s="228">
        <v>32.5</v>
      </c>
      <c r="AM17" s="229">
        <v>2.0500000000000001E-2</v>
      </c>
      <c r="AN17" s="231">
        <v>2690.6</v>
      </c>
      <c r="AO17" s="231">
        <v>2709.97</v>
      </c>
      <c r="AP17" s="228">
        <v>0</v>
      </c>
      <c r="AQ17" s="230">
        <v>4904</v>
      </c>
      <c r="AR17" s="230">
        <v>5721</v>
      </c>
      <c r="AS17" s="228">
        <v>-817</v>
      </c>
      <c r="AT17" s="229">
        <v>-0.14280000000000001</v>
      </c>
      <c r="AU17" s="230">
        <v>4315</v>
      </c>
      <c r="AV17" s="230">
        <v>5551</v>
      </c>
      <c r="AW17" s="230">
        <v>-1236</v>
      </c>
      <c r="AX17" s="229">
        <v>-0.22270000000000001</v>
      </c>
      <c r="AY17" s="228">
        <v>581</v>
      </c>
      <c r="AZ17" s="228">
        <v>169</v>
      </c>
      <c r="BA17" s="228">
        <v>412</v>
      </c>
      <c r="BB17" s="229">
        <v>2.4379</v>
      </c>
      <c r="BC17" s="228">
        <v>8</v>
      </c>
      <c r="BD17" s="228">
        <v>1</v>
      </c>
      <c r="BE17" s="228">
        <v>7</v>
      </c>
      <c r="BF17" s="229">
        <v>7</v>
      </c>
      <c r="BG17" s="230">
        <v>5667</v>
      </c>
      <c r="BH17" s="230">
        <v>7146</v>
      </c>
      <c r="BI17" s="230">
        <v>-1479</v>
      </c>
      <c r="BJ17" s="229">
        <v>-0.20699999999999999</v>
      </c>
      <c r="BK17" s="230">
        <v>4016</v>
      </c>
      <c r="BL17" s="230">
        <v>4922</v>
      </c>
      <c r="BM17" s="228">
        <v>-906</v>
      </c>
      <c r="BN17" s="229">
        <v>-0.18410000000000001</v>
      </c>
      <c r="BO17" s="230">
        <v>14587</v>
      </c>
      <c r="BP17" s="230">
        <v>17789</v>
      </c>
      <c r="BQ17" s="230">
        <v>-3202</v>
      </c>
      <c r="BR17" s="229">
        <v>-0.18</v>
      </c>
      <c r="BS17" s="230">
        <v>960166</v>
      </c>
      <c r="BT17" s="230">
        <v>1522995</v>
      </c>
      <c r="BU17" s="230">
        <v>-562829</v>
      </c>
      <c r="BV17" s="229">
        <v>-0.36959999999999998</v>
      </c>
      <c r="BW17" s="230">
        <v>15053750</v>
      </c>
      <c r="BX17" s="230">
        <v>14989000</v>
      </c>
      <c r="BY17" s="230">
        <v>64750</v>
      </c>
      <c r="BZ17" s="229">
        <v>4.3E-3</v>
      </c>
      <c r="CA17" s="230">
        <v>14845500</v>
      </c>
      <c r="CB17" s="230">
        <v>14907000</v>
      </c>
      <c r="CC17" s="230">
        <v>-61500</v>
      </c>
      <c r="CD17" s="229">
        <v>-4.1000000000000003E-3</v>
      </c>
      <c r="CE17" s="230">
        <v>201250</v>
      </c>
      <c r="CF17" s="230">
        <v>75250</v>
      </c>
      <c r="CG17" s="230">
        <v>126000</v>
      </c>
      <c r="CH17" s="229">
        <v>1.6744000000000001</v>
      </c>
      <c r="CI17" s="230">
        <v>7000</v>
      </c>
      <c r="CJ17" s="230">
        <v>6750</v>
      </c>
      <c r="CK17" s="228">
        <v>250</v>
      </c>
      <c r="CL17" s="229">
        <v>3.6999999999999998E-2</v>
      </c>
      <c r="CM17" s="230">
        <v>1975500</v>
      </c>
      <c r="CN17" s="230">
        <v>1888000</v>
      </c>
      <c r="CO17" s="230">
        <v>87500</v>
      </c>
      <c r="CP17" s="229">
        <v>4.6300000000000001E-2</v>
      </c>
      <c r="CQ17" s="230">
        <v>1130000</v>
      </c>
      <c r="CR17" s="230">
        <v>1127750</v>
      </c>
      <c r="CS17" s="230">
        <v>2250</v>
      </c>
      <c r="CT17" s="229">
        <v>2E-3</v>
      </c>
      <c r="CU17" s="230">
        <v>18159250</v>
      </c>
      <c r="CV17" s="230">
        <v>18004750</v>
      </c>
      <c r="CW17" s="230">
        <v>154500</v>
      </c>
      <c r="CX17" s="229">
        <v>8.6E-3</v>
      </c>
      <c r="CY17" s="228">
        <v>27.04</v>
      </c>
      <c r="CZ17" s="228">
        <v>25.65</v>
      </c>
      <c r="DA17" s="228">
        <v>1.39</v>
      </c>
      <c r="DB17" s="228">
        <v>1.39</v>
      </c>
      <c r="DC17" s="228">
        <v>25.93</v>
      </c>
      <c r="DD17" s="228">
        <v>25.82</v>
      </c>
      <c r="DE17" s="228">
        <v>1.1100000000000001</v>
      </c>
      <c r="DF17" s="228">
        <v>0.11</v>
      </c>
      <c r="DG17" s="228">
        <v>26.47</v>
      </c>
      <c r="DH17" s="228">
        <v>24.87</v>
      </c>
      <c r="DI17" s="228">
        <v>1.6</v>
      </c>
      <c r="DJ17" s="228">
        <v>1.6</v>
      </c>
      <c r="DK17" s="228">
        <v>27.84</v>
      </c>
      <c r="DL17" s="228">
        <v>26.79</v>
      </c>
      <c r="DM17" s="228">
        <v>1.05</v>
      </c>
      <c r="DN17" s="228">
        <v>1.05</v>
      </c>
      <c r="DO17" s="228">
        <v>0.56999999999999995</v>
      </c>
      <c r="DP17" s="228">
        <v>0.6</v>
      </c>
      <c r="DQ17" s="228">
        <v>-0.03</v>
      </c>
      <c r="DR17" s="229">
        <v>-0.05</v>
      </c>
      <c r="DS17" s="231">
        <v>2860</v>
      </c>
      <c r="DT17" s="231">
        <v>2500</v>
      </c>
      <c r="DU17" s="228">
        <v>0.71</v>
      </c>
      <c r="DV17" s="228">
        <v>0.69</v>
      </c>
      <c r="DW17" s="228">
        <v>0.02</v>
      </c>
      <c r="DX17" s="229">
        <v>2.9000000000000001E-2</v>
      </c>
      <c r="DY17" s="229">
        <v>1.38E-2</v>
      </c>
      <c r="DZ17" s="230">
        <v>82000</v>
      </c>
      <c r="EA17" s="229">
        <v>6.1999999999999998E-3</v>
      </c>
      <c r="EB17" s="229">
        <v>1.38E-2</v>
      </c>
      <c r="EC17" s="228">
        <v>19.37</v>
      </c>
      <c r="ED17" s="229">
        <v>7.1999999999999998E-3</v>
      </c>
      <c r="EE17" s="230">
        <v>509213</v>
      </c>
      <c r="EF17" s="230">
        <v>1126184</v>
      </c>
      <c r="EG17" s="229">
        <v>-0.54779999999999995</v>
      </c>
      <c r="EH17" s="229">
        <v>0.53029999999999999</v>
      </c>
      <c r="EI17" s="231">
        <v>40195.31</v>
      </c>
      <c r="EJ17" s="231">
        <v>27043.55</v>
      </c>
      <c r="EK17" s="231">
        <v>33015.620000000003</v>
      </c>
      <c r="EL17" s="231">
        <v>6584</v>
      </c>
      <c r="EM17" s="231">
        <v>100254.48</v>
      </c>
      <c r="EN17" s="231">
        <v>123972.06</v>
      </c>
      <c r="EO17" s="231">
        <v>-23717.58</v>
      </c>
      <c r="EP17" s="229">
        <v>-0.1913</v>
      </c>
      <c r="EQ17" s="231">
        <v>57351</v>
      </c>
      <c r="ER17" s="231">
        <v>30402</v>
      </c>
      <c r="ES17" s="231">
        <v>402815</v>
      </c>
      <c r="ET17" s="231">
        <v>38505832</v>
      </c>
      <c r="EU17" s="231">
        <v>490568</v>
      </c>
      <c r="EV17" s="231">
        <v>495186</v>
      </c>
      <c r="EW17" s="231">
        <v>-4618</v>
      </c>
      <c r="EX17" s="229">
        <v>-9.2999999999999992E-3</v>
      </c>
      <c r="EY17" s="229">
        <v>0.47160000000000002</v>
      </c>
    </row>
    <row r="18" spans="1:155" ht="17.25" thickBot="1" x14ac:dyDescent="0.3">
      <c r="A18" s="226">
        <v>46093</v>
      </c>
      <c r="B18" s="227" t="s">
        <v>221</v>
      </c>
      <c r="C18" s="227" t="s">
        <v>222</v>
      </c>
      <c r="D18" s="231">
        <v>1352.4</v>
      </c>
      <c r="E18" s="231">
        <v>1348.6</v>
      </c>
      <c r="F18" s="228">
        <v>3.8</v>
      </c>
      <c r="G18" s="229">
        <v>2.8E-3</v>
      </c>
      <c r="H18" s="231">
        <v>1358.1</v>
      </c>
      <c r="I18" s="231">
        <v>1350.3</v>
      </c>
      <c r="J18" s="228">
        <v>7.8</v>
      </c>
      <c r="K18" s="229">
        <v>5.7999999999999996E-3</v>
      </c>
      <c r="L18" s="231">
        <v>1352.4</v>
      </c>
      <c r="M18" s="231">
        <v>1348.6</v>
      </c>
      <c r="N18" s="228">
        <v>3.8</v>
      </c>
      <c r="O18" s="229">
        <v>2.8E-3</v>
      </c>
      <c r="P18" s="231">
        <v>1349</v>
      </c>
      <c r="Q18" s="231">
        <v>1346.6</v>
      </c>
      <c r="R18" s="228">
        <v>2.4</v>
      </c>
      <c r="S18" s="229">
        <v>1.8E-3</v>
      </c>
      <c r="T18" s="231">
        <v>1350.2</v>
      </c>
      <c r="U18" s="231">
        <v>1350</v>
      </c>
      <c r="V18" s="228">
        <v>0.2</v>
      </c>
      <c r="W18" s="229">
        <v>1E-4</v>
      </c>
      <c r="X18" s="228">
        <v>-5.7</v>
      </c>
      <c r="Y18" s="228">
        <v>-1.7</v>
      </c>
      <c r="Z18" s="228">
        <v>-4</v>
      </c>
      <c r="AA18" s="229">
        <v>-4.1999999999999997E-3</v>
      </c>
      <c r="AB18" s="228">
        <v>-5.7</v>
      </c>
      <c r="AC18" s="228">
        <v>-1.7</v>
      </c>
      <c r="AD18" s="228">
        <v>-4</v>
      </c>
      <c r="AE18" s="229">
        <v>-4.1999999999999997E-3</v>
      </c>
      <c r="AF18" s="228">
        <v>-9.1</v>
      </c>
      <c r="AG18" s="228">
        <v>-3.7</v>
      </c>
      <c r="AH18" s="228">
        <v>-5.4</v>
      </c>
      <c r="AI18" s="229">
        <v>-6.7000000000000002E-3</v>
      </c>
      <c r="AJ18" s="228">
        <v>-7.9</v>
      </c>
      <c r="AK18" s="228">
        <v>-0.3</v>
      </c>
      <c r="AL18" s="228">
        <v>-7.6</v>
      </c>
      <c r="AM18" s="229">
        <v>-5.7999999999999996E-3</v>
      </c>
      <c r="AN18" s="231">
        <v>1350.65</v>
      </c>
      <c r="AO18" s="231">
        <v>1348.87</v>
      </c>
      <c r="AP18" s="228">
        <v>0</v>
      </c>
      <c r="AQ18" s="230">
        <v>8093</v>
      </c>
      <c r="AR18" s="230">
        <v>5870</v>
      </c>
      <c r="AS18" s="230">
        <v>2223</v>
      </c>
      <c r="AT18" s="229">
        <v>0.37869999999999998</v>
      </c>
      <c r="AU18" s="230">
        <v>7661</v>
      </c>
      <c r="AV18" s="230">
        <v>5499</v>
      </c>
      <c r="AW18" s="230">
        <v>2162</v>
      </c>
      <c r="AX18" s="229">
        <v>0.39319999999999999</v>
      </c>
      <c r="AY18" s="228">
        <v>399</v>
      </c>
      <c r="AZ18" s="228">
        <v>349</v>
      </c>
      <c r="BA18" s="228">
        <v>50</v>
      </c>
      <c r="BB18" s="229">
        <v>0.14330000000000001</v>
      </c>
      <c r="BC18" s="228">
        <v>33</v>
      </c>
      <c r="BD18" s="228">
        <v>22</v>
      </c>
      <c r="BE18" s="228">
        <v>11</v>
      </c>
      <c r="BF18" s="229">
        <v>0.5</v>
      </c>
      <c r="BG18" s="230">
        <v>21028</v>
      </c>
      <c r="BH18" s="230">
        <v>10803</v>
      </c>
      <c r="BI18" s="230">
        <v>10225</v>
      </c>
      <c r="BJ18" s="229">
        <v>0.94650000000000001</v>
      </c>
      <c r="BK18" s="230">
        <v>10081</v>
      </c>
      <c r="BL18" s="230">
        <v>9402</v>
      </c>
      <c r="BM18" s="228">
        <v>679</v>
      </c>
      <c r="BN18" s="229">
        <v>7.22E-2</v>
      </c>
      <c r="BO18" s="230">
        <v>39202</v>
      </c>
      <c r="BP18" s="230">
        <v>26075</v>
      </c>
      <c r="BQ18" s="230">
        <v>13127</v>
      </c>
      <c r="BR18" s="229">
        <v>0.50339999999999996</v>
      </c>
      <c r="BS18" s="230">
        <v>2698994</v>
      </c>
      <c r="BT18" s="230">
        <v>1899067</v>
      </c>
      <c r="BU18" s="230">
        <v>799927</v>
      </c>
      <c r="BV18" s="229">
        <v>0.42120000000000002</v>
      </c>
      <c r="BW18" s="230">
        <v>28075250</v>
      </c>
      <c r="BX18" s="230">
        <v>27202350</v>
      </c>
      <c r="BY18" s="230">
        <v>872900</v>
      </c>
      <c r="BZ18" s="229">
        <v>3.2099999999999997E-2</v>
      </c>
      <c r="CA18" s="230">
        <v>27395900</v>
      </c>
      <c r="CB18" s="230">
        <v>26587050</v>
      </c>
      <c r="CC18" s="230">
        <v>808850</v>
      </c>
      <c r="CD18" s="229">
        <v>3.04E-2</v>
      </c>
      <c r="CE18" s="230">
        <v>611450</v>
      </c>
      <c r="CF18" s="230">
        <v>552650</v>
      </c>
      <c r="CG18" s="230">
        <v>58800</v>
      </c>
      <c r="CH18" s="229">
        <v>0.10639999999999999</v>
      </c>
      <c r="CI18" s="230">
        <v>67900</v>
      </c>
      <c r="CJ18" s="230">
        <v>62650</v>
      </c>
      <c r="CK18" s="230">
        <v>5250</v>
      </c>
      <c r="CL18" s="229">
        <v>8.3799999999999999E-2</v>
      </c>
      <c r="CM18" s="230">
        <v>6809250</v>
      </c>
      <c r="CN18" s="230">
        <v>6152300</v>
      </c>
      <c r="CO18" s="230">
        <v>656950</v>
      </c>
      <c r="CP18" s="229">
        <v>0.10680000000000001</v>
      </c>
      <c r="CQ18" s="230">
        <v>3376800</v>
      </c>
      <c r="CR18" s="230">
        <v>3396400</v>
      </c>
      <c r="CS18" s="230">
        <v>-19600</v>
      </c>
      <c r="CT18" s="229">
        <v>-5.7999999999999996E-3</v>
      </c>
      <c r="CU18" s="230">
        <v>38261300</v>
      </c>
      <c r="CV18" s="230">
        <v>36751050</v>
      </c>
      <c r="CW18" s="230">
        <v>1510250</v>
      </c>
      <c r="CX18" s="229">
        <v>4.1099999999999998E-2</v>
      </c>
      <c r="CY18" s="228">
        <v>31.16</v>
      </c>
      <c r="CZ18" s="228">
        <v>32.43</v>
      </c>
      <c r="DA18" s="228">
        <v>-1.27</v>
      </c>
      <c r="DB18" s="228">
        <v>-1.27</v>
      </c>
      <c r="DC18" s="228">
        <v>28.92</v>
      </c>
      <c r="DD18" s="228">
        <v>28.98</v>
      </c>
      <c r="DE18" s="228">
        <v>2.2400000000000002</v>
      </c>
      <c r="DF18" s="228">
        <v>-0.06</v>
      </c>
      <c r="DG18" s="228">
        <v>30.18</v>
      </c>
      <c r="DH18" s="228">
        <v>31.42</v>
      </c>
      <c r="DI18" s="228">
        <v>-1.24</v>
      </c>
      <c r="DJ18" s="228">
        <v>-1.24</v>
      </c>
      <c r="DK18" s="228">
        <v>33.200000000000003</v>
      </c>
      <c r="DL18" s="228">
        <v>33.590000000000003</v>
      </c>
      <c r="DM18" s="228">
        <v>-0.39</v>
      </c>
      <c r="DN18" s="228">
        <v>-0.39</v>
      </c>
      <c r="DO18" s="228">
        <v>0.5</v>
      </c>
      <c r="DP18" s="228">
        <v>0.55000000000000004</v>
      </c>
      <c r="DQ18" s="228">
        <v>-0.05</v>
      </c>
      <c r="DR18" s="229">
        <v>-9.0899999999999995E-2</v>
      </c>
      <c r="DS18" s="231">
        <v>1500</v>
      </c>
      <c r="DT18" s="231">
        <v>1360</v>
      </c>
      <c r="DU18" s="228">
        <v>0.48</v>
      </c>
      <c r="DV18" s="228">
        <v>0.87</v>
      </c>
      <c r="DW18" s="228">
        <v>-0.39</v>
      </c>
      <c r="DX18" s="229">
        <v>-0.44829999999999998</v>
      </c>
      <c r="DY18" s="229">
        <v>2.4199999999999999E-2</v>
      </c>
      <c r="DZ18" s="230">
        <v>615300</v>
      </c>
      <c r="EA18" s="229">
        <v>-2.5000000000000001E-3</v>
      </c>
      <c r="EB18" s="229">
        <v>2.4199999999999999E-2</v>
      </c>
      <c r="EC18" s="228">
        <v>-1.78</v>
      </c>
      <c r="ED18" s="229">
        <v>-1.2999999999999999E-3</v>
      </c>
      <c r="EE18" s="230">
        <v>1654020</v>
      </c>
      <c r="EF18" s="230">
        <v>1215633</v>
      </c>
      <c r="EG18" s="229">
        <v>0.36059999999999998</v>
      </c>
      <c r="EH18" s="229">
        <v>0.61280000000000001</v>
      </c>
      <c r="EI18" s="231">
        <v>104826.94</v>
      </c>
      <c r="EJ18" s="231">
        <v>47181.51</v>
      </c>
      <c r="EK18" s="231">
        <v>38254.879999999997</v>
      </c>
      <c r="EL18" s="231">
        <v>6638</v>
      </c>
      <c r="EM18" s="231">
        <v>190263.33</v>
      </c>
      <c r="EN18" s="231">
        <v>126762.03</v>
      </c>
      <c r="EO18" s="231">
        <v>63501.3</v>
      </c>
      <c r="EP18" s="229">
        <v>0.50090000000000001</v>
      </c>
      <c r="EQ18" s="231">
        <v>100228</v>
      </c>
      <c r="ER18" s="231">
        <v>45541</v>
      </c>
      <c r="ES18" s="231">
        <v>379667</v>
      </c>
      <c r="ET18" s="231">
        <v>106857976</v>
      </c>
      <c r="EU18" s="231">
        <v>525437</v>
      </c>
      <c r="EV18" s="231">
        <v>503798</v>
      </c>
      <c r="EW18" s="231">
        <v>21639</v>
      </c>
      <c r="EX18" s="229">
        <v>4.2999999999999997E-2</v>
      </c>
      <c r="EY18" s="229">
        <v>0.35809999999999997</v>
      </c>
    </row>
    <row r="19" spans="1:155" ht="17.25" thickBot="1" x14ac:dyDescent="0.3">
      <c r="A19" s="226">
        <v>46093</v>
      </c>
      <c r="B19" s="227" t="s">
        <v>172</v>
      </c>
      <c r="C19" s="227" t="s">
        <v>224</v>
      </c>
      <c r="D19" s="228">
        <v>835.3</v>
      </c>
      <c r="E19" s="228">
        <v>837.95</v>
      </c>
      <c r="F19" s="228">
        <v>-2.65</v>
      </c>
      <c r="G19" s="229">
        <v>-3.2000000000000002E-3</v>
      </c>
      <c r="H19" s="228">
        <v>832.75</v>
      </c>
      <c r="I19" s="228">
        <v>833.95</v>
      </c>
      <c r="J19" s="228">
        <v>-1.2</v>
      </c>
      <c r="K19" s="229">
        <v>-1.4E-3</v>
      </c>
      <c r="L19" s="228">
        <v>835.3</v>
      </c>
      <c r="M19" s="228">
        <v>837.95</v>
      </c>
      <c r="N19" s="228">
        <v>-2.65</v>
      </c>
      <c r="O19" s="229">
        <v>-3.2000000000000002E-3</v>
      </c>
      <c r="P19" s="228">
        <v>840.6</v>
      </c>
      <c r="Q19" s="228">
        <v>843.3</v>
      </c>
      <c r="R19" s="228">
        <v>-2.7</v>
      </c>
      <c r="S19" s="229">
        <v>-3.2000000000000002E-3</v>
      </c>
      <c r="T19" s="228">
        <v>840.9</v>
      </c>
      <c r="U19" s="228">
        <v>843.9</v>
      </c>
      <c r="V19" s="228">
        <v>-3</v>
      </c>
      <c r="W19" s="229">
        <v>-3.5999999999999999E-3</v>
      </c>
      <c r="X19" s="228">
        <v>2.5499999999999998</v>
      </c>
      <c r="Y19" s="228">
        <v>4</v>
      </c>
      <c r="Z19" s="228">
        <v>-1.45</v>
      </c>
      <c r="AA19" s="229">
        <v>3.0999999999999999E-3</v>
      </c>
      <c r="AB19" s="228">
        <v>2.5499999999999998</v>
      </c>
      <c r="AC19" s="228">
        <v>4</v>
      </c>
      <c r="AD19" s="228">
        <v>-1.45</v>
      </c>
      <c r="AE19" s="229">
        <v>3.0999999999999999E-3</v>
      </c>
      <c r="AF19" s="228">
        <v>7.85</v>
      </c>
      <c r="AG19" s="228">
        <v>9.35</v>
      </c>
      <c r="AH19" s="228">
        <v>-1.5</v>
      </c>
      <c r="AI19" s="229">
        <v>9.4000000000000004E-3</v>
      </c>
      <c r="AJ19" s="228">
        <v>8.15</v>
      </c>
      <c r="AK19" s="228">
        <v>9.9499999999999993</v>
      </c>
      <c r="AL19" s="228">
        <v>-1.8</v>
      </c>
      <c r="AM19" s="229">
        <v>9.7999999999999997E-3</v>
      </c>
      <c r="AN19" s="228">
        <v>835.59</v>
      </c>
      <c r="AO19" s="228">
        <v>841.48</v>
      </c>
      <c r="AP19" s="228">
        <v>0</v>
      </c>
      <c r="AQ19" s="230">
        <v>52579</v>
      </c>
      <c r="AR19" s="230">
        <v>54071</v>
      </c>
      <c r="AS19" s="230">
        <v>-1492</v>
      </c>
      <c r="AT19" s="229">
        <v>-2.76E-2</v>
      </c>
      <c r="AU19" s="230">
        <v>46731</v>
      </c>
      <c r="AV19" s="230">
        <v>44367</v>
      </c>
      <c r="AW19" s="230">
        <v>2364</v>
      </c>
      <c r="AX19" s="229">
        <v>5.33E-2</v>
      </c>
      <c r="AY19" s="230">
        <v>5356</v>
      </c>
      <c r="AZ19" s="230">
        <v>8649</v>
      </c>
      <c r="BA19" s="230">
        <v>-3293</v>
      </c>
      <c r="BB19" s="229">
        <v>-0.38069999999999998</v>
      </c>
      <c r="BC19" s="228">
        <v>492</v>
      </c>
      <c r="BD19" s="230">
        <v>1055</v>
      </c>
      <c r="BE19" s="228">
        <v>-563</v>
      </c>
      <c r="BF19" s="229">
        <v>-0.53359999999999996</v>
      </c>
      <c r="BG19" s="230">
        <v>109798</v>
      </c>
      <c r="BH19" s="230">
        <v>169345</v>
      </c>
      <c r="BI19" s="230">
        <v>-59547</v>
      </c>
      <c r="BJ19" s="229">
        <v>-0.35160000000000002</v>
      </c>
      <c r="BK19" s="230">
        <v>62732</v>
      </c>
      <c r="BL19" s="230">
        <v>84073</v>
      </c>
      <c r="BM19" s="230">
        <v>-21341</v>
      </c>
      <c r="BN19" s="229">
        <v>-0.25380000000000003</v>
      </c>
      <c r="BO19" s="230">
        <v>225109</v>
      </c>
      <c r="BP19" s="230">
        <v>307489</v>
      </c>
      <c r="BQ19" s="230">
        <v>-82380</v>
      </c>
      <c r="BR19" s="229">
        <v>-0.26790000000000003</v>
      </c>
      <c r="BS19" s="230">
        <v>48611393</v>
      </c>
      <c r="BT19" s="230">
        <v>43388954</v>
      </c>
      <c r="BU19" s="230">
        <v>5222439</v>
      </c>
      <c r="BV19" s="229">
        <v>0.12039999999999999</v>
      </c>
      <c r="BW19" s="230">
        <v>325217200</v>
      </c>
      <c r="BX19" s="230">
        <v>331980550</v>
      </c>
      <c r="BY19" s="230">
        <v>-6763350</v>
      </c>
      <c r="BZ19" s="229">
        <v>-2.0400000000000001E-2</v>
      </c>
      <c r="CA19" s="230">
        <v>283992500</v>
      </c>
      <c r="CB19" s="230">
        <v>292554900</v>
      </c>
      <c r="CC19" s="230">
        <v>-8562400</v>
      </c>
      <c r="CD19" s="229">
        <v>-2.93E-2</v>
      </c>
      <c r="CE19" s="230">
        <v>39629700</v>
      </c>
      <c r="CF19" s="230">
        <v>37898850</v>
      </c>
      <c r="CG19" s="230">
        <v>1730850</v>
      </c>
      <c r="CH19" s="229">
        <v>4.5699999999999998E-2</v>
      </c>
      <c r="CI19" s="230">
        <v>1595000</v>
      </c>
      <c r="CJ19" s="230">
        <v>1526800</v>
      </c>
      <c r="CK19" s="230">
        <v>68200</v>
      </c>
      <c r="CL19" s="229">
        <v>4.4699999999999997E-2</v>
      </c>
      <c r="CM19" s="230">
        <v>87743150</v>
      </c>
      <c r="CN19" s="230">
        <v>86414350</v>
      </c>
      <c r="CO19" s="230">
        <v>1328800</v>
      </c>
      <c r="CP19" s="229">
        <v>1.54E-2</v>
      </c>
      <c r="CQ19" s="230">
        <v>45431650</v>
      </c>
      <c r="CR19" s="230">
        <v>44047850</v>
      </c>
      <c r="CS19" s="230">
        <v>1383800</v>
      </c>
      <c r="CT19" s="229">
        <v>3.1399999999999997E-2</v>
      </c>
      <c r="CU19" s="230">
        <v>458392000</v>
      </c>
      <c r="CV19" s="230">
        <v>462442750</v>
      </c>
      <c r="CW19" s="230">
        <v>-4050750</v>
      </c>
      <c r="CX19" s="229">
        <v>-8.8000000000000005E-3</v>
      </c>
      <c r="CY19" s="228">
        <v>25.32</v>
      </c>
      <c r="CZ19" s="228">
        <v>25.07</v>
      </c>
      <c r="DA19" s="228">
        <v>0.25</v>
      </c>
      <c r="DB19" s="228">
        <v>0.25</v>
      </c>
      <c r="DC19" s="228">
        <v>20.03</v>
      </c>
      <c r="DD19" s="228">
        <v>20.079999999999998</v>
      </c>
      <c r="DE19" s="228">
        <v>5.29</v>
      </c>
      <c r="DF19" s="228">
        <v>-0.05</v>
      </c>
      <c r="DG19" s="228">
        <v>24.94</v>
      </c>
      <c r="DH19" s="228">
        <v>24.69</v>
      </c>
      <c r="DI19" s="228">
        <v>0.25</v>
      </c>
      <c r="DJ19" s="228">
        <v>0.25</v>
      </c>
      <c r="DK19" s="228">
        <v>25.99</v>
      </c>
      <c r="DL19" s="228">
        <v>25.83</v>
      </c>
      <c r="DM19" s="228">
        <v>0.16</v>
      </c>
      <c r="DN19" s="228">
        <v>0.16</v>
      </c>
      <c r="DO19" s="228">
        <v>0.52</v>
      </c>
      <c r="DP19" s="228">
        <v>0.51</v>
      </c>
      <c r="DQ19" s="228">
        <v>0.01</v>
      </c>
      <c r="DR19" s="229">
        <v>1.9599999999999999E-2</v>
      </c>
      <c r="DS19" s="228">
        <v>900</v>
      </c>
      <c r="DT19" s="228">
        <v>800</v>
      </c>
      <c r="DU19" s="228">
        <v>0.56999999999999995</v>
      </c>
      <c r="DV19" s="228">
        <v>0.5</v>
      </c>
      <c r="DW19" s="228">
        <v>7.0000000000000007E-2</v>
      </c>
      <c r="DX19" s="229">
        <v>0.14000000000000001</v>
      </c>
      <c r="DY19" s="229">
        <v>0.1268</v>
      </c>
      <c r="DZ19" s="230">
        <v>39425650</v>
      </c>
      <c r="EA19" s="229">
        <v>6.3E-3</v>
      </c>
      <c r="EB19" s="229">
        <v>0.1268</v>
      </c>
      <c r="EC19" s="228">
        <v>5.89</v>
      </c>
      <c r="ED19" s="229">
        <v>7.0000000000000001E-3</v>
      </c>
      <c r="EE19" s="230">
        <v>28868523</v>
      </c>
      <c r="EF19" s="230">
        <v>27382379</v>
      </c>
      <c r="EG19" s="229">
        <v>5.4300000000000001E-2</v>
      </c>
      <c r="EH19" s="229">
        <v>0.59389999999999998</v>
      </c>
      <c r="EI19" s="231">
        <v>528697.82999999996</v>
      </c>
      <c r="EJ19" s="231">
        <v>288244.99</v>
      </c>
      <c r="EK19" s="231">
        <v>241829.14</v>
      </c>
      <c r="EL19" s="231">
        <v>67308</v>
      </c>
      <c r="EM19" s="231">
        <v>1058771.96</v>
      </c>
      <c r="EN19" s="231">
        <v>1460643.93</v>
      </c>
      <c r="EO19" s="231">
        <v>-401871.97</v>
      </c>
      <c r="EP19" s="229">
        <v>-0.27510000000000001</v>
      </c>
      <c r="EQ19" s="231">
        <v>792642</v>
      </c>
      <c r="ER19" s="231">
        <v>394777</v>
      </c>
      <c r="ES19" s="231">
        <v>2718729</v>
      </c>
      <c r="ET19" s="231">
        <v>1330694977</v>
      </c>
      <c r="EU19" s="231">
        <v>3906148</v>
      </c>
      <c r="EV19" s="231">
        <v>3949872</v>
      </c>
      <c r="EW19" s="231">
        <v>-43724</v>
      </c>
      <c r="EX19" s="229">
        <v>-1.11E-2</v>
      </c>
      <c r="EY19" s="229">
        <v>0.34449999999999997</v>
      </c>
    </row>
    <row r="20" spans="1:155" ht="17.25" thickBot="1" x14ac:dyDescent="0.3">
      <c r="A20" s="226">
        <v>46093</v>
      </c>
      <c r="B20" s="227" t="s">
        <v>175</v>
      </c>
      <c r="C20" s="227" t="s">
        <v>225</v>
      </c>
      <c r="D20" s="228">
        <v>646.6</v>
      </c>
      <c r="E20" s="228">
        <v>649</v>
      </c>
      <c r="F20" s="228">
        <v>-2.4</v>
      </c>
      <c r="G20" s="229">
        <v>-3.7000000000000002E-3</v>
      </c>
      <c r="H20" s="228">
        <v>645.70000000000005</v>
      </c>
      <c r="I20" s="228">
        <v>647.9</v>
      </c>
      <c r="J20" s="228">
        <v>-2.2000000000000002</v>
      </c>
      <c r="K20" s="229">
        <v>-3.3999999999999998E-3</v>
      </c>
      <c r="L20" s="228">
        <v>646.6</v>
      </c>
      <c r="M20" s="228">
        <v>649</v>
      </c>
      <c r="N20" s="228">
        <v>-2.4</v>
      </c>
      <c r="O20" s="229">
        <v>-3.7000000000000002E-3</v>
      </c>
      <c r="P20" s="228">
        <v>650.65</v>
      </c>
      <c r="Q20" s="228">
        <v>653.4</v>
      </c>
      <c r="R20" s="228">
        <v>-2.75</v>
      </c>
      <c r="S20" s="229">
        <v>-4.1999999999999997E-3</v>
      </c>
      <c r="T20" s="228">
        <v>653.65</v>
      </c>
      <c r="U20" s="228">
        <v>656.5</v>
      </c>
      <c r="V20" s="228">
        <v>-2.85</v>
      </c>
      <c r="W20" s="229">
        <v>-4.3E-3</v>
      </c>
      <c r="X20" s="228">
        <v>0.9</v>
      </c>
      <c r="Y20" s="228">
        <v>1.1000000000000001</v>
      </c>
      <c r="Z20" s="228">
        <v>-0.2</v>
      </c>
      <c r="AA20" s="229">
        <v>1.4E-3</v>
      </c>
      <c r="AB20" s="228">
        <v>0.9</v>
      </c>
      <c r="AC20" s="228">
        <v>1.1000000000000001</v>
      </c>
      <c r="AD20" s="228">
        <v>-0.2</v>
      </c>
      <c r="AE20" s="229">
        <v>1.4E-3</v>
      </c>
      <c r="AF20" s="228">
        <v>4.95</v>
      </c>
      <c r="AG20" s="228">
        <v>5.5</v>
      </c>
      <c r="AH20" s="228">
        <v>-0.55000000000000004</v>
      </c>
      <c r="AI20" s="229">
        <v>7.7000000000000002E-3</v>
      </c>
      <c r="AJ20" s="228">
        <v>7.95</v>
      </c>
      <c r="AK20" s="228">
        <v>8.6</v>
      </c>
      <c r="AL20" s="228">
        <v>-0.65</v>
      </c>
      <c r="AM20" s="229">
        <v>1.23E-2</v>
      </c>
      <c r="AN20" s="228">
        <v>644.67999999999995</v>
      </c>
      <c r="AO20" s="228">
        <v>647.62</v>
      </c>
      <c r="AP20" s="228">
        <v>0</v>
      </c>
      <c r="AQ20" s="230">
        <v>2200</v>
      </c>
      <c r="AR20" s="230">
        <v>2806</v>
      </c>
      <c r="AS20" s="228">
        <v>-606</v>
      </c>
      <c r="AT20" s="229">
        <v>-0.216</v>
      </c>
      <c r="AU20" s="230">
        <v>1976</v>
      </c>
      <c r="AV20" s="230">
        <v>2643</v>
      </c>
      <c r="AW20" s="228">
        <v>-667</v>
      </c>
      <c r="AX20" s="229">
        <v>-0.25240000000000001</v>
      </c>
      <c r="AY20" s="228">
        <v>217</v>
      </c>
      <c r="AZ20" s="228">
        <v>148</v>
      </c>
      <c r="BA20" s="228">
        <v>69</v>
      </c>
      <c r="BB20" s="229">
        <v>0.4662</v>
      </c>
      <c r="BC20" s="228">
        <v>7</v>
      </c>
      <c r="BD20" s="228">
        <v>15</v>
      </c>
      <c r="BE20" s="228">
        <v>-8</v>
      </c>
      <c r="BF20" s="229">
        <v>-0.5333</v>
      </c>
      <c r="BG20" s="230">
        <v>6976</v>
      </c>
      <c r="BH20" s="230">
        <v>6095</v>
      </c>
      <c r="BI20" s="228">
        <v>881</v>
      </c>
      <c r="BJ20" s="229">
        <v>0.14449999999999999</v>
      </c>
      <c r="BK20" s="230">
        <v>2878</v>
      </c>
      <c r="BL20" s="230">
        <v>3039</v>
      </c>
      <c r="BM20" s="228">
        <v>-161</v>
      </c>
      <c r="BN20" s="229">
        <v>-5.2999999999999999E-2</v>
      </c>
      <c r="BO20" s="230">
        <v>12054</v>
      </c>
      <c r="BP20" s="230">
        <v>11940</v>
      </c>
      <c r="BQ20" s="228">
        <v>114</v>
      </c>
      <c r="BR20" s="229">
        <v>9.4999999999999998E-3</v>
      </c>
      <c r="BS20" s="230">
        <v>3371249</v>
      </c>
      <c r="BT20" s="230">
        <v>1362040</v>
      </c>
      <c r="BU20" s="230">
        <v>2009209</v>
      </c>
      <c r="BV20" s="229">
        <v>1.4751000000000001</v>
      </c>
      <c r="BW20" s="230">
        <v>37788300</v>
      </c>
      <c r="BX20" s="230">
        <v>37826800</v>
      </c>
      <c r="BY20" s="230">
        <v>-38500</v>
      </c>
      <c r="BZ20" s="229">
        <v>-1E-3</v>
      </c>
      <c r="CA20" s="230">
        <v>36470500</v>
      </c>
      <c r="CB20" s="230">
        <v>36597000</v>
      </c>
      <c r="CC20" s="230">
        <v>-126500</v>
      </c>
      <c r="CD20" s="229">
        <v>-3.5000000000000001E-3</v>
      </c>
      <c r="CE20" s="230">
        <v>1223200</v>
      </c>
      <c r="CF20" s="230">
        <v>1137400</v>
      </c>
      <c r="CG20" s="230">
        <v>85800</v>
      </c>
      <c r="CH20" s="229">
        <v>7.5399999999999995E-2</v>
      </c>
      <c r="CI20" s="230">
        <v>94600</v>
      </c>
      <c r="CJ20" s="230">
        <v>92400</v>
      </c>
      <c r="CK20" s="230">
        <v>2200</v>
      </c>
      <c r="CL20" s="229">
        <v>2.3800000000000002E-2</v>
      </c>
      <c r="CM20" s="230">
        <v>14316500</v>
      </c>
      <c r="CN20" s="230">
        <v>14609100</v>
      </c>
      <c r="CO20" s="230">
        <v>-292600</v>
      </c>
      <c r="CP20" s="229">
        <v>-0.02</v>
      </c>
      <c r="CQ20" s="230">
        <v>5615500</v>
      </c>
      <c r="CR20" s="230">
        <v>5381200</v>
      </c>
      <c r="CS20" s="230">
        <v>234300</v>
      </c>
      <c r="CT20" s="229">
        <v>4.3499999999999997E-2</v>
      </c>
      <c r="CU20" s="230">
        <v>57720300</v>
      </c>
      <c r="CV20" s="230">
        <v>57817100</v>
      </c>
      <c r="CW20" s="230">
        <v>-96800</v>
      </c>
      <c r="CX20" s="229">
        <v>-1.6999999999999999E-3</v>
      </c>
      <c r="CY20" s="228">
        <v>27.47</v>
      </c>
      <c r="CZ20" s="228">
        <v>27.18</v>
      </c>
      <c r="DA20" s="228">
        <v>0.28999999999999998</v>
      </c>
      <c r="DB20" s="228">
        <v>0.28999999999999998</v>
      </c>
      <c r="DC20" s="228">
        <v>25.05</v>
      </c>
      <c r="DD20" s="228">
        <v>25.11</v>
      </c>
      <c r="DE20" s="228">
        <v>2.42</v>
      </c>
      <c r="DF20" s="228">
        <v>-0.06</v>
      </c>
      <c r="DG20" s="228">
        <v>27.44</v>
      </c>
      <c r="DH20" s="228">
        <v>27.41</v>
      </c>
      <c r="DI20" s="228">
        <v>0.03</v>
      </c>
      <c r="DJ20" s="228">
        <v>0.03</v>
      </c>
      <c r="DK20" s="228">
        <v>27.55</v>
      </c>
      <c r="DL20" s="228">
        <v>26.72</v>
      </c>
      <c r="DM20" s="228">
        <v>0.83</v>
      </c>
      <c r="DN20" s="228">
        <v>0.83</v>
      </c>
      <c r="DO20" s="228">
        <v>0.39</v>
      </c>
      <c r="DP20" s="228">
        <v>0.37</v>
      </c>
      <c r="DQ20" s="228">
        <v>0.02</v>
      </c>
      <c r="DR20" s="229">
        <v>5.4100000000000002E-2</v>
      </c>
      <c r="DS20" s="228">
        <v>750</v>
      </c>
      <c r="DT20" s="228">
        <v>620</v>
      </c>
      <c r="DU20" s="228">
        <v>0.41</v>
      </c>
      <c r="DV20" s="228">
        <v>0.5</v>
      </c>
      <c r="DW20" s="228">
        <v>-0.09</v>
      </c>
      <c r="DX20" s="229">
        <v>-0.18</v>
      </c>
      <c r="DY20" s="229">
        <v>3.49E-2</v>
      </c>
      <c r="DZ20" s="230">
        <v>1229800</v>
      </c>
      <c r="EA20" s="229">
        <v>6.3E-3</v>
      </c>
      <c r="EB20" s="229">
        <v>3.49E-2</v>
      </c>
      <c r="EC20" s="228">
        <v>2.94</v>
      </c>
      <c r="ED20" s="229">
        <v>4.5999999999999999E-3</v>
      </c>
      <c r="EE20" s="230">
        <v>2080781</v>
      </c>
      <c r="EF20" s="230">
        <v>825145</v>
      </c>
      <c r="EG20" s="229">
        <v>1.5217000000000001</v>
      </c>
      <c r="EH20" s="229">
        <v>0.61719999999999997</v>
      </c>
      <c r="EI20" s="231">
        <v>53620.62</v>
      </c>
      <c r="EJ20" s="231">
        <v>20463.39</v>
      </c>
      <c r="EK20" s="231">
        <v>15608.83</v>
      </c>
      <c r="EL20" s="231">
        <v>3822</v>
      </c>
      <c r="EM20" s="231">
        <v>89692.84</v>
      </c>
      <c r="EN20" s="231">
        <v>88727.17</v>
      </c>
      <c r="EO20" s="228">
        <v>965.67</v>
      </c>
      <c r="EP20" s="229">
        <v>1.09E-2</v>
      </c>
      <c r="EQ20" s="231">
        <v>105956</v>
      </c>
      <c r="ER20" s="231">
        <v>37874</v>
      </c>
      <c r="ES20" s="231">
        <v>244395</v>
      </c>
      <c r="ET20" s="231">
        <v>128849634</v>
      </c>
      <c r="EU20" s="231">
        <v>388225</v>
      </c>
      <c r="EV20" s="231">
        <v>390511</v>
      </c>
      <c r="EW20" s="231">
        <v>-2286</v>
      </c>
      <c r="EX20" s="229">
        <v>-5.8999999999999999E-3</v>
      </c>
      <c r="EY20" s="229">
        <v>0.44800000000000001</v>
      </c>
    </row>
    <row r="21" spans="1:155" ht="17.25" thickBot="1" x14ac:dyDescent="0.3">
      <c r="A21" s="226">
        <v>46093</v>
      </c>
      <c r="B21" s="227" t="s">
        <v>227</v>
      </c>
      <c r="C21" s="227" t="s">
        <v>228</v>
      </c>
      <c r="D21" s="228">
        <v>970.9</v>
      </c>
      <c r="E21" s="228">
        <v>960.1</v>
      </c>
      <c r="F21" s="228">
        <v>10.8</v>
      </c>
      <c r="G21" s="229">
        <v>1.12E-2</v>
      </c>
      <c r="H21" s="228">
        <v>969.75</v>
      </c>
      <c r="I21" s="228">
        <v>959.1</v>
      </c>
      <c r="J21" s="228">
        <v>10.65</v>
      </c>
      <c r="K21" s="229">
        <v>1.11E-2</v>
      </c>
      <c r="L21" s="228">
        <v>970.9</v>
      </c>
      <c r="M21" s="228">
        <v>960.1</v>
      </c>
      <c r="N21" s="228">
        <v>10.8</v>
      </c>
      <c r="O21" s="229">
        <v>1.12E-2</v>
      </c>
      <c r="P21" s="228">
        <v>976.7</v>
      </c>
      <c r="Q21" s="228">
        <v>965.85</v>
      </c>
      <c r="R21" s="228">
        <v>10.85</v>
      </c>
      <c r="S21" s="229">
        <v>1.12E-2</v>
      </c>
      <c r="T21" s="228">
        <v>981.35</v>
      </c>
      <c r="U21" s="228">
        <v>970.3</v>
      </c>
      <c r="V21" s="228">
        <v>11.05</v>
      </c>
      <c r="W21" s="229">
        <v>1.14E-2</v>
      </c>
      <c r="X21" s="228">
        <v>1.1499999999999999</v>
      </c>
      <c r="Y21" s="228">
        <v>1</v>
      </c>
      <c r="Z21" s="228">
        <v>0.15</v>
      </c>
      <c r="AA21" s="229">
        <v>1.1999999999999999E-3</v>
      </c>
      <c r="AB21" s="228">
        <v>1.1499999999999999</v>
      </c>
      <c r="AC21" s="228">
        <v>1</v>
      </c>
      <c r="AD21" s="228">
        <v>0.15</v>
      </c>
      <c r="AE21" s="229">
        <v>1.1999999999999999E-3</v>
      </c>
      <c r="AF21" s="228">
        <v>6.95</v>
      </c>
      <c r="AG21" s="228">
        <v>6.75</v>
      </c>
      <c r="AH21" s="228">
        <v>0.2</v>
      </c>
      <c r="AI21" s="229">
        <v>7.1999999999999998E-3</v>
      </c>
      <c r="AJ21" s="228">
        <v>11.6</v>
      </c>
      <c r="AK21" s="228">
        <v>11.2</v>
      </c>
      <c r="AL21" s="228">
        <v>0.4</v>
      </c>
      <c r="AM21" s="229">
        <v>1.2E-2</v>
      </c>
      <c r="AN21" s="228">
        <v>957.18</v>
      </c>
      <c r="AO21" s="228">
        <v>961.5</v>
      </c>
      <c r="AP21" s="228">
        <v>0</v>
      </c>
      <c r="AQ21" s="230">
        <v>11813</v>
      </c>
      <c r="AR21" s="230">
        <v>11482</v>
      </c>
      <c r="AS21" s="228">
        <v>331</v>
      </c>
      <c r="AT21" s="229">
        <v>2.8799999999999999E-2</v>
      </c>
      <c r="AU21" s="230">
        <v>11173</v>
      </c>
      <c r="AV21" s="230">
        <v>10830</v>
      </c>
      <c r="AW21" s="228">
        <v>343</v>
      </c>
      <c r="AX21" s="229">
        <v>3.1699999999999999E-2</v>
      </c>
      <c r="AY21" s="228">
        <v>554</v>
      </c>
      <c r="AZ21" s="228">
        <v>585</v>
      </c>
      <c r="BA21" s="228">
        <v>-31</v>
      </c>
      <c r="BB21" s="229">
        <v>-5.2999999999999999E-2</v>
      </c>
      <c r="BC21" s="228">
        <v>86</v>
      </c>
      <c r="BD21" s="228">
        <v>67</v>
      </c>
      <c r="BE21" s="228">
        <v>19</v>
      </c>
      <c r="BF21" s="229">
        <v>0.28360000000000002</v>
      </c>
      <c r="BG21" s="230">
        <v>28699</v>
      </c>
      <c r="BH21" s="230">
        <v>31644</v>
      </c>
      <c r="BI21" s="230">
        <v>-2945</v>
      </c>
      <c r="BJ21" s="229">
        <v>-9.3100000000000002E-2</v>
      </c>
      <c r="BK21" s="230">
        <v>18407</v>
      </c>
      <c r="BL21" s="230">
        <v>21144</v>
      </c>
      <c r="BM21" s="230">
        <v>-2737</v>
      </c>
      <c r="BN21" s="229">
        <v>-0.12939999999999999</v>
      </c>
      <c r="BO21" s="230">
        <v>58919</v>
      </c>
      <c r="BP21" s="230">
        <v>64270</v>
      </c>
      <c r="BQ21" s="230">
        <v>-5351</v>
      </c>
      <c r="BR21" s="229">
        <v>-8.3299999999999999E-2</v>
      </c>
      <c r="BS21" s="230">
        <v>4800428</v>
      </c>
      <c r="BT21" s="230">
        <v>4631956</v>
      </c>
      <c r="BU21" s="230">
        <v>168472</v>
      </c>
      <c r="BV21" s="229">
        <v>3.6400000000000002E-2</v>
      </c>
      <c r="BW21" s="230">
        <v>45050600</v>
      </c>
      <c r="BX21" s="230">
        <v>44672600</v>
      </c>
      <c r="BY21" s="230">
        <v>378000</v>
      </c>
      <c r="BZ21" s="229">
        <v>8.5000000000000006E-3</v>
      </c>
      <c r="CA21" s="230">
        <v>37509500</v>
      </c>
      <c r="CB21" s="230">
        <v>37230200</v>
      </c>
      <c r="CC21" s="230">
        <v>279300</v>
      </c>
      <c r="CD21" s="229">
        <v>7.4999999999999997E-3</v>
      </c>
      <c r="CE21" s="230">
        <v>4095700</v>
      </c>
      <c r="CF21" s="230">
        <v>3998400</v>
      </c>
      <c r="CG21" s="230">
        <v>97300</v>
      </c>
      <c r="CH21" s="229">
        <v>2.4299999999999999E-2</v>
      </c>
      <c r="CI21" s="230">
        <v>3445400</v>
      </c>
      <c r="CJ21" s="230">
        <v>3444000</v>
      </c>
      <c r="CK21" s="230">
        <v>1400</v>
      </c>
      <c r="CL21" s="229">
        <v>4.0000000000000002E-4</v>
      </c>
      <c r="CM21" s="230">
        <v>10581200</v>
      </c>
      <c r="CN21" s="230">
        <v>11087300</v>
      </c>
      <c r="CO21" s="230">
        <v>-506100</v>
      </c>
      <c r="CP21" s="229">
        <v>-4.5600000000000002E-2</v>
      </c>
      <c r="CQ21" s="230">
        <v>9531200</v>
      </c>
      <c r="CR21" s="230">
        <v>9618000</v>
      </c>
      <c r="CS21" s="230">
        <v>-86800</v>
      </c>
      <c r="CT21" s="229">
        <v>-8.9999999999999993E-3</v>
      </c>
      <c r="CU21" s="230">
        <v>65163000</v>
      </c>
      <c r="CV21" s="230">
        <v>65377900</v>
      </c>
      <c r="CW21" s="230">
        <v>-214900</v>
      </c>
      <c r="CX21" s="229">
        <v>-3.3E-3</v>
      </c>
      <c r="CY21" s="228">
        <v>36.6</v>
      </c>
      <c r="CZ21" s="228">
        <v>35.93</v>
      </c>
      <c r="DA21" s="228">
        <v>0.67</v>
      </c>
      <c r="DB21" s="228">
        <v>0.67</v>
      </c>
      <c r="DC21" s="228">
        <v>34.96</v>
      </c>
      <c r="DD21" s="228">
        <v>35.020000000000003</v>
      </c>
      <c r="DE21" s="228">
        <v>1.64</v>
      </c>
      <c r="DF21" s="228">
        <v>-0.06</v>
      </c>
      <c r="DG21" s="228">
        <v>35.85</v>
      </c>
      <c r="DH21" s="228">
        <v>35.54</v>
      </c>
      <c r="DI21" s="228">
        <v>0.31</v>
      </c>
      <c r="DJ21" s="228">
        <v>0.31</v>
      </c>
      <c r="DK21" s="228">
        <v>37.770000000000003</v>
      </c>
      <c r="DL21" s="228">
        <v>36.5</v>
      </c>
      <c r="DM21" s="228">
        <v>1.27</v>
      </c>
      <c r="DN21" s="228">
        <v>1.27</v>
      </c>
      <c r="DO21" s="228">
        <v>0.9</v>
      </c>
      <c r="DP21" s="228">
        <v>0.87</v>
      </c>
      <c r="DQ21" s="228">
        <v>0.03</v>
      </c>
      <c r="DR21" s="229">
        <v>3.4500000000000003E-2</v>
      </c>
      <c r="DS21" s="231">
        <v>1000</v>
      </c>
      <c r="DT21" s="228">
        <v>900</v>
      </c>
      <c r="DU21" s="228">
        <v>0.64</v>
      </c>
      <c r="DV21" s="228">
        <v>0.67</v>
      </c>
      <c r="DW21" s="228">
        <v>-0.03</v>
      </c>
      <c r="DX21" s="229">
        <v>-4.48E-2</v>
      </c>
      <c r="DY21" s="229">
        <v>0.16739999999999999</v>
      </c>
      <c r="DZ21" s="230">
        <v>7442400</v>
      </c>
      <c r="EA21" s="229">
        <v>6.0000000000000001E-3</v>
      </c>
      <c r="EB21" s="229">
        <v>0.16739999999999999</v>
      </c>
      <c r="EC21" s="228">
        <v>4.32</v>
      </c>
      <c r="ED21" s="229">
        <v>4.4999999999999997E-3</v>
      </c>
      <c r="EE21" s="230">
        <v>2030539</v>
      </c>
      <c r="EF21" s="230">
        <v>2181489</v>
      </c>
      <c r="EG21" s="229">
        <v>-6.9199999999999998E-2</v>
      </c>
      <c r="EH21" s="229">
        <v>0.42299999999999999</v>
      </c>
      <c r="EI21" s="231">
        <v>202584.9</v>
      </c>
      <c r="EJ21" s="231">
        <v>120865.46</v>
      </c>
      <c r="EK21" s="231">
        <v>79172.19</v>
      </c>
      <c r="EL21" s="231">
        <v>18400</v>
      </c>
      <c r="EM21" s="231">
        <v>402622.55</v>
      </c>
      <c r="EN21" s="231">
        <v>443121.37</v>
      </c>
      <c r="EO21" s="231">
        <v>-40498.82</v>
      </c>
      <c r="EP21" s="229">
        <v>-9.1399999999999995E-2</v>
      </c>
      <c r="EQ21" s="231">
        <v>105942</v>
      </c>
      <c r="ER21" s="231">
        <v>85514</v>
      </c>
      <c r="ES21" s="231">
        <v>437994</v>
      </c>
      <c r="ET21" s="231">
        <v>212176873</v>
      </c>
      <c r="EU21" s="231">
        <v>629450</v>
      </c>
      <c r="EV21" s="231">
        <v>626805</v>
      </c>
      <c r="EW21" s="231">
        <v>2645</v>
      </c>
      <c r="EX21" s="229">
        <v>4.1999999999999997E-3</v>
      </c>
      <c r="EY21" s="229">
        <v>0.30709999999999998</v>
      </c>
    </row>
    <row r="22" spans="1:155" ht="17.25" thickBot="1" x14ac:dyDescent="0.3">
      <c r="A22" s="226">
        <v>46093</v>
      </c>
      <c r="B22" s="227" t="s">
        <v>168</v>
      </c>
      <c r="C22" s="227" t="s">
        <v>230</v>
      </c>
      <c r="D22" s="231">
        <v>2139</v>
      </c>
      <c r="E22" s="231">
        <v>2168.8000000000002</v>
      </c>
      <c r="F22" s="228">
        <v>-29.8</v>
      </c>
      <c r="G22" s="229">
        <v>-1.37E-2</v>
      </c>
      <c r="H22" s="231">
        <v>2136.9</v>
      </c>
      <c r="I22" s="231">
        <v>2161.4</v>
      </c>
      <c r="J22" s="228">
        <v>-24.5</v>
      </c>
      <c r="K22" s="229">
        <v>-1.1299999999999999E-2</v>
      </c>
      <c r="L22" s="231">
        <v>2139</v>
      </c>
      <c r="M22" s="231">
        <v>2168.8000000000002</v>
      </c>
      <c r="N22" s="228">
        <v>-29.8</v>
      </c>
      <c r="O22" s="229">
        <v>-1.37E-2</v>
      </c>
      <c r="P22" s="231">
        <v>2151.1999999999998</v>
      </c>
      <c r="Q22" s="231">
        <v>2181.8000000000002</v>
      </c>
      <c r="R22" s="228">
        <v>-30.6</v>
      </c>
      <c r="S22" s="229">
        <v>-1.4E-2</v>
      </c>
      <c r="T22" s="231">
        <v>2162.1999999999998</v>
      </c>
      <c r="U22" s="231">
        <v>2193.6999999999998</v>
      </c>
      <c r="V22" s="228">
        <v>-31.5</v>
      </c>
      <c r="W22" s="229">
        <v>-1.44E-2</v>
      </c>
      <c r="X22" s="228">
        <v>2.1</v>
      </c>
      <c r="Y22" s="228">
        <v>7.4</v>
      </c>
      <c r="Z22" s="228">
        <v>-5.3</v>
      </c>
      <c r="AA22" s="229">
        <v>1E-3</v>
      </c>
      <c r="AB22" s="228">
        <v>2.1</v>
      </c>
      <c r="AC22" s="228">
        <v>7.4</v>
      </c>
      <c r="AD22" s="228">
        <v>-5.3</v>
      </c>
      <c r="AE22" s="229">
        <v>1E-3</v>
      </c>
      <c r="AF22" s="228">
        <v>14.3</v>
      </c>
      <c r="AG22" s="228">
        <v>20.399999999999999</v>
      </c>
      <c r="AH22" s="228">
        <v>-6.1</v>
      </c>
      <c r="AI22" s="229">
        <v>6.7000000000000002E-3</v>
      </c>
      <c r="AJ22" s="228">
        <v>25.3</v>
      </c>
      <c r="AK22" s="228">
        <v>32.299999999999997</v>
      </c>
      <c r="AL22" s="228">
        <v>-7</v>
      </c>
      <c r="AM22" s="229">
        <v>1.18E-2</v>
      </c>
      <c r="AN22" s="231">
        <v>2135.86</v>
      </c>
      <c r="AO22" s="231">
        <v>2147.77</v>
      </c>
      <c r="AP22" s="228">
        <v>0</v>
      </c>
      <c r="AQ22" s="230">
        <v>5999</v>
      </c>
      <c r="AR22" s="230">
        <v>5167</v>
      </c>
      <c r="AS22" s="228">
        <v>832</v>
      </c>
      <c r="AT22" s="229">
        <v>0.161</v>
      </c>
      <c r="AU22" s="230">
        <v>5139</v>
      </c>
      <c r="AV22" s="230">
        <v>4548</v>
      </c>
      <c r="AW22" s="228">
        <v>591</v>
      </c>
      <c r="AX22" s="229">
        <v>0.12989999999999999</v>
      </c>
      <c r="AY22" s="228">
        <v>745</v>
      </c>
      <c r="AZ22" s="228">
        <v>545</v>
      </c>
      <c r="BA22" s="228">
        <v>200</v>
      </c>
      <c r="BB22" s="229">
        <v>0.36699999999999999</v>
      </c>
      <c r="BC22" s="228">
        <v>115</v>
      </c>
      <c r="BD22" s="228">
        <v>74</v>
      </c>
      <c r="BE22" s="228">
        <v>41</v>
      </c>
      <c r="BF22" s="229">
        <v>0.55410000000000004</v>
      </c>
      <c r="BG22" s="230">
        <v>35064</v>
      </c>
      <c r="BH22" s="230">
        <v>19814</v>
      </c>
      <c r="BI22" s="230">
        <v>15250</v>
      </c>
      <c r="BJ22" s="229">
        <v>0.76970000000000005</v>
      </c>
      <c r="BK22" s="230">
        <v>15683</v>
      </c>
      <c r="BL22" s="230">
        <v>10620</v>
      </c>
      <c r="BM22" s="230">
        <v>5063</v>
      </c>
      <c r="BN22" s="229">
        <v>0.47670000000000001</v>
      </c>
      <c r="BO22" s="230">
        <v>56746</v>
      </c>
      <c r="BP22" s="230">
        <v>35601</v>
      </c>
      <c r="BQ22" s="230">
        <v>21145</v>
      </c>
      <c r="BR22" s="229">
        <v>0.59389999999999998</v>
      </c>
      <c r="BS22" s="230">
        <v>1868074</v>
      </c>
      <c r="BT22" s="230">
        <v>1362256</v>
      </c>
      <c r="BU22" s="230">
        <v>505818</v>
      </c>
      <c r="BV22" s="229">
        <v>0.37130000000000002</v>
      </c>
      <c r="BW22" s="230">
        <v>16306800</v>
      </c>
      <c r="BX22" s="230">
        <v>16301400</v>
      </c>
      <c r="BY22" s="230">
        <v>5400</v>
      </c>
      <c r="BZ22" s="229">
        <v>2.9999999999999997E-4</v>
      </c>
      <c r="CA22" s="230">
        <v>15734400</v>
      </c>
      <c r="CB22" s="230">
        <v>15794400</v>
      </c>
      <c r="CC22" s="230">
        <v>-60000</v>
      </c>
      <c r="CD22" s="229">
        <v>-3.8E-3</v>
      </c>
      <c r="CE22" s="230">
        <v>492300</v>
      </c>
      <c r="CF22" s="230">
        <v>438000</v>
      </c>
      <c r="CG22" s="230">
        <v>54300</v>
      </c>
      <c r="CH22" s="229">
        <v>0.124</v>
      </c>
      <c r="CI22" s="230">
        <v>80100</v>
      </c>
      <c r="CJ22" s="230">
        <v>69000</v>
      </c>
      <c r="CK22" s="230">
        <v>11100</v>
      </c>
      <c r="CL22" s="229">
        <v>0.16089999999999999</v>
      </c>
      <c r="CM22" s="230">
        <v>6921900</v>
      </c>
      <c r="CN22" s="230">
        <v>5933700</v>
      </c>
      <c r="CO22" s="230">
        <v>988200</v>
      </c>
      <c r="CP22" s="229">
        <v>0.16650000000000001</v>
      </c>
      <c r="CQ22" s="230">
        <v>3270300</v>
      </c>
      <c r="CR22" s="230">
        <v>3103500</v>
      </c>
      <c r="CS22" s="230">
        <v>166800</v>
      </c>
      <c r="CT22" s="229">
        <v>5.3699999999999998E-2</v>
      </c>
      <c r="CU22" s="230">
        <v>26499000</v>
      </c>
      <c r="CV22" s="230">
        <v>25338600</v>
      </c>
      <c r="CW22" s="230">
        <v>1160400</v>
      </c>
      <c r="CX22" s="229">
        <v>4.58E-2</v>
      </c>
      <c r="CY22" s="228">
        <v>22.97</v>
      </c>
      <c r="CZ22" s="228">
        <v>23.35</v>
      </c>
      <c r="DA22" s="228">
        <v>-0.38</v>
      </c>
      <c r="DB22" s="228">
        <v>-0.38</v>
      </c>
      <c r="DC22" s="228">
        <v>22.7</v>
      </c>
      <c r="DD22" s="228">
        <v>22.71</v>
      </c>
      <c r="DE22" s="228">
        <v>0.27</v>
      </c>
      <c r="DF22" s="228">
        <v>-0.01</v>
      </c>
      <c r="DG22" s="228">
        <v>22.65</v>
      </c>
      <c r="DH22" s="228">
        <v>23.22</v>
      </c>
      <c r="DI22" s="228">
        <v>-0.56999999999999995</v>
      </c>
      <c r="DJ22" s="228">
        <v>-0.56999999999999995</v>
      </c>
      <c r="DK22" s="228">
        <v>23.68</v>
      </c>
      <c r="DL22" s="228">
        <v>23.57</v>
      </c>
      <c r="DM22" s="228">
        <v>0.11</v>
      </c>
      <c r="DN22" s="228">
        <v>0.11</v>
      </c>
      <c r="DO22" s="228">
        <v>0.47</v>
      </c>
      <c r="DP22" s="228">
        <v>0.52</v>
      </c>
      <c r="DQ22" s="228">
        <v>-0.05</v>
      </c>
      <c r="DR22" s="229">
        <v>-9.6199999999999994E-2</v>
      </c>
      <c r="DS22" s="231">
        <v>2400</v>
      </c>
      <c r="DT22" s="231">
        <v>2000</v>
      </c>
      <c r="DU22" s="228">
        <v>0.45</v>
      </c>
      <c r="DV22" s="228">
        <v>0.54</v>
      </c>
      <c r="DW22" s="228">
        <v>-0.09</v>
      </c>
      <c r="DX22" s="229">
        <v>-0.16669999999999999</v>
      </c>
      <c r="DY22" s="229">
        <v>3.5099999999999999E-2</v>
      </c>
      <c r="DZ22" s="230">
        <v>507000</v>
      </c>
      <c r="EA22" s="229">
        <v>5.7000000000000002E-3</v>
      </c>
      <c r="EB22" s="229">
        <v>3.5099999999999999E-2</v>
      </c>
      <c r="EC22" s="228">
        <v>11.91</v>
      </c>
      <c r="ED22" s="229">
        <v>5.5999999999999999E-3</v>
      </c>
      <c r="EE22" s="230">
        <v>1041373</v>
      </c>
      <c r="EF22" s="230">
        <v>800973</v>
      </c>
      <c r="EG22" s="229">
        <v>0.30009999999999998</v>
      </c>
      <c r="EH22" s="229">
        <v>0.5575</v>
      </c>
      <c r="EI22" s="231">
        <v>237121.15</v>
      </c>
      <c r="EJ22" s="231">
        <v>100564.62</v>
      </c>
      <c r="EK22" s="231">
        <v>38473.67</v>
      </c>
      <c r="EL22" s="231">
        <v>5981</v>
      </c>
      <c r="EM22" s="231">
        <v>376159.44</v>
      </c>
      <c r="EN22" s="231">
        <v>238618.65</v>
      </c>
      <c r="EO22" s="231">
        <v>137540.79</v>
      </c>
      <c r="EP22" s="229">
        <v>0.57640000000000002</v>
      </c>
      <c r="EQ22" s="231">
        <v>161848</v>
      </c>
      <c r="ER22" s="231">
        <v>72063</v>
      </c>
      <c r="ES22" s="231">
        <v>348881</v>
      </c>
      <c r="ET22" s="231">
        <v>91001773</v>
      </c>
      <c r="EU22" s="231">
        <v>582792</v>
      </c>
      <c r="EV22" s="231">
        <v>563175</v>
      </c>
      <c r="EW22" s="231">
        <v>19617</v>
      </c>
      <c r="EX22" s="229">
        <v>3.4799999999999998E-2</v>
      </c>
      <c r="EY22" s="229">
        <v>0.29120000000000001</v>
      </c>
    </row>
    <row r="23" spans="1:155" ht="17.25" thickBot="1" x14ac:dyDescent="0.3">
      <c r="A23" s="226">
        <v>46093</v>
      </c>
      <c r="B23" s="227" t="s">
        <v>172</v>
      </c>
      <c r="C23" s="227" t="s">
        <v>232</v>
      </c>
      <c r="D23" s="231">
        <v>1271.5999999999999</v>
      </c>
      <c r="E23" s="231">
        <v>1296.2</v>
      </c>
      <c r="F23" s="228">
        <v>-24.6</v>
      </c>
      <c r="G23" s="229">
        <v>-1.9E-2</v>
      </c>
      <c r="H23" s="231">
        <v>1266.5</v>
      </c>
      <c r="I23" s="231">
        <v>1294.5999999999999</v>
      </c>
      <c r="J23" s="228">
        <v>-28.1</v>
      </c>
      <c r="K23" s="229">
        <v>-2.1700000000000001E-2</v>
      </c>
      <c r="L23" s="231">
        <v>1271.5999999999999</v>
      </c>
      <c r="M23" s="231">
        <v>1296.2</v>
      </c>
      <c r="N23" s="228">
        <v>-24.6</v>
      </c>
      <c r="O23" s="229">
        <v>-1.9E-2</v>
      </c>
      <c r="P23" s="231">
        <v>1279.5</v>
      </c>
      <c r="Q23" s="231">
        <v>1304.4000000000001</v>
      </c>
      <c r="R23" s="228">
        <v>-24.9</v>
      </c>
      <c r="S23" s="229">
        <v>-1.9099999999999999E-2</v>
      </c>
      <c r="T23" s="231">
        <v>1287.3</v>
      </c>
      <c r="U23" s="231">
        <v>1311.4</v>
      </c>
      <c r="V23" s="228">
        <v>-24.1</v>
      </c>
      <c r="W23" s="229">
        <v>-1.84E-2</v>
      </c>
      <c r="X23" s="228">
        <v>5.0999999999999996</v>
      </c>
      <c r="Y23" s="228">
        <v>1.6</v>
      </c>
      <c r="Z23" s="228">
        <v>3.5</v>
      </c>
      <c r="AA23" s="229">
        <v>4.0000000000000001E-3</v>
      </c>
      <c r="AB23" s="228">
        <v>5.0999999999999996</v>
      </c>
      <c r="AC23" s="228">
        <v>1.6</v>
      </c>
      <c r="AD23" s="228">
        <v>3.5</v>
      </c>
      <c r="AE23" s="229">
        <v>4.0000000000000001E-3</v>
      </c>
      <c r="AF23" s="228">
        <v>13</v>
      </c>
      <c r="AG23" s="228">
        <v>9.8000000000000007</v>
      </c>
      <c r="AH23" s="228">
        <v>3.2</v>
      </c>
      <c r="AI23" s="229">
        <v>1.03E-2</v>
      </c>
      <c r="AJ23" s="228">
        <v>20.8</v>
      </c>
      <c r="AK23" s="228">
        <v>16.8</v>
      </c>
      <c r="AL23" s="228">
        <v>4</v>
      </c>
      <c r="AM23" s="229">
        <v>1.6400000000000001E-2</v>
      </c>
      <c r="AN23" s="231">
        <v>1274.8599999999999</v>
      </c>
      <c r="AO23" s="231">
        <v>1283.9100000000001</v>
      </c>
      <c r="AP23" s="228">
        <v>0</v>
      </c>
      <c r="AQ23" s="230">
        <v>27611</v>
      </c>
      <c r="AR23" s="230">
        <v>20647</v>
      </c>
      <c r="AS23" s="230">
        <v>6964</v>
      </c>
      <c r="AT23" s="229">
        <v>0.33729999999999999</v>
      </c>
      <c r="AU23" s="230">
        <v>23853</v>
      </c>
      <c r="AV23" s="230">
        <v>18638</v>
      </c>
      <c r="AW23" s="230">
        <v>5215</v>
      </c>
      <c r="AX23" s="229">
        <v>0.27979999999999999</v>
      </c>
      <c r="AY23" s="230">
        <v>3588</v>
      </c>
      <c r="AZ23" s="230">
        <v>1808</v>
      </c>
      <c r="BA23" s="230">
        <v>1780</v>
      </c>
      <c r="BB23" s="229">
        <v>0.98450000000000004</v>
      </c>
      <c r="BC23" s="228">
        <v>170</v>
      </c>
      <c r="BD23" s="228">
        <v>201</v>
      </c>
      <c r="BE23" s="228">
        <v>-31</v>
      </c>
      <c r="BF23" s="229">
        <v>-0.1542</v>
      </c>
      <c r="BG23" s="230">
        <v>67418</v>
      </c>
      <c r="BH23" s="230">
        <v>51366</v>
      </c>
      <c r="BI23" s="230">
        <v>16052</v>
      </c>
      <c r="BJ23" s="229">
        <v>0.3125</v>
      </c>
      <c r="BK23" s="230">
        <v>36548</v>
      </c>
      <c r="BL23" s="230">
        <v>34806</v>
      </c>
      <c r="BM23" s="230">
        <v>1742</v>
      </c>
      <c r="BN23" s="229">
        <v>0.05</v>
      </c>
      <c r="BO23" s="230">
        <v>131577</v>
      </c>
      <c r="BP23" s="230">
        <v>106819</v>
      </c>
      <c r="BQ23" s="230">
        <v>24758</v>
      </c>
      <c r="BR23" s="229">
        <v>0.23180000000000001</v>
      </c>
      <c r="BS23" s="230">
        <v>20954757</v>
      </c>
      <c r="BT23" s="230">
        <v>13784412</v>
      </c>
      <c r="BU23" s="230">
        <v>7170345</v>
      </c>
      <c r="BV23" s="229">
        <v>0.5202</v>
      </c>
      <c r="BW23" s="230">
        <v>131178600</v>
      </c>
      <c r="BX23" s="230">
        <v>127845900</v>
      </c>
      <c r="BY23" s="230">
        <v>3332700</v>
      </c>
      <c r="BZ23" s="229">
        <v>2.6100000000000002E-2</v>
      </c>
      <c r="CA23" s="230">
        <v>120179500</v>
      </c>
      <c r="CB23" s="230">
        <v>117513900</v>
      </c>
      <c r="CC23" s="230">
        <v>2665600</v>
      </c>
      <c r="CD23" s="229">
        <v>2.2700000000000001E-2</v>
      </c>
      <c r="CE23" s="230">
        <v>9992500</v>
      </c>
      <c r="CF23" s="230">
        <v>9354100</v>
      </c>
      <c r="CG23" s="230">
        <v>638400</v>
      </c>
      <c r="CH23" s="229">
        <v>6.8199999999999997E-2</v>
      </c>
      <c r="CI23" s="230">
        <v>1006600</v>
      </c>
      <c r="CJ23" s="230">
        <v>977900</v>
      </c>
      <c r="CK23" s="230">
        <v>28700</v>
      </c>
      <c r="CL23" s="229">
        <v>2.93E-2</v>
      </c>
      <c r="CM23" s="230">
        <v>34589100</v>
      </c>
      <c r="CN23" s="230">
        <v>33409600</v>
      </c>
      <c r="CO23" s="230">
        <v>1179500</v>
      </c>
      <c r="CP23" s="229">
        <v>3.5299999999999998E-2</v>
      </c>
      <c r="CQ23" s="230">
        <v>20379100</v>
      </c>
      <c r="CR23" s="230">
        <v>20462400</v>
      </c>
      <c r="CS23" s="230">
        <v>-83300</v>
      </c>
      <c r="CT23" s="229">
        <v>-4.1000000000000003E-3</v>
      </c>
      <c r="CU23" s="230">
        <v>186146800</v>
      </c>
      <c r="CV23" s="230">
        <v>181717900</v>
      </c>
      <c r="CW23" s="230">
        <v>4428900</v>
      </c>
      <c r="CX23" s="229">
        <v>2.4400000000000002E-2</v>
      </c>
      <c r="CY23" s="228">
        <v>25.39</v>
      </c>
      <c r="CZ23" s="228">
        <v>24.61</v>
      </c>
      <c r="DA23" s="228">
        <v>0.78</v>
      </c>
      <c r="DB23" s="228">
        <v>0.78</v>
      </c>
      <c r="DC23" s="228">
        <v>21.93</v>
      </c>
      <c r="DD23" s="228">
        <v>21.78</v>
      </c>
      <c r="DE23" s="228">
        <v>3.46</v>
      </c>
      <c r="DF23" s="228">
        <v>0.15</v>
      </c>
      <c r="DG23" s="228">
        <v>24.86</v>
      </c>
      <c r="DH23" s="228">
        <v>23.79</v>
      </c>
      <c r="DI23" s="228">
        <v>1.07</v>
      </c>
      <c r="DJ23" s="228">
        <v>1.07</v>
      </c>
      <c r="DK23" s="228">
        <v>26.38</v>
      </c>
      <c r="DL23" s="228">
        <v>25.83</v>
      </c>
      <c r="DM23" s="228">
        <v>0.55000000000000004</v>
      </c>
      <c r="DN23" s="228">
        <v>0.55000000000000004</v>
      </c>
      <c r="DO23" s="228">
        <v>0.59</v>
      </c>
      <c r="DP23" s="228">
        <v>0.61</v>
      </c>
      <c r="DQ23" s="228">
        <v>-0.02</v>
      </c>
      <c r="DR23" s="229">
        <v>-3.2800000000000003E-2</v>
      </c>
      <c r="DS23" s="231">
        <v>1400</v>
      </c>
      <c r="DT23" s="231">
        <v>1400</v>
      </c>
      <c r="DU23" s="228">
        <v>0.54</v>
      </c>
      <c r="DV23" s="228">
        <v>0.68</v>
      </c>
      <c r="DW23" s="228">
        <v>-0.14000000000000001</v>
      </c>
      <c r="DX23" s="229">
        <v>-0.2059</v>
      </c>
      <c r="DY23" s="229">
        <v>8.3799999999999999E-2</v>
      </c>
      <c r="DZ23" s="230">
        <v>10332000</v>
      </c>
      <c r="EA23" s="229">
        <v>6.1999999999999998E-3</v>
      </c>
      <c r="EB23" s="229">
        <v>8.3799999999999999E-2</v>
      </c>
      <c r="EC23" s="228">
        <v>9.0500000000000007</v>
      </c>
      <c r="ED23" s="229">
        <v>7.1000000000000004E-3</v>
      </c>
      <c r="EE23" s="230">
        <v>10928595</v>
      </c>
      <c r="EF23" s="230">
        <v>7312230</v>
      </c>
      <c r="EG23" s="229">
        <v>0.49459999999999998</v>
      </c>
      <c r="EH23" s="229">
        <v>0.52149999999999996</v>
      </c>
      <c r="EI23" s="231">
        <v>632876.22</v>
      </c>
      <c r="EJ23" s="231">
        <v>325222.96000000002</v>
      </c>
      <c r="EK23" s="231">
        <v>246647.69</v>
      </c>
      <c r="EL23" s="231">
        <v>28734</v>
      </c>
      <c r="EM23" s="231">
        <v>1204746.8700000001</v>
      </c>
      <c r="EN23" s="231">
        <v>990267.82</v>
      </c>
      <c r="EO23" s="231">
        <v>214479.05</v>
      </c>
      <c r="EP23" s="229">
        <v>0.21659999999999999</v>
      </c>
      <c r="EQ23" s="231">
        <v>474596</v>
      </c>
      <c r="ER23" s="231">
        <v>268043</v>
      </c>
      <c r="ES23" s="231">
        <v>1669015</v>
      </c>
      <c r="ET23" s="231">
        <v>580601807</v>
      </c>
      <c r="EU23" s="231">
        <v>2411653</v>
      </c>
      <c r="EV23" s="231">
        <v>2389245</v>
      </c>
      <c r="EW23" s="231">
        <v>22408</v>
      </c>
      <c r="EX23" s="229">
        <v>9.4000000000000004E-3</v>
      </c>
      <c r="EY23" s="229">
        <v>0.3206</v>
      </c>
    </row>
    <row r="24" spans="1:155" ht="17.25" thickBot="1" x14ac:dyDescent="0.3">
      <c r="A24" s="226">
        <v>46093</v>
      </c>
      <c r="B24" s="227" t="s">
        <v>215</v>
      </c>
      <c r="C24" s="227" t="s">
        <v>238</v>
      </c>
      <c r="D24" s="231">
        <v>4258.1000000000004</v>
      </c>
      <c r="E24" s="231">
        <v>4355.5</v>
      </c>
      <c r="F24" s="228">
        <v>-97.4</v>
      </c>
      <c r="G24" s="229">
        <v>-2.24E-2</v>
      </c>
      <c r="H24" s="231">
        <v>4251.7</v>
      </c>
      <c r="I24" s="231">
        <v>4350.7</v>
      </c>
      <c r="J24" s="228">
        <v>-99</v>
      </c>
      <c r="K24" s="229">
        <v>-2.2800000000000001E-2</v>
      </c>
      <c r="L24" s="231">
        <v>4258.1000000000004</v>
      </c>
      <c r="M24" s="231">
        <v>4355.5</v>
      </c>
      <c r="N24" s="228">
        <v>-97.4</v>
      </c>
      <c r="O24" s="229">
        <v>-2.24E-2</v>
      </c>
      <c r="P24" s="231">
        <v>4284.2</v>
      </c>
      <c r="Q24" s="231">
        <v>4380.5</v>
      </c>
      <c r="R24" s="228">
        <v>-96.3</v>
      </c>
      <c r="S24" s="229">
        <v>-2.1999999999999999E-2</v>
      </c>
      <c r="T24" s="231">
        <v>4310.3999999999996</v>
      </c>
      <c r="U24" s="231">
        <v>4404.3</v>
      </c>
      <c r="V24" s="228">
        <v>-93.9</v>
      </c>
      <c r="W24" s="229">
        <v>-2.1299999999999999E-2</v>
      </c>
      <c r="X24" s="228">
        <v>6.4</v>
      </c>
      <c r="Y24" s="228">
        <v>4.8</v>
      </c>
      <c r="Z24" s="228">
        <v>1.6</v>
      </c>
      <c r="AA24" s="229">
        <v>1.5E-3</v>
      </c>
      <c r="AB24" s="228">
        <v>6.4</v>
      </c>
      <c r="AC24" s="228">
        <v>4.8</v>
      </c>
      <c r="AD24" s="228">
        <v>1.6</v>
      </c>
      <c r="AE24" s="229">
        <v>1.5E-3</v>
      </c>
      <c r="AF24" s="228">
        <v>32.5</v>
      </c>
      <c r="AG24" s="228">
        <v>29.8</v>
      </c>
      <c r="AH24" s="228">
        <v>2.7</v>
      </c>
      <c r="AI24" s="229">
        <v>7.6E-3</v>
      </c>
      <c r="AJ24" s="228">
        <v>58.7</v>
      </c>
      <c r="AK24" s="228">
        <v>53.6</v>
      </c>
      <c r="AL24" s="228">
        <v>5.0999999999999996</v>
      </c>
      <c r="AM24" s="229">
        <v>1.38E-2</v>
      </c>
      <c r="AN24" s="231">
        <v>4261.5600000000004</v>
      </c>
      <c r="AO24" s="231">
        <v>4287.13</v>
      </c>
      <c r="AP24" s="228">
        <v>0</v>
      </c>
      <c r="AQ24" s="230">
        <v>14733</v>
      </c>
      <c r="AR24" s="230">
        <v>22662</v>
      </c>
      <c r="AS24" s="230">
        <v>-7929</v>
      </c>
      <c r="AT24" s="229">
        <v>-0.34989999999999999</v>
      </c>
      <c r="AU24" s="230">
        <v>12328</v>
      </c>
      <c r="AV24" s="230">
        <v>20592</v>
      </c>
      <c r="AW24" s="230">
        <v>-8264</v>
      </c>
      <c r="AX24" s="229">
        <v>-0.40129999999999999</v>
      </c>
      <c r="AY24" s="230">
        <v>1178</v>
      </c>
      <c r="AZ24" s="230">
        <v>1517</v>
      </c>
      <c r="BA24" s="228">
        <v>-339</v>
      </c>
      <c r="BB24" s="229">
        <v>-0.2235</v>
      </c>
      <c r="BC24" s="230">
        <v>1227</v>
      </c>
      <c r="BD24" s="228">
        <v>553</v>
      </c>
      <c r="BE24" s="228">
        <v>674</v>
      </c>
      <c r="BF24" s="229">
        <v>1.2188000000000001</v>
      </c>
      <c r="BG24" s="230">
        <v>44243</v>
      </c>
      <c r="BH24" s="230">
        <v>97529</v>
      </c>
      <c r="BI24" s="230">
        <v>-53286</v>
      </c>
      <c r="BJ24" s="229">
        <v>-0.5464</v>
      </c>
      <c r="BK24" s="230">
        <v>51328</v>
      </c>
      <c r="BL24" s="230">
        <v>82962</v>
      </c>
      <c r="BM24" s="230">
        <v>-31634</v>
      </c>
      <c r="BN24" s="229">
        <v>-0.38129999999999997</v>
      </c>
      <c r="BO24" s="230">
        <v>110304</v>
      </c>
      <c r="BP24" s="230">
        <v>203153</v>
      </c>
      <c r="BQ24" s="230">
        <v>-92849</v>
      </c>
      <c r="BR24" s="229">
        <v>-0.45700000000000002</v>
      </c>
      <c r="BS24" s="230">
        <v>1657768</v>
      </c>
      <c r="BT24" s="230">
        <v>2784597</v>
      </c>
      <c r="BU24" s="230">
        <v>-1126829</v>
      </c>
      <c r="BV24" s="229">
        <v>-0.4047</v>
      </c>
      <c r="BW24" s="230">
        <v>9673650</v>
      </c>
      <c r="BX24" s="230">
        <v>9686100</v>
      </c>
      <c r="BY24" s="230">
        <v>-12450</v>
      </c>
      <c r="BZ24" s="229">
        <v>-1.2999999999999999E-3</v>
      </c>
      <c r="CA24" s="230">
        <v>8661300</v>
      </c>
      <c r="CB24" s="230">
        <v>8692800</v>
      </c>
      <c r="CC24" s="230">
        <v>-31500</v>
      </c>
      <c r="CD24" s="229">
        <v>-3.5999999999999999E-3</v>
      </c>
      <c r="CE24" s="230">
        <v>621150</v>
      </c>
      <c r="CF24" s="230">
        <v>606000</v>
      </c>
      <c r="CG24" s="230">
        <v>15150</v>
      </c>
      <c r="CH24" s="229">
        <v>2.5000000000000001E-2</v>
      </c>
      <c r="CI24" s="230">
        <v>391200</v>
      </c>
      <c r="CJ24" s="230">
        <v>387300</v>
      </c>
      <c r="CK24" s="230">
        <v>3900</v>
      </c>
      <c r="CL24" s="229">
        <v>1.01E-2</v>
      </c>
      <c r="CM24" s="230">
        <v>7901400</v>
      </c>
      <c r="CN24" s="230">
        <v>7673100</v>
      </c>
      <c r="CO24" s="230">
        <v>228300</v>
      </c>
      <c r="CP24" s="229">
        <v>2.98E-2</v>
      </c>
      <c r="CQ24" s="230">
        <v>4338450</v>
      </c>
      <c r="CR24" s="230">
        <v>4577100</v>
      </c>
      <c r="CS24" s="230">
        <v>-238650</v>
      </c>
      <c r="CT24" s="229">
        <v>-5.21E-2</v>
      </c>
      <c r="CU24" s="230">
        <v>21913500</v>
      </c>
      <c r="CV24" s="230">
        <v>21936300</v>
      </c>
      <c r="CW24" s="230">
        <v>-22800</v>
      </c>
      <c r="CX24" s="229">
        <v>-1E-3</v>
      </c>
      <c r="CY24" s="228">
        <v>41.2</v>
      </c>
      <c r="CZ24" s="228">
        <v>40.020000000000003</v>
      </c>
      <c r="DA24" s="228">
        <v>1.18</v>
      </c>
      <c r="DB24" s="228">
        <v>1.18</v>
      </c>
      <c r="DC24" s="228">
        <v>35.33</v>
      </c>
      <c r="DD24" s="228">
        <v>35.28</v>
      </c>
      <c r="DE24" s="228">
        <v>5.87</v>
      </c>
      <c r="DF24" s="228">
        <v>0.05</v>
      </c>
      <c r="DG24" s="228">
        <v>38.39</v>
      </c>
      <c r="DH24" s="228">
        <v>37.1</v>
      </c>
      <c r="DI24" s="228">
        <v>1.29</v>
      </c>
      <c r="DJ24" s="228">
        <v>1.29</v>
      </c>
      <c r="DK24" s="228">
        <v>43.63</v>
      </c>
      <c r="DL24" s="228">
        <v>43.46</v>
      </c>
      <c r="DM24" s="228">
        <v>0.17</v>
      </c>
      <c r="DN24" s="228">
        <v>0.17</v>
      </c>
      <c r="DO24" s="228">
        <v>0.55000000000000004</v>
      </c>
      <c r="DP24" s="228">
        <v>0.6</v>
      </c>
      <c r="DQ24" s="228">
        <v>-0.05</v>
      </c>
      <c r="DR24" s="229">
        <v>-8.3299999999999999E-2</v>
      </c>
      <c r="DS24" s="231">
        <v>4400</v>
      </c>
      <c r="DT24" s="231">
        <v>4000</v>
      </c>
      <c r="DU24" s="228">
        <v>1.1599999999999999</v>
      </c>
      <c r="DV24" s="228">
        <v>0.85</v>
      </c>
      <c r="DW24" s="228">
        <v>0.31</v>
      </c>
      <c r="DX24" s="229">
        <v>0.36470000000000002</v>
      </c>
      <c r="DY24" s="229">
        <v>0.1047</v>
      </c>
      <c r="DZ24" s="230">
        <v>993300</v>
      </c>
      <c r="EA24" s="229">
        <v>6.1000000000000004E-3</v>
      </c>
      <c r="EB24" s="229">
        <v>0.1047</v>
      </c>
      <c r="EC24" s="228">
        <v>25.57</v>
      </c>
      <c r="ED24" s="229">
        <v>6.0000000000000001E-3</v>
      </c>
      <c r="EE24" s="230">
        <v>761618</v>
      </c>
      <c r="EF24" s="230">
        <v>1203674</v>
      </c>
      <c r="EG24" s="229">
        <v>-0.36730000000000002</v>
      </c>
      <c r="EH24" s="229">
        <v>0.45939999999999998</v>
      </c>
      <c r="EI24" s="231">
        <v>306808.52</v>
      </c>
      <c r="EJ24" s="231">
        <v>324818.07</v>
      </c>
      <c r="EK24" s="231">
        <v>94327.61</v>
      </c>
      <c r="EL24" s="231">
        <v>23854</v>
      </c>
      <c r="EM24" s="231">
        <v>725954.2</v>
      </c>
      <c r="EN24" s="231">
        <v>1379284.89</v>
      </c>
      <c r="EO24" s="231">
        <v>-653330.68999999994</v>
      </c>
      <c r="EP24" s="229">
        <v>-0.47370000000000001</v>
      </c>
      <c r="EQ24" s="231">
        <v>369901</v>
      </c>
      <c r="ER24" s="231">
        <v>189572</v>
      </c>
      <c r="ES24" s="231">
        <v>412280</v>
      </c>
      <c r="ET24" s="231">
        <v>33874835</v>
      </c>
      <c r="EU24" s="231">
        <v>971753</v>
      </c>
      <c r="EV24" s="231">
        <v>981329</v>
      </c>
      <c r="EW24" s="231">
        <v>-9576</v>
      </c>
      <c r="EX24" s="229">
        <v>-9.7999999999999997E-3</v>
      </c>
      <c r="EY24" s="229">
        <v>0.64690000000000003</v>
      </c>
    </row>
    <row r="25" spans="1:155" ht="17.25" thickBot="1" x14ac:dyDescent="0.3">
      <c r="A25" s="226">
        <v>46093</v>
      </c>
      <c r="B25" s="227" t="s">
        <v>221</v>
      </c>
      <c r="C25" s="227" t="s">
        <v>240</v>
      </c>
      <c r="D25" s="231">
        <v>1270.2</v>
      </c>
      <c r="E25" s="231">
        <v>1278.3</v>
      </c>
      <c r="F25" s="228">
        <v>-8.1</v>
      </c>
      <c r="G25" s="229">
        <v>-6.3E-3</v>
      </c>
      <c r="H25" s="231">
        <v>1265.8</v>
      </c>
      <c r="I25" s="231">
        <v>1276.3</v>
      </c>
      <c r="J25" s="228">
        <v>-10.5</v>
      </c>
      <c r="K25" s="229">
        <v>-8.2000000000000007E-3</v>
      </c>
      <c r="L25" s="231">
        <v>1270.2</v>
      </c>
      <c r="M25" s="231">
        <v>1278.3</v>
      </c>
      <c r="N25" s="228">
        <v>-8.1</v>
      </c>
      <c r="O25" s="229">
        <v>-6.3E-3</v>
      </c>
      <c r="P25" s="231">
        <v>1275.5999999999999</v>
      </c>
      <c r="Q25" s="231">
        <v>1283.4000000000001</v>
      </c>
      <c r="R25" s="228">
        <v>-7.8</v>
      </c>
      <c r="S25" s="229">
        <v>-6.1000000000000004E-3</v>
      </c>
      <c r="T25" s="231">
        <v>1277.8</v>
      </c>
      <c r="U25" s="231">
        <v>1288.4000000000001</v>
      </c>
      <c r="V25" s="228">
        <v>-10.6</v>
      </c>
      <c r="W25" s="229">
        <v>-8.2000000000000007E-3</v>
      </c>
      <c r="X25" s="228">
        <v>4.4000000000000004</v>
      </c>
      <c r="Y25" s="228">
        <v>2</v>
      </c>
      <c r="Z25" s="228">
        <v>2.4</v>
      </c>
      <c r="AA25" s="229">
        <v>3.5000000000000001E-3</v>
      </c>
      <c r="AB25" s="228">
        <v>4.4000000000000004</v>
      </c>
      <c r="AC25" s="228">
        <v>2</v>
      </c>
      <c r="AD25" s="228">
        <v>2.4</v>
      </c>
      <c r="AE25" s="229">
        <v>3.5000000000000001E-3</v>
      </c>
      <c r="AF25" s="228">
        <v>9.8000000000000007</v>
      </c>
      <c r="AG25" s="228">
        <v>7.1</v>
      </c>
      <c r="AH25" s="228">
        <v>2.7</v>
      </c>
      <c r="AI25" s="229">
        <v>7.7000000000000002E-3</v>
      </c>
      <c r="AJ25" s="228">
        <v>12</v>
      </c>
      <c r="AK25" s="228">
        <v>12.1</v>
      </c>
      <c r="AL25" s="228">
        <v>-0.1</v>
      </c>
      <c r="AM25" s="229">
        <v>9.4999999999999998E-3</v>
      </c>
      <c r="AN25" s="231">
        <v>1270.69</v>
      </c>
      <c r="AO25" s="231">
        <v>1276.68</v>
      </c>
      <c r="AP25" s="228">
        <v>0</v>
      </c>
      <c r="AQ25" s="230">
        <v>28209</v>
      </c>
      <c r="AR25" s="230">
        <v>21048</v>
      </c>
      <c r="AS25" s="230">
        <v>7161</v>
      </c>
      <c r="AT25" s="229">
        <v>0.3402</v>
      </c>
      <c r="AU25" s="230">
        <v>22018</v>
      </c>
      <c r="AV25" s="230">
        <v>18631</v>
      </c>
      <c r="AW25" s="230">
        <v>3387</v>
      </c>
      <c r="AX25" s="229">
        <v>0.18179999999999999</v>
      </c>
      <c r="AY25" s="230">
        <v>5935</v>
      </c>
      <c r="AZ25" s="230">
        <v>2143</v>
      </c>
      <c r="BA25" s="230">
        <v>3792</v>
      </c>
      <c r="BB25" s="229">
        <v>1.7695000000000001</v>
      </c>
      <c r="BC25" s="228">
        <v>256</v>
      </c>
      <c r="BD25" s="228">
        <v>274</v>
      </c>
      <c r="BE25" s="228">
        <v>-18</v>
      </c>
      <c r="BF25" s="229">
        <v>-6.5699999999999995E-2</v>
      </c>
      <c r="BG25" s="230">
        <v>69517</v>
      </c>
      <c r="BH25" s="230">
        <v>59883</v>
      </c>
      <c r="BI25" s="230">
        <v>9634</v>
      </c>
      <c r="BJ25" s="229">
        <v>0.16089999999999999</v>
      </c>
      <c r="BK25" s="230">
        <v>36325</v>
      </c>
      <c r="BL25" s="230">
        <v>35065</v>
      </c>
      <c r="BM25" s="230">
        <v>1260</v>
      </c>
      <c r="BN25" s="229">
        <v>3.5900000000000001E-2</v>
      </c>
      <c r="BO25" s="230">
        <v>134051</v>
      </c>
      <c r="BP25" s="230">
        <v>115996</v>
      </c>
      <c r="BQ25" s="230">
        <v>18055</v>
      </c>
      <c r="BR25" s="229">
        <v>0.15570000000000001</v>
      </c>
      <c r="BS25" s="230">
        <v>8278203</v>
      </c>
      <c r="BT25" s="230">
        <v>8456867</v>
      </c>
      <c r="BU25" s="230">
        <v>-178664</v>
      </c>
      <c r="BV25" s="229">
        <v>-2.1100000000000001E-2</v>
      </c>
      <c r="BW25" s="230">
        <v>78263200</v>
      </c>
      <c r="BX25" s="230">
        <v>78864000</v>
      </c>
      <c r="BY25" s="230">
        <v>-600800</v>
      </c>
      <c r="BZ25" s="229">
        <v>-7.6E-3</v>
      </c>
      <c r="CA25" s="230">
        <v>70228800</v>
      </c>
      <c r="CB25" s="230">
        <v>72383600</v>
      </c>
      <c r="CC25" s="230">
        <v>-2154800</v>
      </c>
      <c r="CD25" s="229">
        <v>-2.98E-2</v>
      </c>
      <c r="CE25" s="230">
        <v>6439200</v>
      </c>
      <c r="CF25" s="230">
        <v>4894800</v>
      </c>
      <c r="CG25" s="230">
        <v>1544400</v>
      </c>
      <c r="CH25" s="229">
        <v>0.3155</v>
      </c>
      <c r="CI25" s="230">
        <v>1595200</v>
      </c>
      <c r="CJ25" s="230">
        <v>1585600</v>
      </c>
      <c r="CK25" s="230">
        <v>9600</v>
      </c>
      <c r="CL25" s="229">
        <v>6.1000000000000004E-3</v>
      </c>
      <c r="CM25" s="230">
        <v>41625600</v>
      </c>
      <c r="CN25" s="230">
        <v>41637600</v>
      </c>
      <c r="CO25" s="230">
        <v>-12000</v>
      </c>
      <c r="CP25" s="229">
        <v>-2.9999999999999997E-4</v>
      </c>
      <c r="CQ25" s="230">
        <v>19366400</v>
      </c>
      <c r="CR25" s="230">
        <v>19520000</v>
      </c>
      <c r="CS25" s="230">
        <v>-153600</v>
      </c>
      <c r="CT25" s="229">
        <v>-7.9000000000000008E-3</v>
      </c>
      <c r="CU25" s="230">
        <v>139255200</v>
      </c>
      <c r="CV25" s="230">
        <v>140021600</v>
      </c>
      <c r="CW25" s="230">
        <v>-766400</v>
      </c>
      <c r="CX25" s="229">
        <v>-5.4999999999999997E-3</v>
      </c>
      <c r="CY25" s="228">
        <v>34.5</v>
      </c>
      <c r="CZ25" s="228">
        <v>35.270000000000003</v>
      </c>
      <c r="DA25" s="228">
        <v>-0.77</v>
      </c>
      <c r="DB25" s="228">
        <v>-0.77</v>
      </c>
      <c r="DC25" s="228">
        <v>30.55</v>
      </c>
      <c r="DD25" s="228">
        <v>30.61</v>
      </c>
      <c r="DE25" s="228">
        <v>3.95</v>
      </c>
      <c r="DF25" s="228">
        <v>-0.06</v>
      </c>
      <c r="DG25" s="228">
        <v>33.520000000000003</v>
      </c>
      <c r="DH25" s="228">
        <v>33.909999999999997</v>
      </c>
      <c r="DI25" s="228">
        <v>-0.39</v>
      </c>
      <c r="DJ25" s="228">
        <v>-0.39</v>
      </c>
      <c r="DK25" s="228">
        <v>36.380000000000003</v>
      </c>
      <c r="DL25" s="228">
        <v>37.58</v>
      </c>
      <c r="DM25" s="228">
        <v>-1.2</v>
      </c>
      <c r="DN25" s="228">
        <v>-1.2</v>
      </c>
      <c r="DO25" s="228">
        <v>0.47</v>
      </c>
      <c r="DP25" s="228">
        <v>0.47</v>
      </c>
      <c r="DQ25" s="228">
        <v>0</v>
      </c>
      <c r="DR25" s="229">
        <v>0</v>
      </c>
      <c r="DS25" s="231">
        <v>1400</v>
      </c>
      <c r="DT25" s="231">
        <v>1280</v>
      </c>
      <c r="DU25" s="228">
        <v>0.52</v>
      </c>
      <c r="DV25" s="228">
        <v>0.59</v>
      </c>
      <c r="DW25" s="228">
        <v>-7.0000000000000007E-2</v>
      </c>
      <c r="DX25" s="229">
        <v>-0.1186</v>
      </c>
      <c r="DY25" s="229">
        <v>0.1027</v>
      </c>
      <c r="DZ25" s="230">
        <v>6480400</v>
      </c>
      <c r="EA25" s="229">
        <v>4.3E-3</v>
      </c>
      <c r="EB25" s="229">
        <v>0.1027</v>
      </c>
      <c r="EC25" s="228">
        <v>5.99</v>
      </c>
      <c r="ED25" s="229">
        <v>4.7000000000000002E-3</v>
      </c>
      <c r="EE25" s="230">
        <v>3595282</v>
      </c>
      <c r="EF25" s="230">
        <v>4050436</v>
      </c>
      <c r="EG25" s="229">
        <v>-0.1124</v>
      </c>
      <c r="EH25" s="229">
        <v>0.43430000000000002</v>
      </c>
      <c r="EI25" s="231">
        <v>385694.31</v>
      </c>
      <c r="EJ25" s="231">
        <v>182048.85</v>
      </c>
      <c r="EK25" s="231">
        <v>143532.24</v>
      </c>
      <c r="EL25" s="231">
        <v>25014</v>
      </c>
      <c r="EM25" s="231">
        <v>711275.4</v>
      </c>
      <c r="EN25" s="231">
        <v>618493.48</v>
      </c>
      <c r="EO25" s="231">
        <v>92781.92</v>
      </c>
      <c r="EP25" s="229">
        <v>0.15</v>
      </c>
      <c r="EQ25" s="231">
        <v>591425</v>
      </c>
      <c r="ER25" s="231">
        <v>250499</v>
      </c>
      <c r="ES25" s="231">
        <v>994568</v>
      </c>
      <c r="ET25" s="231">
        <v>368703409</v>
      </c>
      <c r="EU25" s="231">
        <v>1836492</v>
      </c>
      <c r="EV25" s="231">
        <v>1855091</v>
      </c>
      <c r="EW25" s="231">
        <v>-18599</v>
      </c>
      <c r="EX25" s="229">
        <v>-0.01</v>
      </c>
      <c r="EY25" s="229">
        <v>0.37769999999999998</v>
      </c>
    </row>
    <row r="26" spans="1:155" ht="17.25" thickBot="1" x14ac:dyDescent="0.3">
      <c r="A26" s="226">
        <v>46093</v>
      </c>
      <c r="B26" s="227" t="s">
        <v>168</v>
      </c>
      <c r="C26" s="227" t="s">
        <v>242</v>
      </c>
      <c r="D26" s="228">
        <v>304.95</v>
      </c>
      <c r="E26" s="228">
        <v>309.35000000000002</v>
      </c>
      <c r="F26" s="228">
        <v>-4.4000000000000004</v>
      </c>
      <c r="G26" s="229">
        <v>-1.4200000000000001E-2</v>
      </c>
      <c r="H26" s="228">
        <v>304.10000000000002</v>
      </c>
      <c r="I26" s="228">
        <v>309</v>
      </c>
      <c r="J26" s="228">
        <v>-4.9000000000000004</v>
      </c>
      <c r="K26" s="229">
        <v>-1.5900000000000001E-2</v>
      </c>
      <c r="L26" s="228">
        <v>304.95</v>
      </c>
      <c r="M26" s="228">
        <v>309.35000000000002</v>
      </c>
      <c r="N26" s="228">
        <v>-4.4000000000000004</v>
      </c>
      <c r="O26" s="229">
        <v>-1.4200000000000001E-2</v>
      </c>
      <c r="P26" s="228">
        <v>307</v>
      </c>
      <c r="Q26" s="228">
        <v>311.25</v>
      </c>
      <c r="R26" s="228">
        <v>-4.25</v>
      </c>
      <c r="S26" s="229">
        <v>-1.37E-2</v>
      </c>
      <c r="T26" s="228">
        <v>308.60000000000002</v>
      </c>
      <c r="U26" s="228">
        <v>312.7</v>
      </c>
      <c r="V26" s="228">
        <v>-4.0999999999999996</v>
      </c>
      <c r="W26" s="229">
        <v>-1.3100000000000001E-2</v>
      </c>
      <c r="X26" s="228">
        <v>0.85</v>
      </c>
      <c r="Y26" s="228">
        <v>0.35</v>
      </c>
      <c r="Z26" s="228">
        <v>0.5</v>
      </c>
      <c r="AA26" s="229">
        <v>2.8E-3</v>
      </c>
      <c r="AB26" s="228">
        <v>0.85</v>
      </c>
      <c r="AC26" s="228">
        <v>0.35</v>
      </c>
      <c r="AD26" s="228">
        <v>0.5</v>
      </c>
      <c r="AE26" s="229">
        <v>2.8E-3</v>
      </c>
      <c r="AF26" s="228">
        <v>2.9</v>
      </c>
      <c r="AG26" s="228">
        <v>2.25</v>
      </c>
      <c r="AH26" s="228">
        <v>0.65</v>
      </c>
      <c r="AI26" s="229">
        <v>9.4999999999999998E-3</v>
      </c>
      <c r="AJ26" s="228">
        <v>4.5</v>
      </c>
      <c r="AK26" s="228">
        <v>3.7</v>
      </c>
      <c r="AL26" s="228">
        <v>0.8</v>
      </c>
      <c r="AM26" s="229">
        <v>1.4800000000000001E-2</v>
      </c>
      <c r="AN26" s="228">
        <v>306.42</v>
      </c>
      <c r="AO26" s="228">
        <v>308.29000000000002</v>
      </c>
      <c r="AP26" s="228">
        <v>0</v>
      </c>
      <c r="AQ26" s="230">
        <v>9138</v>
      </c>
      <c r="AR26" s="230">
        <v>6860</v>
      </c>
      <c r="AS26" s="230">
        <v>2278</v>
      </c>
      <c r="AT26" s="229">
        <v>0.33210000000000001</v>
      </c>
      <c r="AU26" s="230">
        <v>7554</v>
      </c>
      <c r="AV26" s="230">
        <v>5976</v>
      </c>
      <c r="AW26" s="230">
        <v>1578</v>
      </c>
      <c r="AX26" s="229">
        <v>0.2641</v>
      </c>
      <c r="AY26" s="230">
        <v>1307</v>
      </c>
      <c r="AZ26" s="228">
        <v>740</v>
      </c>
      <c r="BA26" s="228">
        <v>567</v>
      </c>
      <c r="BB26" s="229">
        <v>0.76619999999999999</v>
      </c>
      <c r="BC26" s="228">
        <v>277</v>
      </c>
      <c r="BD26" s="228">
        <v>144</v>
      </c>
      <c r="BE26" s="228">
        <v>133</v>
      </c>
      <c r="BF26" s="229">
        <v>0.92359999999999998</v>
      </c>
      <c r="BG26" s="230">
        <v>44227</v>
      </c>
      <c r="BH26" s="230">
        <v>27284</v>
      </c>
      <c r="BI26" s="230">
        <v>16943</v>
      </c>
      <c r="BJ26" s="229">
        <v>0.621</v>
      </c>
      <c r="BK26" s="230">
        <v>15417</v>
      </c>
      <c r="BL26" s="230">
        <v>11356</v>
      </c>
      <c r="BM26" s="230">
        <v>4061</v>
      </c>
      <c r="BN26" s="229">
        <v>0.35759999999999997</v>
      </c>
      <c r="BO26" s="230">
        <v>68782</v>
      </c>
      <c r="BP26" s="230">
        <v>45500</v>
      </c>
      <c r="BQ26" s="230">
        <v>23282</v>
      </c>
      <c r="BR26" s="229">
        <v>0.51170000000000004</v>
      </c>
      <c r="BS26" s="230">
        <v>23770827</v>
      </c>
      <c r="BT26" s="230">
        <v>15520255</v>
      </c>
      <c r="BU26" s="230">
        <v>8250572</v>
      </c>
      <c r="BV26" s="229">
        <v>0.53159999999999996</v>
      </c>
      <c r="BW26" s="230">
        <v>168619200</v>
      </c>
      <c r="BX26" s="230">
        <v>169563200</v>
      </c>
      <c r="BY26" s="230">
        <v>-944000</v>
      </c>
      <c r="BZ26" s="229">
        <v>-5.5999999999999999E-3</v>
      </c>
      <c r="CA26" s="230">
        <v>154356800</v>
      </c>
      <c r="CB26" s="230">
        <v>155833600</v>
      </c>
      <c r="CC26" s="230">
        <v>-1476800</v>
      </c>
      <c r="CD26" s="229">
        <v>-9.4999999999999998E-3</v>
      </c>
      <c r="CE26" s="230">
        <v>12622400</v>
      </c>
      <c r="CF26" s="230">
        <v>12308800</v>
      </c>
      <c r="CG26" s="230">
        <v>313600</v>
      </c>
      <c r="CH26" s="229">
        <v>2.5499999999999998E-2</v>
      </c>
      <c r="CI26" s="230">
        <v>1640000</v>
      </c>
      <c r="CJ26" s="230">
        <v>1420800</v>
      </c>
      <c r="CK26" s="230">
        <v>219200</v>
      </c>
      <c r="CL26" s="229">
        <v>0.15429999999999999</v>
      </c>
      <c r="CM26" s="230">
        <v>121761600</v>
      </c>
      <c r="CN26" s="230">
        <v>119574400</v>
      </c>
      <c r="CO26" s="230">
        <v>2187200</v>
      </c>
      <c r="CP26" s="229">
        <v>1.83E-2</v>
      </c>
      <c r="CQ26" s="230">
        <v>54900800</v>
      </c>
      <c r="CR26" s="230">
        <v>53118400</v>
      </c>
      <c r="CS26" s="230">
        <v>1782400</v>
      </c>
      <c r="CT26" s="229">
        <v>3.3599999999999998E-2</v>
      </c>
      <c r="CU26" s="230">
        <v>345281600</v>
      </c>
      <c r="CV26" s="230">
        <v>342256000</v>
      </c>
      <c r="CW26" s="230">
        <v>3025600</v>
      </c>
      <c r="CX26" s="229">
        <v>8.8000000000000005E-3</v>
      </c>
      <c r="CY26" s="228">
        <v>23.48</v>
      </c>
      <c r="CZ26" s="228">
        <v>22</v>
      </c>
      <c r="DA26" s="228">
        <v>1.48</v>
      </c>
      <c r="DB26" s="228">
        <v>1.48</v>
      </c>
      <c r="DC26" s="228">
        <v>24.24</v>
      </c>
      <c r="DD26" s="228">
        <v>24.21</v>
      </c>
      <c r="DE26" s="228">
        <v>-0.76</v>
      </c>
      <c r="DF26" s="228">
        <v>0.03</v>
      </c>
      <c r="DG26" s="228">
        <v>23.77</v>
      </c>
      <c r="DH26" s="228">
        <v>22.23</v>
      </c>
      <c r="DI26" s="228">
        <v>1.54</v>
      </c>
      <c r="DJ26" s="228">
        <v>1.54</v>
      </c>
      <c r="DK26" s="228">
        <v>22.64</v>
      </c>
      <c r="DL26" s="228">
        <v>21.44</v>
      </c>
      <c r="DM26" s="228">
        <v>1.2</v>
      </c>
      <c r="DN26" s="228">
        <v>1.2</v>
      </c>
      <c r="DO26" s="228">
        <v>0.45</v>
      </c>
      <c r="DP26" s="228">
        <v>0.44</v>
      </c>
      <c r="DQ26" s="228">
        <v>0.01</v>
      </c>
      <c r="DR26" s="229">
        <v>2.2700000000000001E-2</v>
      </c>
      <c r="DS26" s="228">
        <v>320</v>
      </c>
      <c r="DT26" s="228">
        <v>320</v>
      </c>
      <c r="DU26" s="228">
        <v>0.35</v>
      </c>
      <c r="DV26" s="228">
        <v>0.42</v>
      </c>
      <c r="DW26" s="228">
        <v>-7.0000000000000007E-2</v>
      </c>
      <c r="DX26" s="229">
        <v>-0.16669999999999999</v>
      </c>
      <c r="DY26" s="229">
        <v>8.4599999999999995E-2</v>
      </c>
      <c r="DZ26" s="230">
        <v>13729600</v>
      </c>
      <c r="EA26" s="229">
        <v>6.7000000000000002E-3</v>
      </c>
      <c r="EB26" s="229">
        <v>8.4599999999999995E-2</v>
      </c>
      <c r="EC26" s="228">
        <v>1.87</v>
      </c>
      <c r="ED26" s="229">
        <v>6.1000000000000004E-3</v>
      </c>
      <c r="EE26" s="230">
        <v>13483016</v>
      </c>
      <c r="EF26" s="230">
        <v>10008732</v>
      </c>
      <c r="EG26" s="229">
        <v>0.34710000000000002</v>
      </c>
      <c r="EH26" s="229">
        <v>0.56720000000000004</v>
      </c>
      <c r="EI26" s="231">
        <v>229408.05</v>
      </c>
      <c r="EJ26" s="231">
        <v>76591.72</v>
      </c>
      <c r="EK26" s="231">
        <v>44854.32</v>
      </c>
      <c r="EL26" s="231">
        <v>8841</v>
      </c>
      <c r="EM26" s="231">
        <v>350854.09</v>
      </c>
      <c r="EN26" s="231">
        <v>232490.67</v>
      </c>
      <c r="EO26" s="231">
        <v>118363.42</v>
      </c>
      <c r="EP26" s="229">
        <v>0.5091</v>
      </c>
      <c r="EQ26" s="231">
        <v>404671</v>
      </c>
      <c r="ER26" s="231">
        <v>175446</v>
      </c>
      <c r="ES26" s="231">
        <v>514523</v>
      </c>
      <c r="ET26" s="231">
        <v>1252401670</v>
      </c>
      <c r="EU26" s="231">
        <v>1094640</v>
      </c>
      <c r="EV26" s="231">
        <v>1093515</v>
      </c>
      <c r="EW26" s="231">
        <v>1125</v>
      </c>
      <c r="EX26" s="229">
        <v>1E-3</v>
      </c>
      <c r="EY26" s="229">
        <v>0.2757</v>
      </c>
    </row>
    <row r="27" spans="1:155" ht="17.25" thickBot="1" x14ac:dyDescent="0.3">
      <c r="A27" s="226">
        <v>46093</v>
      </c>
      <c r="B27" s="227" t="s">
        <v>175</v>
      </c>
      <c r="C27" s="227" t="s">
        <v>570</v>
      </c>
      <c r="D27" s="228">
        <v>242.65</v>
      </c>
      <c r="E27" s="228">
        <v>238.9</v>
      </c>
      <c r="F27" s="228">
        <v>3.75</v>
      </c>
      <c r="G27" s="229">
        <v>1.5699999999999999E-2</v>
      </c>
      <c r="H27" s="228">
        <v>242.2</v>
      </c>
      <c r="I27" s="228">
        <v>238.7</v>
      </c>
      <c r="J27" s="228">
        <v>3.5</v>
      </c>
      <c r="K27" s="229">
        <v>1.47E-2</v>
      </c>
      <c r="L27" s="228">
        <v>242.65</v>
      </c>
      <c r="M27" s="228">
        <v>238.9</v>
      </c>
      <c r="N27" s="228">
        <v>3.75</v>
      </c>
      <c r="O27" s="229">
        <v>1.5699999999999999E-2</v>
      </c>
      <c r="P27" s="228">
        <v>244.2</v>
      </c>
      <c r="Q27" s="228">
        <v>240.45</v>
      </c>
      <c r="R27" s="228">
        <v>3.75</v>
      </c>
      <c r="S27" s="229">
        <v>1.5599999999999999E-2</v>
      </c>
      <c r="T27" s="228">
        <v>245.35</v>
      </c>
      <c r="U27" s="228">
        <v>241.8</v>
      </c>
      <c r="V27" s="228">
        <v>3.55</v>
      </c>
      <c r="W27" s="229">
        <v>1.47E-2</v>
      </c>
      <c r="X27" s="228">
        <v>0.45</v>
      </c>
      <c r="Y27" s="228">
        <v>0.2</v>
      </c>
      <c r="Z27" s="228">
        <v>0.25</v>
      </c>
      <c r="AA27" s="229">
        <v>1.9E-3</v>
      </c>
      <c r="AB27" s="228">
        <v>0.45</v>
      </c>
      <c r="AC27" s="228">
        <v>0.2</v>
      </c>
      <c r="AD27" s="228">
        <v>0.25</v>
      </c>
      <c r="AE27" s="229">
        <v>1.9E-3</v>
      </c>
      <c r="AF27" s="228">
        <v>2</v>
      </c>
      <c r="AG27" s="228">
        <v>1.75</v>
      </c>
      <c r="AH27" s="228">
        <v>0.25</v>
      </c>
      <c r="AI27" s="229">
        <v>8.3000000000000001E-3</v>
      </c>
      <c r="AJ27" s="228">
        <v>3.15</v>
      </c>
      <c r="AK27" s="228">
        <v>3.1</v>
      </c>
      <c r="AL27" s="228">
        <v>0.05</v>
      </c>
      <c r="AM27" s="229">
        <v>1.2999999999999999E-2</v>
      </c>
      <c r="AN27" s="228">
        <v>240.09</v>
      </c>
      <c r="AO27" s="228">
        <v>241.57</v>
      </c>
      <c r="AP27" s="228">
        <v>0</v>
      </c>
      <c r="AQ27" s="230">
        <v>7961</v>
      </c>
      <c r="AR27" s="230">
        <v>9230</v>
      </c>
      <c r="AS27" s="230">
        <v>-1269</v>
      </c>
      <c r="AT27" s="229">
        <v>-0.13750000000000001</v>
      </c>
      <c r="AU27" s="230">
        <v>6476</v>
      </c>
      <c r="AV27" s="230">
        <v>7985</v>
      </c>
      <c r="AW27" s="230">
        <v>-1509</v>
      </c>
      <c r="AX27" s="229">
        <v>-0.189</v>
      </c>
      <c r="AY27" s="230">
        <v>1244</v>
      </c>
      <c r="AZ27" s="230">
        <v>1032</v>
      </c>
      <c r="BA27" s="228">
        <v>212</v>
      </c>
      <c r="BB27" s="229">
        <v>0.2054</v>
      </c>
      <c r="BC27" s="228">
        <v>241</v>
      </c>
      <c r="BD27" s="228">
        <v>213</v>
      </c>
      <c r="BE27" s="228">
        <v>28</v>
      </c>
      <c r="BF27" s="229">
        <v>0.13150000000000001</v>
      </c>
      <c r="BG27" s="230">
        <v>26397</v>
      </c>
      <c r="BH27" s="230">
        <v>30404</v>
      </c>
      <c r="BI27" s="230">
        <v>-4007</v>
      </c>
      <c r="BJ27" s="229">
        <v>-0.1318</v>
      </c>
      <c r="BK27" s="230">
        <v>8635</v>
      </c>
      <c r="BL27" s="230">
        <v>10552</v>
      </c>
      <c r="BM27" s="230">
        <v>-1917</v>
      </c>
      <c r="BN27" s="229">
        <v>-0.1817</v>
      </c>
      <c r="BO27" s="230">
        <v>42993</v>
      </c>
      <c r="BP27" s="230">
        <v>50186</v>
      </c>
      <c r="BQ27" s="230">
        <v>-7193</v>
      </c>
      <c r="BR27" s="229">
        <v>-0.14330000000000001</v>
      </c>
      <c r="BS27" s="230">
        <v>19487701</v>
      </c>
      <c r="BT27" s="230">
        <v>18014075</v>
      </c>
      <c r="BU27" s="230">
        <v>1473626</v>
      </c>
      <c r="BV27" s="229">
        <v>8.1799999999999998E-2</v>
      </c>
      <c r="BW27" s="230">
        <v>175183100</v>
      </c>
      <c r="BX27" s="230">
        <v>176473250</v>
      </c>
      <c r="BY27" s="230">
        <v>-1290150</v>
      </c>
      <c r="BZ27" s="229">
        <v>-7.3000000000000001E-3</v>
      </c>
      <c r="CA27" s="230">
        <v>158930500</v>
      </c>
      <c r="CB27" s="230">
        <v>160876300</v>
      </c>
      <c r="CC27" s="230">
        <v>-1945800</v>
      </c>
      <c r="CD27" s="229">
        <v>-1.21E-2</v>
      </c>
      <c r="CE27" s="230">
        <v>14175200</v>
      </c>
      <c r="CF27" s="230">
        <v>13568900</v>
      </c>
      <c r="CG27" s="230">
        <v>606300</v>
      </c>
      <c r="CH27" s="229">
        <v>4.4699999999999997E-2</v>
      </c>
      <c r="CI27" s="230">
        <v>2077400</v>
      </c>
      <c r="CJ27" s="230">
        <v>2028050</v>
      </c>
      <c r="CK27" s="230">
        <v>49350</v>
      </c>
      <c r="CL27" s="229">
        <v>2.4299999999999999E-2</v>
      </c>
      <c r="CM27" s="230">
        <v>52054850</v>
      </c>
      <c r="CN27" s="230">
        <v>51916200</v>
      </c>
      <c r="CO27" s="230">
        <v>138650</v>
      </c>
      <c r="CP27" s="229">
        <v>2.7000000000000001E-3</v>
      </c>
      <c r="CQ27" s="230">
        <v>42151950</v>
      </c>
      <c r="CR27" s="230">
        <v>41371750</v>
      </c>
      <c r="CS27" s="230">
        <v>780200</v>
      </c>
      <c r="CT27" s="229">
        <v>1.89E-2</v>
      </c>
      <c r="CU27" s="230">
        <v>269389900</v>
      </c>
      <c r="CV27" s="230">
        <v>269761200</v>
      </c>
      <c r="CW27" s="230">
        <v>-371300</v>
      </c>
      <c r="CX27" s="229">
        <v>-1.4E-3</v>
      </c>
      <c r="CY27" s="228">
        <v>36.31</v>
      </c>
      <c r="CZ27" s="228">
        <v>36.729999999999997</v>
      </c>
      <c r="DA27" s="228">
        <v>-0.42</v>
      </c>
      <c r="DB27" s="228">
        <v>-0.42</v>
      </c>
      <c r="DC27" s="228">
        <v>34.85</v>
      </c>
      <c r="DD27" s="228">
        <v>34.869999999999997</v>
      </c>
      <c r="DE27" s="228">
        <v>1.46</v>
      </c>
      <c r="DF27" s="228">
        <v>-0.02</v>
      </c>
      <c r="DG27" s="228">
        <v>35.380000000000003</v>
      </c>
      <c r="DH27" s="228">
        <v>36.479999999999997</v>
      </c>
      <c r="DI27" s="228">
        <v>-1.1000000000000001</v>
      </c>
      <c r="DJ27" s="228">
        <v>-1.1000000000000001</v>
      </c>
      <c r="DK27" s="228">
        <v>39.159999999999997</v>
      </c>
      <c r="DL27" s="228">
        <v>37.44</v>
      </c>
      <c r="DM27" s="228">
        <v>1.72</v>
      </c>
      <c r="DN27" s="228">
        <v>1.72</v>
      </c>
      <c r="DO27" s="228">
        <v>0.81</v>
      </c>
      <c r="DP27" s="228">
        <v>0.8</v>
      </c>
      <c r="DQ27" s="228">
        <v>0.01</v>
      </c>
      <c r="DR27" s="229">
        <v>1.2500000000000001E-2</v>
      </c>
      <c r="DS27" s="228">
        <v>260</v>
      </c>
      <c r="DT27" s="228">
        <v>260</v>
      </c>
      <c r="DU27" s="228">
        <v>0.33</v>
      </c>
      <c r="DV27" s="228">
        <v>0.35</v>
      </c>
      <c r="DW27" s="228">
        <v>-0.02</v>
      </c>
      <c r="DX27" s="229">
        <v>-5.7099999999999998E-2</v>
      </c>
      <c r="DY27" s="229">
        <v>9.2799999999999994E-2</v>
      </c>
      <c r="DZ27" s="230">
        <v>15596950</v>
      </c>
      <c r="EA27" s="229">
        <v>6.4000000000000003E-3</v>
      </c>
      <c r="EB27" s="229">
        <v>9.2799999999999994E-2</v>
      </c>
      <c r="EC27" s="228">
        <v>1.48</v>
      </c>
      <c r="ED27" s="229">
        <v>6.1999999999999998E-3</v>
      </c>
      <c r="EE27" s="230">
        <v>8542658</v>
      </c>
      <c r="EF27" s="230">
        <v>7236591</v>
      </c>
      <c r="EG27" s="229">
        <v>0.18049999999999999</v>
      </c>
      <c r="EH27" s="229">
        <v>0.43840000000000001</v>
      </c>
      <c r="EI27" s="231">
        <v>160749.21</v>
      </c>
      <c r="EJ27" s="231">
        <v>47999.7</v>
      </c>
      <c r="EK27" s="231">
        <v>44973.06</v>
      </c>
      <c r="EL27" s="231">
        <v>9396</v>
      </c>
      <c r="EM27" s="231">
        <v>253721.97</v>
      </c>
      <c r="EN27" s="231">
        <v>295785.92</v>
      </c>
      <c r="EO27" s="231">
        <v>-42063.95</v>
      </c>
      <c r="EP27" s="229">
        <v>-0.14219999999999999</v>
      </c>
      <c r="EQ27" s="231">
        <v>139241</v>
      </c>
      <c r="ER27" s="231">
        <v>108043</v>
      </c>
      <c r="ES27" s="231">
        <v>425358</v>
      </c>
      <c r="ET27" s="231">
        <v>355358091</v>
      </c>
      <c r="EU27" s="231">
        <v>672642</v>
      </c>
      <c r="EV27" s="231">
        <v>666919</v>
      </c>
      <c r="EW27" s="231">
        <v>5723</v>
      </c>
      <c r="EX27" s="229">
        <v>8.6E-3</v>
      </c>
      <c r="EY27" s="229">
        <v>0.7581</v>
      </c>
    </row>
    <row r="28" spans="1:155" ht="17.25" thickBot="1" x14ac:dyDescent="0.3">
      <c r="A28" s="226">
        <v>46093</v>
      </c>
      <c r="B28" s="227" t="s">
        <v>227</v>
      </c>
      <c r="C28" s="227" t="s">
        <v>244</v>
      </c>
      <c r="D28" s="231">
        <v>1174.4000000000001</v>
      </c>
      <c r="E28" s="231">
        <v>1179.2</v>
      </c>
      <c r="F28" s="228">
        <v>-4.8</v>
      </c>
      <c r="G28" s="229">
        <v>-4.1000000000000003E-3</v>
      </c>
      <c r="H28" s="231">
        <v>1172.5999999999999</v>
      </c>
      <c r="I28" s="231">
        <v>1178.8</v>
      </c>
      <c r="J28" s="228">
        <v>-6.2</v>
      </c>
      <c r="K28" s="229">
        <v>-5.3E-3</v>
      </c>
      <c r="L28" s="231">
        <v>1174.4000000000001</v>
      </c>
      <c r="M28" s="231">
        <v>1179.2</v>
      </c>
      <c r="N28" s="228">
        <v>-4.8</v>
      </c>
      <c r="O28" s="229">
        <v>-4.1000000000000003E-3</v>
      </c>
      <c r="P28" s="231">
        <v>1181.7</v>
      </c>
      <c r="Q28" s="231">
        <v>1184.9000000000001</v>
      </c>
      <c r="R28" s="228">
        <v>-3.2</v>
      </c>
      <c r="S28" s="229">
        <v>-2.7000000000000001E-3</v>
      </c>
      <c r="T28" s="231">
        <v>1188</v>
      </c>
      <c r="U28" s="231">
        <v>1190</v>
      </c>
      <c r="V28" s="228">
        <v>-2</v>
      </c>
      <c r="W28" s="229">
        <v>-1.6999999999999999E-3</v>
      </c>
      <c r="X28" s="228">
        <v>1.8</v>
      </c>
      <c r="Y28" s="228">
        <v>0.4</v>
      </c>
      <c r="Z28" s="228">
        <v>1.4</v>
      </c>
      <c r="AA28" s="229">
        <v>1.5E-3</v>
      </c>
      <c r="AB28" s="228">
        <v>1.8</v>
      </c>
      <c r="AC28" s="228">
        <v>0.4</v>
      </c>
      <c r="AD28" s="228">
        <v>1.4</v>
      </c>
      <c r="AE28" s="229">
        <v>1.5E-3</v>
      </c>
      <c r="AF28" s="228">
        <v>9.1</v>
      </c>
      <c r="AG28" s="228">
        <v>6.1</v>
      </c>
      <c r="AH28" s="228">
        <v>3</v>
      </c>
      <c r="AI28" s="229">
        <v>7.7999999999999996E-3</v>
      </c>
      <c r="AJ28" s="228">
        <v>15.4</v>
      </c>
      <c r="AK28" s="228">
        <v>11.2</v>
      </c>
      <c r="AL28" s="228">
        <v>4.2</v>
      </c>
      <c r="AM28" s="229">
        <v>1.3100000000000001E-2</v>
      </c>
      <c r="AN28" s="231">
        <v>1165.9100000000001</v>
      </c>
      <c r="AO28" s="231">
        <v>1165.8900000000001</v>
      </c>
      <c r="AP28" s="228">
        <v>0</v>
      </c>
      <c r="AQ28" s="230">
        <v>6485</v>
      </c>
      <c r="AR28" s="230">
        <v>7893</v>
      </c>
      <c r="AS28" s="230">
        <v>-1408</v>
      </c>
      <c r="AT28" s="229">
        <v>-0.1784</v>
      </c>
      <c r="AU28" s="230">
        <v>5171</v>
      </c>
      <c r="AV28" s="230">
        <v>7419</v>
      </c>
      <c r="AW28" s="230">
        <v>-2248</v>
      </c>
      <c r="AX28" s="229">
        <v>-0.30299999999999999</v>
      </c>
      <c r="AY28" s="230">
        <v>1298</v>
      </c>
      <c r="AZ28" s="228">
        <v>454</v>
      </c>
      <c r="BA28" s="228">
        <v>844</v>
      </c>
      <c r="BB28" s="229">
        <v>1.859</v>
      </c>
      <c r="BC28" s="228">
        <v>16</v>
      </c>
      <c r="BD28" s="228">
        <v>20</v>
      </c>
      <c r="BE28" s="228">
        <v>-4</v>
      </c>
      <c r="BF28" s="229">
        <v>-0.2</v>
      </c>
      <c r="BG28" s="230">
        <v>8242</v>
      </c>
      <c r="BH28" s="230">
        <v>8622</v>
      </c>
      <c r="BI28" s="228">
        <v>-380</v>
      </c>
      <c r="BJ28" s="229">
        <v>-4.41E-2</v>
      </c>
      <c r="BK28" s="230">
        <v>4630</v>
      </c>
      <c r="BL28" s="230">
        <v>6689</v>
      </c>
      <c r="BM28" s="230">
        <v>-2059</v>
      </c>
      <c r="BN28" s="229">
        <v>-0.30780000000000002</v>
      </c>
      <c r="BO28" s="230">
        <v>19357</v>
      </c>
      <c r="BP28" s="230">
        <v>23204</v>
      </c>
      <c r="BQ28" s="230">
        <v>-3847</v>
      </c>
      <c r="BR28" s="229">
        <v>-0.1658</v>
      </c>
      <c r="BS28" s="230">
        <v>1288963</v>
      </c>
      <c r="BT28" s="230">
        <v>1831603</v>
      </c>
      <c r="BU28" s="230">
        <v>-542640</v>
      </c>
      <c r="BV28" s="229">
        <v>-0.29630000000000001</v>
      </c>
      <c r="BW28" s="230">
        <v>52308450</v>
      </c>
      <c r="BX28" s="230">
        <v>52301025</v>
      </c>
      <c r="BY28" s="230">
        <v>7425</v>
      </c>
      <c r="BZ28" s="229">
        <v>1E-4</v>
      </c>
      <c r="CA28" s="230">
        <v>45696150</v>
      </c>
      <c r="CB28" s="230">
        <v>46442025</v>
      </c>
      <c r="CC28" s="230">
        <v>-745875</v>
      </c>
      <c r="CD28" s="229">
        <v>-1.61E-2</v>
      </c>
      <c r="CE28" s="230">
        <v>6573825</v>
      </c>
      <c r="CF28" s="230">
        <v>5823900</v>
      </c>
      <c r="CG28" s="230">
        <v>749925</v>
      </c>
      <c r="CH28" s="229">
        <v>0.1288</v>
      </c>
      <c r="CI28" s="230">
        <v>38475</v>
      </c>
      <c r="CJ28" s="230">
        <v>35100</v>
      </c>
      <c r="CK28" s="230">
        <v>3375</v>
      </c>
      <c r="CL28" s="229">
        <v>9.6199999999999994E-2</v>
      </c>
      <c r="CM28" s="230">
        <v>7196850</v>
      </c>
      <c r="CN28" s="230">
        <v>6932925</v>
      </c>
      <c r="CO28" s="230">
        <v>263925</v>
      </c>
      <c r="CP28" s="229">
        <v>3.8100000000000002E-2</v>
      </c>
      <c r="CQ28" s="230">
        <v>3722625</v>
      </c>
      <c r="CR28" s="230">
        <v>3575475</v>
      </c>
      <c r="CS28" s="230">
        <v>147150</v>
      </c>
      <c r="CT28" s="229">
        <v>4.1200000000000001E-2</v>
      </c>
      <c r="CU28" s="230">
        <v>63227925</v>
      </c>
      <c r="CV28" s="230">
        <v>62809425</v>
      </c>
      <c r="CW28" s="230">
        <v>418500</v>
      </c>
      <c r="CX28" s="229">
        <v>6.7000000000000002E-3</v>
      </c>
      <c r="CY28" s="228">
        <v>32.020000000000003</v>
      </c>
      <c r="CZ28" s="228">
        <v>31.1</v>
      </c>
      <c r="DA28" s="228">
        <v>0.92</v>
      </c>
      <c r="DB28" s="228">
        <v>0.92</v>
      </c>
      <c r="DC28" s="228">
        <v>30.08</v>
      </c>
      <c r="DD28" s="228">
        <v>30.15</v>
      </c>
      <c r="DE28" s="228">
        <v>1.94</v>
      </c>
      <c r="DF28" s="228">
        <v>-7.0000000000000007E-2</v>
      </c>
      <c r="DG28" s="228">
        <v>31.87</v>
      </c>
      <c r="DH28" s="228">
        <v>31.23</v>
      </c>
      <c r="DI28" s="228">
        <v>0.64</v>
      </c>
      <c r="DJ28" s="228">
        <v>0.64</v>
      </c>
      <c r="DK28" s="228">
        <v>32.29</v>
      </c>
      <c r="DL28" s="228">
        <v>30.95</v>
      </c>
      <c r="DM28" s="228">
        <v>1.34</v>
      </c>
      <c r="DN28" s="228">
        <v>1.34</v>
      </c>
      <c r="DO28" s="228">
        <v>0.52</v>
      </c>
      <c r="DP28" s="228">
        <v>0.52</v>
      </c>
      <c r="DQ28" s="228">
        <v>0</v>
      </c>
      <c r="DR28" s="229">
        <v>0</v>
      </c>
      <c r="DS28" s="231">
        <v>1300</v>
      </c>
      <c r="DT28" s="231">
        <v>1200</v>
      </c>
      <c r="DU28" s="228">
        <v>0.56000000000000005</v>
      </c>
      <c r="DV28" s="228">
        <v>0.78</v>
      </c>
      <c r="DW28" s="228">
        <v>-0.22</v>
      </c>
      <c r="DX28" s="229">
        <v>-0.28210000000000002</v>
      </c>
      <c r="DY28" s="229">
        <v>0.12640000000000001</v>
      </c>
      <c r="DZ28" s="230">
        <v>5859000</v>
      </c>
      <c r="EA28" s="229">
        <v>6.1999999999999998E-3</v>
      </c>
      <c r="EB28" s="229">
        <v>0.12640000000000001</v>
      </c>
      <c r="EC28" s="228">
        <v>-0.02</v>
      </c>
      <c r="ED28" s="229">
        <v>0</v>
      </c>
      <c r="EE28" s="230">
        <v>479665</v>
      </c>
      <c r="EF28" s="230">
        <v>736388</v>
      </c>
      <c r="EG28" s="229">
        <v>-0.34860000000000002</v>
      </c>
      <c r="EH28" s="229">
        <v>0.37209999999999999</v>
      </c>
      <c r="EI28" s="231">
        <v>70365.2</v>
      </c>
      <c r="EJ28" s="231">
        <v>36828.74</v>
      </c>
      <c r="EK28" s="231">
        <v>51037.32</v>
      </c>
      <c r="EL28" s="231">
        <v>9173</v>
      </c>
      <c r="EM28" s="231">
        <v>158231.26</v>
      </c>
      <c r="EN28" s="231">
        <v>191777.98</v>
      </c>
      <c r="EO28" s="231">
        <v>-33546.720000000001</v>
      </c>
      <c r="EP28" s="229">
        <v>-0.1749</v>
      </c>
      <c r="EQ28" s="231">
        <v>93367</v>
      </c>
      <c r="ER28" s="231">
        <v>44223</v>
      </c>
      <c r="ES28" s="231">
        <v>614796</v>
      </c>
      <c r="ET28" s="231">
        <v>133434355</v>
      </c>
      <c r="EU28" s="231">
        <v>752386</v>
      </c>
      <c r="EV28" s="231">
        <v>750163</v>
      </c>
      <c r="EW28" s="231">
        <v>2223</v>
      </c>
      <c r="EX28" s="229">
        <v>3.0000000000000001E-3</v>
      </c>
      <c r="EY28" s="229">
        <v>0.47389999999999999</v>
      </c>
    </row>
    <row r="29" spans="1:155" ht="17.25" thickBot="1" x14ac:dyDescent="0.3">
      <c r="A29" s="226">
        <v>46093</v>
      </c>
      <c r="B29" s="227" t="s">
        <v>172</v>
      </c>
      <c r="C29" s="227" t="s">
        <v>246</v>
      </c>
      <c r="D29" s="228">
        <v>376.75</v>
      </c>
      <c r="E29" s="228">
        <v>384.2</v>
      </c>
      <c r="F29" s="228">
        <v>-7.45</v>
      </c>
      <c r="G29" s="229">
        <v>-1.9400000000000001E-2</v>
      </c>
      <c r="H29" s="228">
        <v>375.3</v>
      </c>
      <c r="I29" s="228">
        <v>383.2</v>
      </c>
      <c r="J29" s="228">
        <v>-7.9</v>
      </c>
      <c r="K29" s="229">
        <v>-2.06E-2</v>
      </c>
      <c r="L29" s="228">
        <v>376.75</v>
      </c>
      <c r="M29" s="228">
        <v>384.2</v>
      </c>
      <c r="N29" s="228">
        <v>-7.45</v>
      </c>
      <c r="O29" s="229">
        <v>-1.9400000000000001E-2</v>
      </c>
      <c r="P29" s="228">
        <v>379.15</v>
      </c>
      <c r="Q29" s="228">
        <v>386.4</v>
      </c>
      <c r="R29" s="228">
        <v>-7.25</v>
      </c>
      <c r="S29" s="229">
        <v>-1.8800000000000001E-2</v>
      </c>
      <c r="T29" s="228">
        <v>381.05</v>
      </c>
      <c r="U29" s="228">
        <v>388.85</v>
      </c>
      <c r="V29" s="228">
        <v>-7.8</v>
      </c>
      <c r="W29" s="229">
        <v>-2.01E-2</v>
      </c>
      <c r="X29" s="228">
        <v>1.45</v>
      </c>
      <c r="Y29" s="228">
        <v>1</v>
      </c>
      <c r="Z29" s="228">
        <v>0.45</v>
      </c>
      <c r="AA29" s="229">
        <v>3.8999999999999998E-3</v>
      </c>
      <c r="AB29" s="228">
        <v>1.45</v>
      </c>
      <c r="AC29" s="228">
        <v>1</v>
      </c>
      <c r="AD29" s="228">
        <v>0.45</v>
      </c>
      <c r="AE29" s="229">
        <v>3.8999999999999998E-3</v>
      </c>
      <c r="AF29" s="228">
        <v>3.85</v>
      </c>
      <c r="AG29" s="228">
        <v>3.2</v>
      </c>
      <c r="AH29" s="228">
        <v>0.65</v>
      </c>
      <c r="AI29" s="229">
        <v>1.03E-2</v>
      </c>
      <c r="AJ29" s="228">
        <v>5.75</v>
      </c>
      <c r="AK29" s="228">
        <v>5.65</v>
      </c>
      <c r="AL29" s="228">
        <v>0.1</v>
      </c>
      <c r="AM29" s="229">
        <v>1.5299999999999999E-2</v>
      </c>
      <c r="AN29" s="228">
        <v>378.48</v>
      </c>
      <c r="AO29" s="228">
        <v>380.73</v>
      </c>
      <c r="AP29" s="228">
        <v>0</v>
      </c>
      <c r="AQ29" s="230">
        <v>12721</v>
      </c>
      <c r="AR29" s="230">
        <v>9317</v>
      </c>
      <c r="AS29" s="230">
        <v>3404</v>
      </c>
      <c r="AT29" s="229">
        <v>0.3654</v>
      </c>
      <c r="AU29" s="230">
        <v>10970</v>
      </c>
      <c r="AV29" s="230">
        <v>7708</v>
      </c>
      <c r="AW29" s="230">
        <v>3262</v>
      </c>
      <c r="AX29" s="229">
        <v>0.42320000000000002</v>
      </c>
      <c r="AY29" s="230">
        <v>1475</v>
      </c>
      <c r="AZ29" s="230">
        <v>1452</v>
      </c>
      <c r="BA29" s="228">
        <v>23</v>
      </c>
      <c r="BB29" s="229">
        <v>1.5800000000000002E-2</v>
      </c>
      <c r="BC29" s="228">
        <v>276</v>
      </c>
      <c r="BD29" s="228">
        <v>157</v>
      </c>
      <c r="BE29" s="228">
        <v>119</v>
      </c>
      <c r="BF29" s="229">
        <v>0.75800000000000001</v>
      </c>
      <c r="BG29" s="230">
        <v>15526</v>
      </c>
      <c r="BH29" s="230">
        <v>15966</v>
      </c>
      <c r="BI29" s="228">
        <v>-440</v>
      </c>
      <c r="BJ29" s="229">
        <v>-2.76E-2</v>
      </c>
      <c r="BK29" s="230">
        <v>9694</v>
      </c>
      <c r="BL29" s="230">
        <v>13380</v>
      </c>
      <c r="BM29" s="230">
        <v>-3686</v>
      </c>
      <c r="BN29" s="229">
        <v>-0.27550000000000002</v>
      </c>
      <c r="BO29" s="230">
        <v>37941</v>
      </c>
      <c r="BP29" s="230">
        <v>38663</v>
      </c>
      <c r="BQ29" s="228">
        <v>-722</v>
      </c>
      <c r="BR29" s="229">
        <v>-1.8700000000000001E-2</v>
      </c>
      <c r="BS29" s="230">
        <v>25386243</v>
      </c>
      <c r="BT29" s="230">
        <v>30300595</v>
      </c>
      <c r="BU29" s="230">
        <v>-4914352</v>
      </c>
      <c r="BV29" s="229">
        <v>-0.16220000000000001</v>
      </c>
      <c r="BW29" s="230">
        <v>226342000</v>
      </c>
      <c r="BX29" s="230">
        <v>220258000</v>
      </c>
      <c r="BY29" s="230">
        <v>6084000</v>
      </c>
      <c r="BZ29" s="229">
        <v>2.76E-2</v>
      </c>
      <c r="CA29" s="230">
        <v>217652000</v>
      </c>
      <c r="CB29" s="230">
        <v>213466000</v>
      </c>
      <c r="CC29" s="230">
        <v>4186000</v>
      </c>
      <c r="CD29" s="229">
        <v>1.9599999999999999E-2</v>
      </c>
      <c r="CE29" s="230">
        <v>7506000</v>
      </c>
      <c r="CF29" s="230">
        <v>5914000</v>
      </c>
      <c r="CG29" s="230">
        <v>1592000</v>
      </c>
      <c r="CH29" s="229">
        <v>0.26919999999999999</v>
      </c>
      <c r="CI29" s="230">
        <v>1184000</v>
      </c>
      <c r="CJ29" s="230">
        <v>878000</v>
      </c>
      <c r="CK29" s="230">
        <v>306000</v>
      </c>
      <c r="CL29" s="229">
        <v>0.34849999999999998</v>
      </c>
      <c r="CM29" s="230">
        <v>38688000</v>
      </c>
      <c r="CN29" s="230">
        <v>36514000</v>
      </c>
      <c r="CO29" s="230">
        <v>2174000</v>
      </c>
      <c r="CP29" s="229">
        <v>5.9499999999999997E-2</v>
      </c>
      <c r="CQ29" s="230">
        <v>24886000</v>
      </c>
      <c r="CR29" s="230">
        <v>24322000</v>
      </c>
      <c r="CS29" s="230">
        <v>564000</v>
      </c>
      <c r="CT29" s="229">
        <v>2.3199999999999998E-2</v>
      </c>
      <c r="CU29" s="230">
        <v>289916000</v>
      </c>
      <c r="CV29" s="230">
        <v>281094000</v>
      </c>
      <c r="CW29" s="230">
        <v>8822000</v>
      </c>
      <c r="CX29" s="229">
        <v>3.1399999999999997E-2</v>
      </c>
      <c r="CY29" s="228">
        <v>27.94</v>
      </c>
      <c r="CZ29" s="228">
        <v>27.77</v>
      </c>
      <c r="DA29" s="228">
        <v>0.17</v>
      </c>
      <c r="DB29" s="228">
        <v>0.17</v>
      </c>
      <c r="DC29" s="228">
        <v>26.01</v>
      </c>
      <c r="DD29" s="228">
        <v>25.92</v>
      </c>
      <c r="DE29" s="228">
        <v>1.93</v>
      </c>
      <c r="DF29" s="228">
        <v>0.09</v>
      </c>
      <c r="DG29" s="228">
        <v>27.86</v>
      </c>
      <c r="DH29" s="228">
        <v>27.2</v>
      </c>
      <c r="DI29" s="228">
        <v>0.66</v>
      </c>
      <c r="DJ29" s="228">
        <v>0.66</v>
      </c>
      <c r="DK29" s="228">
        <v>28.07</v>
      </c>
      <c r="DL29" s="228">
        <v>28.46</v>
      </c>
      <c r="DM29" s="228">
        <v>-0.39</v>
      </c>
      <c r="DN29" s="228">
        <v>-0.39</v>
      </c>
      <c r="DO29" s="228">
        <v>0.64</v>
      </c>
      <c r="DP29" s="228">
        <v>0.67</v>
      </c>
      <c r="DQ29" s="228">
        <v>-0.03</v>
      </c>
      <c r="DR29" s="229">
        <v>-4.48E-2</v>
      </c>
      <c r="DS29" s="228">
        <v>440</v>
      </c>
      <c r="DT29" s="228">
        <v>400</v>
      </c>
      <c r="DU29" s="228">
        <v>0.62</v>
      </c>
      <c r="DV29" s="228">
        <v>0.84</v>
      </c>
      <c r="DW29" s="228">
        <v>-0.22</v>
      </c>
      <c r="DX29" s="229">
        <v>-0.26190000000000002</v>
      </c>
      <c r="DY29" s="229">
        <v>3.8399999999999997E-2</v>
      </c>
      <c r="DZ29" s="230">
        <v>6792000</v>
      </c>
      <c r="EA29" s="229">
        <v>6.4000000000000003E-3</v>
      </c>
      <c r="EB29" s="229">
        <v>3.8399999999999997E-2</v>
      </c>
      <c r="EC29" s="228">
        <v>2.25</v>
      </c>
      <c r="ED29" s="229">
        <v>5.8999999999999999E-3</v>
      </c>
      <c r="EE29" s="230">
        <v>17556728</v>
      </c>
      <c r="EF29" s="230">
        <v>22511430</v>
      </c>
      <c r="EG29" s="229">
        <v>-0.22009999999999999</v>
      </c>
      <c r="EH29" s="229">
        <v>0.69159999999999999</v>
      </c>
      <c r="EI29" s="231">
        <v>123966.88</v>
      </c>
      <c r="EJ29" s="231">
        <v>73994.92</v>
      </c>
      <c r="EK29" s="231">
        <v>96381</v>
      </c>
      <c r="EL29" s="231">
        <v>10137</v>
      </c>
      <c r="EM29" s="231">
        <v>294342.8</v>
      </c>
      <c r="EN29" s="231">
        <v>306195.33</v>
      </c>
      <c r="EO29" s="231">
        <v>-11852.53</v>
      </c>
      <c r="EP29" s="229">
        <v>-3.8699999999999998E-2</v>
      </c>
      <c r="EQ29" s="231">
        <v>162763</v>
      </c>
      <c r="ER29" s="231">
        <v>99156</v>
      </c>
      <c r="ES29" s="231">
        <v>852975</v>
      </c>
      <c r="ET29" s="231">
        <v>781025350</v>
      </c>
      <c r="EU29" s="231">
        <v>1114894</v>
      </c>
      <c r="EV29" s="231">
        <v>1098451</v>
      </c>
      <c r="EW29" s="231">
        <v>16443</v>
      </c>
      <c r="EX29" s="229">
        <v>1.4999999999999999E-2</v>
      </c>
      <c r="EY29" s="229">
        <v>0.37119999999999997</v>
      </c>
    </row>
    <row r="30" spans="1:155" ht="17.25" thickBot="1" x14ac:dyDescent="0.3">
      <c r="A30" s="226">
        <v>46093</v>
      </c>
      <c r="B30" s="227" t="s">
        <v>184</v>
      </c>
      <c r="C30" s="227" t="s">
        <v>249</v>
      </c>
      <c r="D30" s="231">
        <v>3730.9</v>
      </c>
      <c r="E30" s="231">
        <v>3843.2</v>
      </c>
      <c r="F30" s="228">
        <v>-112.3</v>
      </c>
      <c r="G30" s="229">
        <v>-2.92E-2</v>
      </c>
      <c r="H30" s="231">
        <v>3719.5</v>
      </c>
      <c r="I30" s="231">
        <v>3838.8</v>
      </c>
      <c r="J30" s="228">
        <v>-119.3</v>
      </c>
      <c r="K30" s="229">
        <v>-3.1099999999999999E-2</v>
      </c>
      <c r="L30" s="231">
        <v>3730.9</v>
      </c>
      <c r="M30" s="231">
        <v>3843.2</v>
      </c>
      <c r="N30" s="228">
        <v>-112.3</v>
      </c>
      <c r="O30" s="229">
        <v>-2.92E-2</v>
      </c>
      <c r="P30" s="231">
        <v>3754.8</v>
      </c>
      <c r="Q30" s="231">
        <v>3868.8</v>
      </c>
      <c r="R30" s="228">
        <v>-114</v>
      </c>
      <c r="S30" s="229">
        <v>-2.9499999999999998E-2</v>
      </c>
      <c r="T30" s="231">
        <v>3775.4</v>
      </c>
      <c r="U30" s="231">
        <v>3890</v>
      </c>
      <c r="V30" s="228">
        <v>-114.6</v>
      </c>
      <c r="W30" s="229">
        <v>-2.9499999999999998E-2</v>
      </c>
      <c r="X30" s="228">
        <v>11.4</v>
      </c>
      <c r="Y30" s="228">
        <v>4.4000000000000004</v>
      </c>
      <c r="Z30" s="228">
        <v>7</v>
      </c>
      <c r="AA30" s="229">
        <v>3.0999999999999999E-3</v>
      </c>
      <c r="AB30" s="228">
        <v>11.4</v>
      </c>
      <c r="AC30" s="228">
        <v>4.4000000000000004</v>
      </c>
      <c r="AD30" s="228">
        <v>7</v>
      </c>
      <c r="AE30" s="229">
        <v>3.0999999999999999E-3</v>
      </c>
      <c r="AF30" s="228">
        <v>35.299999999999997</v>
      </c>
      <c r="AG30" s="228">
        <v>30</v>
      </c>
      <c r="AH30" s="228">
        <v>5.3</v>
      </c>
      <c r="AI30" s="229">
        <v>9.4999999999999998E-3</v>
      </c>
      <c r="AJ30" s="228">
        <v>55.9</v>
      </c>
      <c r="AK30" s="228">
        <v>51.2</v>
      </c>
      <c r="AL30" s="228">
        <v>4.7</v>
      </c>
      <c r="AM30" s="229">
        <v>1.4999999999999999E-2</v>
      </c>
      <c r="AN30" s="231">
        <v>3769.12</v>
      </c>
      <c r="AO30" s="231">
        <v>3798.72</v>
      </c>
      <c r="AP30" s="228">
        <v>0</v>
      </c>
      <c r="AQ30" s="230">
        <v>19390</v>
      </c>
      <c r="AR30" s="230">
        <v>10798</v>
      </c>
      <c r="AS30" s="230">
        <v>8592</v>
      </c>
      <c r="AT30" s="229">
        <v>0.79569999999999996</v>
      </c>
      <c r="AU30" s="230">
        <v>16932</v>
      </c>
      <c r="AV30" s="230">
        <v>9885</v>
      </c>
      <c r="AW30" s="230">
        <v>7047</v>
      </c>
      <c r="AX30" s="229">
        <v>0.71289999999999998</v>
      </c>
      <c r="AY30" s="230">
        <v>2090</v>
      </c>
      <c r="AZ30" s="228">
        <v>769</v>
      </c>
      <c r="BA30" s="230">
        <v>1321</v>
      </c>
      <c r="BB30" s="229">
        <v>1.7178</v>
      </c>
      <c r="BC30" s="228">
        <v>368</v>
      </c>
      <c r="BD30" s="228">
        <v>144</v>
      </c>
      <c r="BE30" s="228">
        <v>224</v>
      </c>
      <c r="BF30" s="229">
        <v>1.5556000000000001</v>
      </c>
      <c r="BG30" s="230">
        <v>66082</v>
      </c>
      <c r="BH30" s="230">
        <v>34779</v>
      </c>
      <c r="BI30" s="230">
        <v>31303</v>
      </c>
      <c r="BJ30" s="229">
        <v>0.90010000000000001</v>
      </c>
      <c r="BK30" s="230">
        <v>40037</v>
      </c>
      <c r="BL30" s="230">
        <v>22204</v>
      </c>
      <c r="BM30" s="230">
        <v>17833</v>
      </c>
      <c r="BN30" s="229">
        <v>0.80310000000000004</v>
      </c>
      <c r="BO30" s="230">
        <v>125509</v>
      </c>
      <c r="BP30" s="230">
        <v>67781</v>
      </c>
      <c r="BQ30" s="230">
        <v>57728</v>
      </c>
      <c r="BR30" s="229">
        <v>0.85170000000000001</v>
      </c>
      <c r="BS30" s="230">
        <v>4627352</v>
      </c>
      <c r="BT30" s="230">
        <v>2167192</v>
      </c>
      <c r="BU30" s="230">
        <v>2460160</v>
      </c>
      <c r="BV30" s="229">
        <v>1.1352</v>
      </c>
      <c r="BW30" s="230">
        <v>14596225</v>
      </c>
      <c r="BX30" s="230">
        <v>13954500</v>
      </c>
      <c r="BY30" s="230">
        <v>641725</v>
      </c>
      <c r="BZ30" s="229">
        <v>4.5999999999999999E-2</v>
      </c>
      <c r="CA30" s="230">
        <v>13616225</v>
      </c>
      <c r="CB30" s="230">
        <v>13130250</v>
      </c>
      <c r="CC30" s="230">
        <v>485975</v>
      </c>
      <c r="CD30" s="229">
        <v>3.6999999999999998E-2</v>
      </c>
      <c r="CE30" s="230">
        <v>853825</v>
      </c>
      <c r="CF30" s="230">
        <v>723450</v>
      </c>
      <c r="CG30" s="230">
        <v>130375</v>
      </c>
      <c r="CH30" s="229">
        <v>0.1802</v>
      </c>
      <c r="CI30" s="230">
        <v>126175</v>
      </c>
      <c r="CJ30" s="230">
        <v>100800</v>
      </c>
      <c r="CK30" s="230">
        <v>25375</v>
      </c>
      <c r="CL30" s="229">
        <v>0.25169999999999998</v>
      </c>
      <c r="CM30" s="230">
        <v>12407150</v>
      </c>
      <c r="CN30" s="230">
        <v>11450425</v>
      </c>
      <c r="CO30" s="230">
        <v>956725</v>
      </c>
      <c r="CP30" s="229">
        <v>8.3599999999999994E-2</v>
      </c>
      <c r="CQ30" s="230">
        <v>6483225</v>
      </c>
      <c r="CR30" s="230">
        <v>5941425</v>
      </c>
      <c r="CS30" s="230">
        <v>541800</v>
      </c>
      <c r="CT30" s="229">
        <v>9.1200000000000003E-2</v>
      </c>
      <c r="CU30" s="230">
        <v>33486600</v>
      </c>
      <c r="CV30" s="230">
        <v>31346350</v>
      </c>
      <c r="CW30" s="230">
        <v>2140250</v>
      </c>
      <c r="CX30" s="229">
        <v>6.83E-2</v>
      </c>
      <c r="CY30" s="228">
        <v>34.090000000000003</v>
      </c>
      <c r="CZ30" s="228">
        <v>30.66</v>
      </c>
      <c r="DA30" s="228">
        <v>3.43</v>
      </c>
      <c r="DB30" s="228">
        <v>3.43</v>
      </c>
      <c r="DC30" s="228">
        <v>28.8</v>
      </c>
      <c r="DD30" s="228">
        <v>28.55</v>
      </c>
      <c r="DE30" s="228">
        <v>5.29</v>
      </c>
      <c r="DF30" s="228">
        <v>0.25</v>
      </c>
      <c r="DG30" s="228">
        <v>32.71</v>
      </c>
      <c r="DH30" s="228">
        <v>29.24</v>
      </c>
      <c r="DI30" s="228">
        <v>3.47</v>
      </c>
      <c r="DJ30" s="228">
        <v>3.47</v>
      </c>
      <c r="DK30" s="228">
        <v>36.380000000000003</v>
      </c>
      <c r="DL30" s="228">
        <v>32.880000000000003</v>
      </c>
      <c r="DM30" s="228">
        <v>3.5</v>
      </c>
      <c r="DN30" s="228">
        <v>3.5</v>
      </c>
      <c r="DO30" s="228">
        <v>0.52</v>
      </c>
      <c r="DP30" s="228">
        <v>0.52</v>
      </c>
      <c r="DQ30" s="228">
        <v>0</v>
      </c>
      <c r="DR30" s="229">
        <v>0</v>
      </c>
      <c r="DS30" s="231">
        <v>4000</v>
      </c>
      <c r="DT30" s="231">
        <v>3800</v>
      </c>
      <c r="DU30" s="228">
        <v>0.61</v>
      </c>
      <c r="DV30" s="228">
        <v>0.64</v>
      </c>
      <c r="DW30" s="228">
        <v>-0.03</v>
      </c>
      <c r="DX30" s="229">
        <v>-4.6899999999999997E-2</v>
      </c>
      <c r="DY30" s="229">
        <v>6.7100000000000007E-2</v>
      </c>
      <c r="DZ30" s="230">
        <v>824250</v>
      </c>
      <c r="EA30" s="229">
        <v>6.4000000000000003E-3</v>
      </c>
      <c r="EB30" s="229">
        <v>6.7100000000000007E-2</v>
      </c>
      <c r="EC30" s="228">
        <v>29.6</v>
      </c>
      <c r="ED30" s="229">
        <v>7.9000000000000008E-3</v>
      </c>
      <c r="EE30" s="230">
        <v>2462108</v>
      </c>
      <c r="EF30" s="230">
        <v>1259195</v>
      </c>
      <c r="EG30" s="229">
        <v>0.95530000000000004</v>
      </c>
      <c r="EH30" s="229">
        <v>0.53210000000000002</v>
      </c>
      <c r="EI30" s="231">
        <v>465333.73</v>
      </c>
      <c r="EJ30" s="231">
        <v>262142.35</v>
      </c>
      <c r="EK30" s="231">
        <v>128025.44</v>
      </c>
      <c r="EL30" s="231">
        <v>21236</v>
      </c>
      <c r="EM30" s="231">
        <v>855501.52</v>
      </c>
      <c r="EN30" s="231">
        <v>469404.67</v>
      </c>
      <c r="EO30" s="231">
        <v>386096.85</v>
      </c>
      <c r="EP30" s="229">
        <v>0.82250000000000001</v>
      </c>
      <c r="EQ30" s="231">
        <v>509482</v>
      </c>
      <c r="ER30" s="231">
        <v>250611</v>
      </c>
      <c r="ES30" s="231">
        <v>544831</v>
      </c>
      <c r="ET30" s="231">
        <v>136109374</v>
      </c>
      <c r="EU30" s="231">
        <v>1304924</v>
      </c>
      <c r="EV30" s="231">
        <v>1242565</v>
      </c>
      <c r="EW30" s="231">
        <v>62359</v>
      </c>
      <c r="EX30" s="229">
        <v>5.0200000000000002E-2</v>
      </c>
      <c r="EY30" s="229">
        <v>0.246</v>
      </c>
    </row>
    <row r="31" spans="1:155" ht="17.25" thickBot="1" x14ac:dyDescent="0.3">
      <c r="A31" s="226">
        <v>46093</v>
      </c>
      <c r="B31" s="227" t="s">
        <v>162</v>
      </c>
      <c r="C31" s="227" t="s">
        <v>251</v>
      </c>
      <c r="D31" s="231">
        <v>3043.3</v>
      </c>
      <c r="E31" s="231">
        <v>3174.6</v>
      </c>
      <c r="F31" s="228">
        <v>-131.30000000000001</v>
      </c>
      <c r="G31" s="229">
        <v>-4.1399999999999999E-2</v>
      </c>
      <c r="H31" s="231">
        <v>3031.2</v>
      </c>
      <c r="I31" s="231">
        <v>3168.2</v>
      </c>
      <c r="J31" s="228">
        <v>-137</v>
      </c>
      <c r="K31" s="229">
        <v>-4.3200000000000002E-2</v>
      </c>
      <c r="L31" s="231">
        <v>3043.3</v>
      </c>
      <c r="M31" s="231">
        <v>3174.6</v>
      </c>
      <c r="N31" s="228">
        <v>-131.30000000000001</v>
      </c>
      <c r="O31" s="229">
        <v>-4.1399999999999999E-2</v>
      </c>
      <c r="P31" s="231">
        <v>3060.7</v>
      </c>
      <c r="Q31" s="231">
        <v>3197.3</v>
      </c>
      <c r="R31" s="228">
        <v>-136.6</v>
      </c>
      <c r="S31" s="229">
        <v>-4.2700000000000002E-2</v>
      </c>
      <c r="T31" s="231">
        <v>3074.4</v>
      </c>
      <c r="U31" s="231">
        <v>3213.9</v>
      </c>
      <c r="V31" s="228">
        <v>-139.5</v>
      </c>
      <c r="W31" s="229">
        <v>-4.3400000000000001E-2</v>
      </c>
      <c r="X31" s="228">
        <v>12.1</v>
      </c>
      <c r="Y31" s="228">
        <v>6.4</v>
      </c>
      <c r="Z31" s="228">
        <v>5.7</v>
      </c>
      <c r="AA31" s="229">
        <v>4.0000000000000001E-3</v>
      </c>
      <c r="AB31" s="228">
        <v>12.1</v>
      </c>
      <c r="AC31" s="228">
        <v>6.4</v>
      </c>
      <c r="AD31" s="228">
        <v>5.7</v>
      </c>
      <c r="AE31" s="229">
        <v>4.0000000000000001E-3</v>
      </c>
      <c r="AF31" s="228">
        <v>29.5</v>
      </c>
      <c r="AG31" s="228">
        <v>29.1</v>
      </c>
      <c r="AH31" s="228">
        <v>0.4</v>
      </c>
      <c r="AI31" s="229">
        <v>9.7000000000000003E-3</v>
      </c>
      <c r="AJ31" s="228">
        <v>43.2</v>
      </c>
      <c r="AK31" s="228">
        <v>45.7</v>
      </c>
      <c r="AL31" s="228">
        <v>-2.5</v>
      </c>
      <c r="AM31" s="229">
        <v>1.43E-2</v>
      </c>
      <c r="AN31" s="231">
        <v>3070.26</v>
      </c>
      <c r="AO31" s="231">
        <v>3089.92</v>
      </c>
      <c r="AP31" s="228">
        <v>0</v>
      </c>
      <c r="AQ31" s="230">
        <v>18901</v>
      </c>
      <c r="AR31" s="230">
        <v>10918</v>
      </c>
      <c r="AS31" s="230">
        <v>7983</v>
      </c>
      <c r="AT31" s="229">
        <v>0.73119999999999996</v>
      </c>
      <c r="AU31" s="230">
        <v>16422</v>
      </c>
      <c r="AV31" s="230">
        <v>9839</v>
      </c>
      <c r="AW31" s="230">
        <v>6583</v>
      </c>
      <c r="AX31" s="229">
        <v>0.66910000000000003</v>
      </c>
      <c r="AY31" s="230">
        <v>1763</v>
      </c>
      <c r="AZ31" s="228">
        <v>887</v>
      </c>
      <c r="BA31" s="228">
        <v>876</v>
      </c>
      <c r="BB31" s="229">
        <v>0.98760000000000003</v>
      </c>
      <c r="BC31" s="228">
        <v>716</v>
      </c>
      <c r="BD31" s="228">
        <v>192</v>
      </c>
      <c r="BE31" s="228">
        <v>524</v>
      </c>
      <c r="BF31" s="229">
        <v>2.7292000000000001</v>
      </c>
      <c r="BG31" s="230">
        <v>53531</v>
      </c>
      <c r="BH31" s="230">
        <v>33554</v>
      </c>
      <c r="BI31" s="230">
        <v>19977</v>
      </c>
      <c r="BJ31" s="229">
        <v>0.59540000000000004</v>
      </c>
      <c r="BK31" s="230">
        <v>44006</v>
      </c>
      <c r="BL31" s="230">
        <v>27880</v>
      </c>
      <c r="BM31" s="230">
        <v>16126</v>
      </c>
      <c r="BN31" s="229">
        <v>0.57840000000000003</v>
      </c>
      <c r="BO31" s="230">
        <v>116438</v>
      </c>
      <c r="BP31" s="230">
        <v>72352</v>
      </c>
      <c r="BQ31" s="230">
        <v>44086</v>
      </c>
      <c r="BR31" s="229">
        <v>0.60929999999999995</v>
      </c>
      <c r="BS31" s="230">
        <v>7405606</v>
      </c>
      <c r="BT31" s="230">
        <v>4680042</v>
      </c>
      <c r="BU31" s="230">
        <v>2725564</v>
      </c>
      <c r="BV31" s="229">
        <v>0.58240000000000003</v>
      </c>
      <c r="BW31" s="230">
        <v>18644400</v>
      </c>
      <c r="BX31" s="230">
        <v>17849200</v>
      </c>
      <c r="BY31" s="230">
        <v>795200</v>
      </c>
      <c r="BZ31" s="229">
        <v>4.4600000000000001E-2</v>
      </c>
      <c r="CA31" s="230">
        <v>17858200</v>
      </c>
      <c r="CB31" s="230">
        <v>17299800</v>
      </c>
      <c r="CC31" s="230">
        <v>558400</v>
      </c>
      <c r="CD31" s="229">
        <v>3.2300000000000002E-2</v>
      </c>
      <c r="CE31" s="230">
        <v>595800</v>
      </c>
      <c r="CF31" s="230">
        <v>454400</v>
      </c>
      <c r="CG31" s="230">
        <v>141400</v>
      </c>
      <c r="CH31" s="229">
        <v>0.31119999999999998</v>
      </c>
      <c r="CI31" s="230">
        <v>190400</v>
      </c>
      <c r="CJ31" s="230">
        <v>95000</v>
      </c>
      <c r="CK31" s="230">
        <v>95400</v>
      </c>
      <c r="CL31" s="229">
        <v>1.0042</v>
      </c>
      <c r="CM31" s="230">
        <v>6546200</v>
      </c>
      <c r="CN31" s="230">
        <v>5573000</v>
      </c>
      <c r="CO31" s="230">
        <v>973200</v>
      </c>
      <c r="CP31" s="229">
        <v>0.17460000000000001</v>
      </c>
      <c r="CQ31" s="230">
        <v>3745600</v>
      </c>
      <c r="CR31" s="230">
        <v>3495000</v>
      </c>
      <c r="CS31" s="230">
        <v>250600</v>
      </c>
      <c r="CT31" s="229">
        <v>7.17E-2</v>
      </c>
      <c r="CU31" s="230">
        <v>28936200</v>
      </c>
      <c r="CV31" s="230">
        <v>26917200</v>
      </c>
      <c r="CW31" s="230">
        <v>2019000</v>
      </c>
      <c r="CX31" s="229">
        <v>7.4999999999999997E-2</v>
      </c>
      <c r="CY31" s="228">
        <v>38.72</v>
      </c>
      <c r="CZ31" s="228">
        <v>34.700000000000003</v>
      </c>
      <c r="DA31" s="228">
        <v>4.0199999999999996</v>
      </c>
      <c r="DB31" s="228">
        <v>4.0199999999999996</v>
      </c>
      <c r="DC31" s="228">
        <v>32.82</v>
      </c>
      <c r="DD31" s="228">
        <v>32.36</v>
      </c>
      <c r="DE31" s="228">
        <v>5.9</v>
      </c>
      <c r="DF31" s="228">
        <v>0.46</v>
      </c>
      <c r="DG31" s="228">
        <v>38.19</v>
      </c>
      <c r="DH31" s="228">
        <v>33.950000000000003</v>
      </c>
      <c r="DI31" s="228">
        <v>4.24</v>
      </c>
      <c r="DJ31" s="228">
        <v>4.24</v>
      </c>
      <c r="DK31" s="228">
        <v>39.36</v>
      </c>
      <c r="DL31" s="228">
        <v>35.6</v>
      </c>
      <c r="DM31" s="228">
        <v>3.76</v>
      </c>
      <c r="DN31" s="228">
        <v>3.76</v>
      </c>
      <c r="DO31" s="228">
        <v>0.56999999999999995</v>
      </c>
      <c r="DP31" s="228">
        <v>0.63</v>
      </c>
      <c r="DQ31" s="228">
        <v>-0.06</v>
      </c>
      <c r="DR31" s="229">
        <v>-9.5200000000000007E-2</v>
      </c>
      <c r="DS31" s="231">
        <v>3500</v>
      </c>
      <c r="DT31" s="231">
        <v>3400</v>
      </c>
      <c r="DU31" s="228">
        <v>0.82</v>
      </c>
      <c r="DV31" s="228">
        <v>0.83</v>
      </c>
      <c r="DW31" s="228">
        <v>-0.01</v>
      </c>
      <c r="DX31" s="229">
        <v>-1.2E-2</v>
      </c>
      <c r="DY31" s="229">
        <v>4.2200000000000001E-2</v>
      </c>
      <c r="DZ31" s="230">
        <v>549400</v>
      </c>
      <c r="EA31" s="229">
        <v>5.7000000000000002E-3</v>
      </c>
      <c r="EB31" s="229">
        <v>4.2200000000000001E-2</v>
      </c>
      <c r="EC31" s="228">
        <v>19.66</v>
      </c>
      <c r="ED31" s="229">
        <v>6.4000000000000003E-3</v>
      </c>
      <c r="EE31" s="230">
        <v>4892877</v>
      </c>
      <c r="EF31" s="230">
        <v>3169477</v>
      </c>
      <c r="EG31" s="229">
        <v>0.54369999999999996</v>
      </c>
      <c r="EH31" s="229">
        <v>0.66069999999999995</v>
      </c>
      <c r="EI31" s="231">
        <v>357378.71</v>
      </c>
      <c r="EJ31" s="231">
        <v>270498.39</v>
      </c>
      <c r="EK31" s="231">
        <v>116176.77</v>
      </c>
      <c r="EL31" s="231">
        <v>11438</v>
      </c>
      <c r="EM31" s="231">
        <v>744053.87</v>
      </c>
      <c r="EN31" s="231">
        <v>479080.44</v>
      </c>
      <c r="EO31" s="231">
        <v>264973.43</v>
      </c>
      <c r="EP31" s="229">
        <v>0.55310000000000004</v>
      </c>
      <c r="EQ31" s="231">
        <v>230498</v>
      </c>
      <c r="ER31" s="231">
        <v>121853</v>
      </c>
      <c r="ES31" s="231">
        <v>567568</v>
      </c>
      <c r="ET31" s="231">
        <v>95452027</v>
      </c>
      <c r="EU31" s="231">
        <v>919918</v>
      </c>
      <c r="EV31" s="231">
        <v>881329</v>
      </c>
      <c r="EW31" s="231">
        <v>38589</v>
      </c>
      <c r="EX31" s="229">
        <v>4.3799999999999999E-2</v>
      </c>
      <c r="EY31" s="229">
        <v>0.30309999999999998</v>
      </c>
    </row>
    <row r="32" spans="1:155" ht="17.25" thickBot="1" x14ac:dyDescent="0.3">
      <c r="A32" s="226">
        <v>46093</v>
      </c>
      <c r="B32" s="227" t="s">
        <v>162</v>
      </c>
      <c r="C32" s="227" t="s">
        <v>255</v>
      </c>
      <c r="D32" s="231">
        <v>13059</v>
      </c>
      <c r="E32" s="231">
        <v>13509</v>
      </c>
      <c r="F32" s="228">
        <v>-450</v>
      </c>
      <c r="G32" s="229">
        <v>-3.3300000000000003E-2</v>
      </c>
      <c r="H32" s="231">
        <v>13011</v>
      </c>
      <c r="I32" s="231">
        <v>13497</v>
      </c>
      <c r="J32" s="228">
        <v>-486</v>
      </c>
      <c r="K32" s="229">
        <v>-3.5999999999999997E-2</v>
      </c>
      <c r="L32" s="231">
        <v>13059</v>
      </c>
      <c r="M32" s="231">
        <v>13509</v>
      </c>
      <c r="N32" s="228">
        <v>-450</v>
      </c>
      <c r="O32" s="229">
        <v>-3.3300000000000003E-2</v>
      </c>
      <c r="P32" s="231">
        <v>13138</v>
      </c>
      <c r="Q32" s="231">
        <v>13597</v>
      </c>
      <c r="R32" s="228">
        <v>-459</v>
      </c>
      <c r="S32" s="229">
        <v>-3.3799999999999997E-2</v>
      </c>
      <c r="T32" s="231">
        <v>13190</v>
      </c>
      <c r="U32" s="231">
        <v>13659</v>
      </c>
      <c r="V32" s="228">
        <v>-469</v>
      </c>
      <c r="W32" s="229">
        <v>-3.4299999999999997E-2</v>
      </c>
      <c r="X32" s="228">
        <v>48</v>
      </c>
      <c r="Y32" s="228">
        <v>12</v>
      </c>
      <c r="Z32" s="228">
        <v>36</v>
      </c>
      <c r="AA32" s="229">
        <v>3.7000000000000002E-3</v>
      </c>
      <c r="AB32" s="228">
        <v>48</v>
      </c>
      <c r="AC32" s="228">
        <v>12</v>
      </c>
      <c r="AD32" s="228">
        <v>36</v>
      </c>
      <c r="AE32" s="229">
        <v>3.7000000000000002E-3</v>
      </c>
      <c r="AF32" s="228">
        <v>127</v>
      </c>
      <c r="AG32" s="228">
        <v>100</v>
      </c>
      <c r="AH32" s="228">
        <v>27</v>
      </c>
      <c r="AI32" s="229">
        <v>9.7999999999999997E-3</v>
      </c>
      <c r="AJ32" s="228">
        <v>179</v>
      </c>
      <c r="AK32" s="228">
        <v>162</v>
      </c>
      <c r="AL32" s="228">
        <v>17</v>
      </c>
      <c r="AM32" s="229">
        <v>1.38E-2</v>
      </c>
      <c r="AN32" s="231">
        <v>13197.08</v>
      </c>
      <c r="AO32" s="231">
        <v>13277.53</v>
      </c>
      <c r="AP32" s="228">
        <v>0</v>
      </c>
      <c r="AQ32" s="230">
        <v>14637</v>
      </c>
      <c r="AR32" s="230">
        <v>10026</v>
      </c>
      <c r="AS32" s="230">
        <v>4611</v>
      </c>
      <c r="AT32" s="229">
        <v>0.45989999999999998</v>
      </c>
      <c r="AU32" s="230">
        <v>13447</v>
      </c>
      <c r="AV32" s="230">
        <v>9274</v>
      </c>
      <c r="AW32" s="230">
        <v>4173</v>
      </c>
      <c r="AX32" s="229">
        <v>0.45</v>
      </c>
      <c r="AY32" s="230">
        <v>1077</v>
      </c>
      <c r="AZ32" s="228">
        <v>668</v>
      </c>
      <c r="BA32" s="228">
        <v>409</v>
      </c>
      <c r="BB32" s="229">
        <v>0.61229999999999996</v>
      </c>
      <c r="BC32" s="228">
        <v>113</v>
      </c>
      <c r="BD32" s="228">
        <v>84</v>
      </c>
      <c r="BE32" s="228">
        <v>29</v>
      </c>
      <c r="BF32" s="229">
        <v>0.34520000000000001</v>
      </c>
      <c r="BG32" s="230">
        <v>77378</v>
      </c>
      <c r="BH32" s="230">
        <v>54754</v>
      </c>
      <c r="BI32" s="230">
        <v>22624</v>
      </c>
      <c r="BJ32" s="229">
        <v>0.41320000000000001</v>
      </c>
      <c r="BK32" s="230">
        <v>54945</v>
      </c>
      <c r="BL32" s="230">
        <v>43457</v>
      </c>
      <c r="BM32" s="230">
        <v>11488</v>
      </c>
      <c r="BN32" s="229">
        <v>0.26440000000000002</v>
      </c>
      <c r="BO32" s="230">
        <v>146960</v>
      </c>
      <c r="BP32" s="230">
        <v>108237</v>
      </c>
      <c r="BQ32" s="230">
        <v>38723</v>
      </c>
      <c r="BR32" s="229">
        <v>0.35780000000000001</v>
      </c>
      <c r="BS32" s="230">
        <v>668239</v>
      </c>
      <c r="BT32" s="230">
        <v>412095</v>
      </c>
      <c r="BU32" s="230">
        <v>256144</v>
      </c>
      <c r="BV32" s="229">
        <v>0.62160000000000004</v>
      </c>
      <c r="BW32" s="230">
        <v>2852700</v>
      </c>
      <c r="BX32" s="230">
        <v>2783400</v>
      </c>
      <c r="BY32" s="230">
        <v>69300</v>
      </c>
      <c r="BZ32" s="229">
        <v>2.4899999999999999E-2</v>
      </c>
      <c r="CA32" s="230">
        <v>2756800</v>
      </c>
      <c r="CB32" s="230">
        <v>2704700</v>
      </c>
      <c r="CC32" s="230">
        <v>52100</v>
      </c>
      <c r="CD32" s="229">
        <v>1.9300000000000001E-2</v>
      </c>
      <c r="CE32" s="230">
        <v>83100</v>
      </c>
      <c r="CF32" s="230">
        <v>66650</v>
      </c>
      <c r="CG32" s="230">
        <v>16450</v>
      </c>
      <c r="CH32" s="229">
        <v>0.24679999999999999</v>
      </c>
      <c r="CI32" s="230">
        <v>12800</v>
      </c>
      <c r="CJ32" s="230">
        <v>12050</v>
      </c>
      <c r="CK32" s="228">
        <v>750</v>
      </c>
      <c r="CL32" s="229">
        <v>6.2199999999999998E-2</v>
      </c>
      <c r="CM32" s="230">
        <v>2731350</v>
      </c>
      <c r="CN32" s="230">
        <v>2377300</v>
      </c>
      <c r="CO32" s="230">
        <v>354050</v>
      </c>
      <c r="CP32" s="229">
        <v>0.1489</v>
      </c>
      <c r="CQ32" s="230">
        <v>1075300</v>
      </c>
      <c r="CR32" s="230">
        <v>999150</v>
      </c>
      <c r="CS32" s="230">
        <v>76150</v>
      </c>
      <c r="CT32" s="229">
        <v>7.6200000000000004E-2</v>
      </c>
      <c r="CU32" s="230">
        <v>6659350</v>
      </c>
      <c r="CV32" s="230">
        <v>6159850</v>
      </c>
      <c r="CW32" s="230">
        <v>499500</v>
      </c>
      <c r="CX32" s="229">
        <v>8.1100000000000005E-2</v>
      </c>
      <c r="CY32" s="228">
        <v>34.229999999999997</v>
      </c>
      <c r="CZ32" s="228">
        <v>31.23</v>
      </c>
      <c r="DA32" s="228">
        <v>3</v>
      </c>
      <c r="DB32" s="228">
        <v>3</v>
      </c>
      <c r="DC32" s="228">
        <v>26.85</v>
      </c>
      <c r="DD32" s="228">
        <v>26.46</v>
      </c>
      <c r="DE32" s="228">
        <v>7.38</v>
      </c>
      <c r="DF32" s="228">
        <v>0.39</v>
      </c>
      <c r="DG32" s="228">
        <v>33.76</v>
      </c>
      <c r="DH32" s="228">
        <v>30.28</v>
      </c>
      <c r="DI32" s="228">
        <v>3.48</v>
      </c>
      <c r="DJ32" s="228">
        <v>3.48</v>
      </c>
      <c r="DK32" s="228">
        <v>34.880000000000003</v>
      </c>
      <c r="DL32" s="228">
        <v>32.43</v>
      </c>
      <c r="DM32" s="228">
        <v>2.4500000000000002</v>
      </c>
      <c r="DN32" s="228">
        <v>2.4500000000000002</v>
      </c>
      <c r="DO32" s="228">
        <v>0.39</v>
      </c>
      <c r="DP32" s="228">
        <v>0.42</v>
      </c>
      <c r="DQ32" s="228">
        <v>-0.03</v>
      </c>
      <c r="DR32" s="229">
        <v>-7.1400000000000005E-2</v>
      </c>
      <c r="DS32" s="231">
        <v>15000</v>
      </c>
      <c r="DT32" s="231">
        <v>13000</v>
      </c>
      <c r="DU32" s="228">
        <v>0.71</v>
      </c>
      <c r="DV32" s="228">
        <v>0.79</v>
      </c>
      <c r="DW32" s="228">
        <v>-0.08</v>
      </c>
      <c r="DX32" s="229">
        <v>-0.1013</v>
      </c>
      <c r="DY32" s="229">
        <v>3.3599999999999998E-2</v>
      </c>
      <c r="DZ32" s="230">
        <v>78700</v>
      </c>
      <c r="EA32" s="229">
        <v>6.0000000000000001E-3</v>
      </c>
      <c r="EB32" s="229">
        <v>3.3599999999999998E-2</v>
      </c>
      <c r="EC32" s="228">
        <v>80.45</v>
      </c>
      <c r="ED32" s="229">
        <v>6.1000000000000004E-3</v>
      </c>
      <c r="EE32" s="230">
        <v>409914</v>
      </c>
      <c r="EF32" s="230">
        <v>195369</v>
      </c>
      <c r="EG32" s="229">
        <v>1.0982000000000001</v>
      </c>
      <c r="EH32" s="229">
        <v>0.61339999999999995</v>
      </c>
      <c r="EI32" s="231">
        <v>552029.59</v>
      </c>
      <c r="EJ32" s="231">
        <v>363161.09</v>
      </c>
      <c r="EK32" s="231">
        <v>96634.14</v>
      </c>
      <c r="EL32" s="231">
        <v>9438</v>
      </c>
      <c r="EM32" s="231">
        <v>1011824.82</v>
      </c>
      <c r="EN32" s="231">
        <v>758739.68</v>
      </c>
      <c r="EO32" s="231">
        <v>253085.14</v>
      </c>
      <c r="EP32" s="229">
        <v>0.33360000000000001</v>
      </c>
      <c r="EQ32" s="231">
        <v>402551</v>
      </c>
      <c r="ER32" s="231">
        <v>146363</v>
      </c>
      <c r="ES32" s="231">
        <v>372617</v>
      </c>
      <c r="ET32" s="231">
        <v>17687048</v>
      </c>
      <c r="EU32" s="231">
        <v>921530</v>
      </c>
      <c r="EV32" s="231">
        <v>867419</v>
      </c>
      <c r="EW32" s="231">
        <v>54111</v>
      </c>
      <c r="EX32" s="229">
        <v>6.2399999999999997E-2</v>
      </c>
      <c r="EY32" s="229">
        <v>0.3765</v>
      </c>
    </row>
    <row r="33" spans="1:155" ht="17.25" thickBot="1" x14ac:dyDescent="0.3">
      <c r="A33" s="226">
        <v>46093</v>
      </c>
      <c r="B33" s="227" t="s">
        <v>170</v>
      </c>
      <c r="C33" s="227" t="s">
        <v>603</v>
      </c>
      <c r="D33" s="231">
        <v>1022.7</v>
      </c>
      <c r="E33" s="231">
        <v>1033.2</v>
      </c>
      <c r="F33" s="228">
        <v>-10.5</v>
      </c>
      <c r="G33" s="229">
        <v>-1.0200000000000001E-2</v>
      </c>
      <c r="H33" s="231">
        <v>1020.4</v>
      </c>
      <c r="I33" s="231">
        <v>1032.2</v>
      </c>
      <c r="J33" s="228">
        <v>-11.8</v>
      </c>
      <c r="K33" s="229">
        <v>-1.14E-2</v>
      </c>
      <c r="L33" s="231">
        <v>1022.7</v>
      </c>
      <c r="M33" s="231">
        <v>1033.2</v>
      </c>
      <c r="N33" s="228">
        <v>-10.5</v>
      </c>
      <c r="O33" s="229">
        <v>-1.0200000000000001E-2</v>
      </c>
      <c r="P33" s="231">
        <v>1029.2</v>
      </c>
      <c r="Q33" s="231">
        <v>1040.4000000000001</v>
      </c>
      <c r="R33" s="228">
        <v>-11.2</v>
      </c>
      <c r="S33" s="229">
        <v>-1.0800000000000001E-2</v>
      </c>
      <c r="T33" s="231">
        <v>1034.3</v>
      </c>
      <c r="U33" s="231">
        <v>1044.0999999999999</v>
      </c>
      <c r="V33" s="228">
        <v>-9.8000000000000007</v>
      </c>
      <c r="W33" s="229">
        <v>-9.4000000000000004E-3</v>
      </c>
      <c r="X33" s="228">
        <v>2.2999999999999998</v>
      </c>
      <c r="Y33" s="228">
        <v>1</v>
      </c>
      <c r="Z33" s="228">
        <v>1.3</v>
      </c>
      <c r="AA33" s="229">
        <v>2.3E-3</v>
      </c>
      <c r="AB33" s="228">
        <v>2.2999999999999998</v>
      </c>
      <c r="AC33" s="228">
        <v>1</v>
      </c>
      <c r="AD33" s="228">
        <v>1.3</v>
      </c>
      <c r="AE33" s="229">
        <v>2.3E-3</v>
      </c>
      <c r="AF33" s="228">
        <v>8.8000000000000007</v>
      </c>
      <c r="AG33" s="228">
        <v>8.1999999999999993</v>
      </c>
      <c r="AH33" s="228">
        <v>0.6</v>
      </c>
      <c r="AI33" s="229">
        <v>8.6E-3</v>
      </c>
      <c r="AJ33" s="228">
        <v>13.9</v>
      </c>
      <c r="AK33" s="228">
        <v>11.9</v>
      </c>
      <c r="AL33" s="228">
        <v>2</v>
      </c>
      <c r="AM33" s="229">
        <v>1.3599999999999999E-2</v>
      </c>
      <c r="AN33" s="231">
        <v>1022.85</v>
      </c>
      <c r="AO33" s="231">
        <v>1030.25</v>
      </c>
      <c r="AP33" s="228">
        <v>0</v>
      </c>
      <c r="AQ33" s="230">
        <v>3069</v>
      </c>
      <c r="AR33" s="230">
        <v>2570</v>
      </c>
      <c r="AS33" s="228">
        <v>499</v>
      </c>
      <c r="AT33" s="229">
        <v>0.19420000000000001</v>
      </c>
      <c r="AU33" s="230">
        <v>2917</v>
      </c>
      <c r="AV33" s="230">
        <v>2435</v>
      </c>
      <c r="AW33" s="228">
        <v>482</v>
      </c>
      <c r="AX33" s="229">
        <v>0.19789999999999999</v>
      </c>
      <c r="AY33" s="228">
        <v>141</v>
      </c>
      <c r="AZ33" s="228">
        <v>133</v>
      </c>
      <c r="BA33" s="228">
        <v>8</v>
      </c>
      <c r="BB33" s="229">
        <v>6.0199999999999997E-2</v>
      </c>
      <c r="BC33" s="228">
        <v>11</v>
      </c>
      <c r="BD33" s="228">
        <v>2</v>
      </c>
      <c r="BE33" s="228">
        <v>9</v>
      </c>
      <c r="BF33" s="229">
        <v>4.5</v>
      </c>
      <c r="BG33" s="230">
        <v>5333</v>
      </c>
      <c r="BH33" s="230">
        <v>5447</v>
      </c>
      <c r="BI33" s="228">
        <v>-114</v>
      </c>
      <c r="BJ33" s="229">
        <v>-2.0899999999999998E-2</v>
      </c>
      <c r="BK33" s="230">
        <v>3903</v>
      </c>
      <c r="BL33" s="230">
        <v>4487</v>
      </c>
      <c r="BM33" s="228">
        <v>-584</v>
      </c>
      <c r="BN33" s="229">
        <v>-0.13020000000000001</v>
      </c>
      <c r="BO33" s="230">
        <v>12305</v>
      </c>
      <c r="BP33" s="230">
        <v>12504</v>
      </c>
      <c r="BQ33" s="228">
        <v>-199</v>
      </c>
      <c r="BR33" s="229">
        <v>-1.5900000000000001E-2</v>
      </c>
      <c r="BS33" s="230">
        <v>5772624</v>
      </c>
      <c r="BT33" s="230">
        <v>2239035</v>
      </c>
      <c r="BU33" s="230">
        <v>3533589</v>
      </c>
      <c r="BV33" s="229">
        <v>1.5782</v>
      </c>
      <c r="BW33" s="230">
        <v>13491450</v>
      </c>
      <c r="BX33" s="230">
        <v>13625850</v>
      </c>
      <c r="BY33" s="230">
        <v>-134400</v>
      </c>
      <c r="BZ33" s="229">
        <v>-9.9000000000000008E-3</v>
      </c>
      <c r="CA33" s="230">
        <v>13265175</v>
      </c>
      <c r="CB33" s="230">
        <v>13422675</v>
      </c>
      <c r="CC33" s="230">
        <v>-157500</v>
      </c>
      <c r="CD33" s="229">
        <v>-1.17E-2</v>
      </c>
      <c r="CE33" s="230">
        <v>200025</v>
      </c>
      <c r="CF33" s="230">
        <v>181125</v>
      </c>
      <c r="CG33" s="230">
        <v>18900</v>
      </c>
      <c r="CH33" s="229">
        <v>0.1043</v>
      </c>
      <c r="CI33" s="230">
        <v>26250</v>
      </c>
      <c r="CJ33" s="230">
        <v>22050</v>
      </c>
      <c r="CK33" s="230">
        <v>4200</v>
      </c>
      <c r="CL33" s="229">
        <v>0.1905</v>
      </c>
      <c r="CM33" s="230">
        <v>2662275</v>
      </c>
      <c r="CN33" s="230">
        <v>2552025</v>
      </c>
      <c r="CO33" s="230">
        <v>110250</v>
      </c>
      <c r="CP33" s="229">
        <v>4.3200000000000002E-2</v>
      </c>
      <c r="CQ33" s="230">
        <v>2285325</v>
      </c>
      <c r="CR33" s="230">
        <v>2216550</v>
      </c>
      <c r="CS33" s="230">
        <v>68775</v>
      </c>
      <c r="CT33" s="229">
        <v>3.1E-2</v>
      </c>
      <c r="CU33" s="230">
        <v>18439050</v>
      </c>
      <c r="CV33" s="230">
        <v>18394425</v>
      </c>
      <c r="CW33" s="230">
        <v>44625</v>
      </c>
      <c r="CX33" s="229">
        <v>2.3999999999999998E-3</v>
      </c>
      <c r="CY33" s="228">
        <v>30.66</v>
      </c>
      <c r="CZ33" s="228">
        <v>31.3</v>
      </c>
      <c r="DA33" s="228">
        <v>-0.64</v>
      </c>
      <c r="DB33" s="228">
        <v>-0.64</v>
      </c>
      <c r="DC33" s="228">
        <v>36.869999999999997</v>
      </c>
      <c r="DD33" s="228">
        <v>36.93</v>
      </c>
      <c r="DE33" s="228">
        <v>-6.21</v>
      </c>
      <c r="DF33" s="228">
        <v>-0.06</v>
      </c>
      <c r="DG33" s="228">
        <v>29.87</v>
      </c>
      <c r="DH33" s="228">
        <v>30.53</v>
      </c>
      <c r="DI33" s="228">
        <v>-0.66</v>
      </c>
      <c r="DJ33" s="228">
        <v>-0.66</v>
      </c>
      <c r="DK33" s="228">
        <v>31.74</v>
      </c>
      <c r="DL33" s="228">
        <v>32.24</v>
      </c>
      <c r="DM33" s="228">
        <v>-0.5</v>
      </c>
      <c r="DN33" s="228">
        <v>-0.5</v>
      </c>
      <c r="DO33" s="228">
        <v>0.86</v>
      </c>
      <c r="DP33" s="228">
        <v>0.87</v>
      </c>
      <c r="DQ33" s="228">
        <v>-0.01</v>
      </c>
      <c r="DR33" s="229">
        <v>-1.15E-2</v>
      </c>
      <c r="DS33" s="231">
        <v>1100</v>
      </c>
      <c r="DT33" s="231">
        <v>1020</v>
      </c>
      <c r="DU33" s="228">
        <v>0.73</v>
      </c>
      <c r="DV33" s="228">
        <v>0.82</v>
      </c>
      <c r="DW33" s="228">
        <v>-0.09</v>
      </c>
      <c r="DX33" s="229">
        <v>-0.10979999999999999</v>
      </c>
      <c r="DY33" s="229">
        <v>1.6799999999999999E-2</v>
      </c>
      <c r="DZ33" s="230">
        <v>203175</v>
      </c>
      <c r="EA33" s="229">
        <v>6.4000000000000003E-3</v>
      </c>
      <c r="EB33" s="229">
        <v>1.6799999999999999E-2</v>
      </c>
      <c r="EC33" s="228">
        <v>7.4</v>
      </c>
      <c r="ED33" s="229">
        <v>7.1999999999999998E-3</v>
      </c>
      <c r="EE33" s="230">
        <v>4242335</v>
      </c>
      <c r="EF33" s="230">
        <v>1460181</v>
      </c>
      <c r="EG33" s="229">
        <v>1.9053</v>
      </c>
      <c r="EH33" s="229">
        <v>0.7349</v>
      </c>
      <c r="EI33" s="231">
        <v>30293.22</v>
      </c>
      <c r="EJ33" s="231">
        <v>21252.66</v>
      </c>
      <c r="EK33" s="231">
        <v>16486.47</v>
      </c>
      <c r="EL33" s="231">
        <v>3118</v>
      </c>
      <c r="EM33" s="231">
        <v>68032.350000000006</v>
      </c>
      <c r="EN33" s="231">
        <v>69628.399999999994</v>
      </c>
      <c r="EO33" s="231">
        <v>-1596.05</v>
      </c>
      <c r="EP33" s="229">
        <v>-2.29E-2</v>
      </c>
      <c r="EQ33" s="231">
        <v>29432</v>
      </c>
      <c r="ER33" s="231">
        <v>23815</v>
      </c>
      <c r="ES33" s="231">
        <v>137993</v>
      </c>
      <c r="ET33" s="231">
        <v>111218809</v>
      </c>
      <c r="EU33" s="231">
        <v>191241</v>
      </c>
      <c r="EV33" s="231">
        <v>192239</v>
      </c>
      <c r="EW33" s="228">
        <v>-998</v>
      </c>
      <c r="EX33" s="229">
        <v>-5.1999999999999998E-3</v>
      </c>
      <c r="EY33" s="229">
        <v>0.1658</v>
      </c>
    </row>
    <row r="34" spans="1:155" ht="17.25" thickBot="1" x14ac:dyDescent="0.3">
      <c r="A34" s="226">
        <v>46093</v>
      </c>
      <c r="B34" s="227" t="s">
        <v>168</v>
      </c>
      <c r="C34" s="227" t="s">
        <v>265</v>
      </c>
      <c r="D34" s="231">
        <v>1223.0999999999999</v>
      </c>
      <c r="E34" s="231">
        <v>1234</v>
      </c>
      <c r="F34" s="228">
        <v>-10.9</v>
      </c>
      <c r="G34" s="229">
        <v>-8.8000000000000005E-3</v>
      </c>
      <c r="H34" s="231">
        <v>1220.8</v>
      </c>
      <c r="I34" s="231">
        <v>1233.7</v>
      </c>
      <c r="J34" s="228">
        <v>-12.9</v>
      </c>
      <c r="K34" s="229">
        <v>-1.0500000000000001E-2</v>
      </c>
      <c r="L34" s="231">
        <v>1223.0999999999999</v>
      </c>
      <c r="M34" s="231">
        <v>1234</v>
      </c>
      <c r="N34" s="228">
        <v>-10.9</v>
      </c>
      <c r="O34" s="229">
        <v>-8.8000000000000005E-3</v>
      </c>
      <c r="P34" s="231">
        <v>1231.0999999999999</v>
      </c>
      <c r="Q34" s="231">
        <v>1241.8</v>
      </c>
      <c r="R34" s="228">
        <v>-10.7</v>
      </c>
      <c r="S34" s="229">
        <v>-8.6E-3</v>
      </c>
      <c r="T34" s="231">
        <v>1228.2</v>
      </c>
      <c r="U34" s="231">
        <v>1245.9000000000001</v>
      </c>
      <c r="V34" s="228">
        <v>-17.7</v>
      </c>
      <c r="W34" s="229">
        <v>-1.4200000000000001E-2</v>
      </c>
      <c r="X34" s="228">
        <v>2.2999999999999998</v>
      </c>
      <c r="Y34" s="228">
        <v>0.3</v>
      </c>
      <c r="Z34" s="228">
        <v>2</v>
      </c>
      <c r="AA34" s="229">
        <v>1.9E-3</v>
      </c>
      <c r="AB34" s="228">
        <v>2.2999999999999998</v>
      </c>
      <c r="AC34" s="228">
        <v>0.3</v>
      </c>
      <c r="AD34" s="228">
        <v>2</v>
      </c>
      <c r="AE34" s="229">
        <v>1.9E-3</v>
      </c>
      <c r="AF34" s="228">
        <v>10.3</v>
      </c>
      <c r="AG34" s="228">
        <v>8.1</v>
      </c>
      <c r="AH34" s="228">
        <v>2.2000000000000002</v>
      </c>
      <c r="AI34" s="229">
        <v>8.3999999999999995E-3</v>
      </c>
      <c r="AJ34" s="228">
        <v>7.4</v>
      </c>
      <c r="AK34" s="228">
        <v>12.2</v>
      </c>
      <c r="AL34" s="228">
        <v>-4.8</v>
      </c>
      <c r="AM34" s="229">
        <v>6.1000000000000004E-3</v>
      </c>
      <c r="AN34" s="231">
        <v>1222.17</v>
      </c>
      <c r="AO34" s="231">
        <v>1230.6400000000001</v>
      </c>
      <c r="AP34" s="228">
        <v>0</v>
      </c>
      <c r="AQ34" s="230">
        <v>3051</v>
      </c>
      <c r="AR34" s="230">
        <v>2699</v>
      </c>
      <c r="AS34" s="228">
        <v>352</v>
      </c>
      <c r="AT34" s="229">
        <v>0.13039999999999999</v>
      </c>
      <c r="AU34" s="230">
        <v>2934</v>
      </c>
      <c r="AV34" s="230">
        <v>2556</v>
      </c>
      <c r="AW34" s="228">
        <v>378</v>
      </c>
      <c r="AX34" s="229">
        <v>0.1479</v>
      </c>
      <c r="AY34" s="228">
        <v>113</v>
      </c>
      <c r="AZ34" s="228">
        <v>136</v>
      </c>
      <c r="BA34" s="228">
        <v>-23</v>
      </c>
      <c r="BB34" s="229">
        <v>-0.1691</v>
      </c>
      <c r="BC34" s="228">
        <v>4</v>
      </c>
      <c r="BD34" s="228">
        <v>7</v>
      </c>
      <c r="BE34" s="228">
        <v>-3</v>
      </c>
      <c r="BF34" s="229">
        <v>-0.42859999999999998</v>
      </c>
      <c r="BG34" s="230">
        <v>3340</v>
      </c>
      <c r="BH34" s="230">
        <v>3298</v>
      </c>
      <c r="BI34" s="228">
        <v>42</v>
      </c>
      <c r="BJ34" s="229">
        <v>1.2699999999999999E-2</v>
      </c>
      <c r="BK34" s="230">
        <v>2625</v>
      </c>
      <c r="BL34" s="230">
        <v>2200</v>
      </c>
      <c r="BM34" s="228">
        <v>425</v>
      </c>
      <c r="BN34" s="229">
        <v>0.19320000000000001</v>
      </c>
      <c r="BO34" s="230">
        <v>9016</v>
      </c>
      <c r="BP34" s="230">
        <v>8197</v>
      </c>
      <c r="BQ34" s="228">
        <v>819</v>
      </c>
      <c r="BR34" s="229">
        <v>9.9900000000000003E-2</v>
      </c>
      <c r="BS34" s="230">
        <v>1371900</v>
      </c>
      <c r="BT34" s="230">
        <v>1531212</v>
      </c>
      <c r="BU34" s="230">
        <v>-159312</v>
      </c>
      <c r="BV34" s="229">
        <v>-0.104</v>
      </c>
      <c r="BW34" s="230">
        <v>16435500</v>
      </c>
      <c r="BX34" s="230">
        <v>16550500</v>
      </c>
      <c r="BY34" s="230">
        <v>-115000</v>
      </c>
      <c r="BZ34" s="229">
        <v>-6.8999999999999999E-3</v>
      </c>
      <c r="CA34" s="230">
        <v>15740000</v>
      </c>
      <c r="CB34" s="230">
        <v>15867000</v>
      </c>
      <c r="CC34" s="230">
        <v>-127000</v>
      </c>
      <c r="CD34" s="229">
        <v>-8.0000000000000002E-3</v>
      </c>
      <c r="CE34" s="230">
        <v>671000</v>
      </c>
      <c r="CF34" s="230">
        <v>658500</v>
      </c>
      <c r="CG34" s="230">
        <v>12500</v>
      </c>
      <c r="CH34" s="229">
        <v>1.9E-2</v>
      </c>
      <c r="CI34" s="230">
        <v>24500</v>
      </c>
      <c r="CJ34" s="230">
        <v>25000</v>
      </c>
      <c r="CK34" s="228">
        <v>-500</v>
      </c>
      <c r="CL34" s="229">
        <v>-0.02</v>
      </c>
      <c r="CM34" s="230">
        <v>3700500</v>
      </c>
      <c r="CN34" s="230">
        <v>3681000</v>
      </c>
      <c r="CO34" s="230">
        <v>19500</v>
      </c>
      <c r="CP34" s="229">
        <v>5.3E-3</v>
      </c>
      <c r="CQ34" s="230">
        <v>1736000</v>
      </c>
      <c r="CR34" s="230">
        <v>1587500</v>
      </c>
      <c r="CS34" s="230">
        <v>148500</v>
      </c>
      <c r="CT34" s="229">
        <v>9.35E-2</v>
      </c>
      <c r="CU34" s="230">
        <v>21872000</v>
      </c>
      <c r="CV34" s="230">
        <v>21819000</v>
      </c>
      <c r="CW34" s="230">
        <v>53000</v>
      </c>
      <c r="CX34" s="229">
        <v>2.3999999999999998E-3</v>
      </c>
      <c r="CY34" s="228">
        <v>24.29</v>
      </c>
      <c r="CZ34" s="228">
        <v>23.85</v>
      </c>
      <c r="DA34" s="228">
        <v>0.44</v>
      </c>
      <c r="DB34" s="228">
        <v>0.44</v>
      </c>
      <c r="DC34" s="228">
        <v>23.21</v>
      </c>
      <c r="DD34" s="228">
        <v>23.23</v>
      </c>
      <c r="DE34" s="228">
        <v>1.08</v>
      </c>
      <c r="DF34" s="228">
        <v>-0.02</v>
      </c>
      <c r="DG34" s="228">
        <v>22.98</v>
      </c>
      <c r="DH34" s="228">
        <v>23.14</v>
      </c>
      <c r="DI34" s="228">
        <v>-0.16</v>
      </c>
      <c r="DJ34" s="228">
        <v>-0.16</v>
      </c>
      <c r="DK34" s="228">
        <v>25.97</v>
      </c>
      <c r="DL34" s="228">
        <v>24.92</v>
      </c>
      <c r="DM34" s="228">
        <v>1.05</v>
      </c>
      <c r="DN34" s="228">
        <v>1.05</v>
      </c>
      <c r="DO34" s="228">
        <v>0.47</v>
      </c>
      <c r="DP34" s="228">
        <v>0.43</v>
      </c>
      <c r="DQ34" s="228">
        <v>0.04</v>
      </c>
      <c r="DR34" s="229">
        <v>9.2999999999999999E-2</v>
      </c>
      <c r="DS34" s="231">
        <v>1260</v>
      </c>
      <c r="DT34" s="231">
        <v>1200</v>
      </c>
      <c r="DU34" s="228">
        <v>0.79</v>
      </c>
      <c r="DV34" s="228">
        <v>0.67</v>
      </c>
      <c r="DW34" s="228">
        <v>0.12</v>
      </c>
      <c r="DX34" s="229">
        <v>0.17910000000000001</v>
      </c>
      <c r="DY34" s="229">
        <v>4.2299999999999997E-2</v>
      </c>
      <c r="DZ34" s="230">
        <v>683500</v>
      </c>
      <c r="EA34" s="229">
        <v>6.4999999999999997E-3</v>
      </c>
      <c r="EB34" s="229">
        <v>4.2299999999999997E-2</v>
      </c>
      <c r="EC34" s="228">
        <v>8.4700000000000006</v>
      </c>
      <c r="ED34" s="229">
        <v>6.8999999999999999E-3</v>
      </c>
      <c r="EE34" s="230">
        <v>847836</v>
      </c>
      <c r="EF34" s="230">
        <v>993053</v>
      </c>
      <c r="EG34" s="229">
        <v>-0.1462</v>
      </c>
      <c r="EH34" s="229">
        <v>0.61799999999999999</v>
      </c>
      <c r="EI34" s="231">
        <v>21536.31</v>
      </c>
      <c r="EJ34" s="231">
        <v>15717.52</v>
      </c>
      <c r="EK34" s="231">
        <v>18649.240000000002</v>
      </c>
      <c r="EL34" s="231">
        <v>3142</v>
      </c>
      <c r="EM34" s="231">
        <v>55903.07</v>
      </c>
      <c r="EN34" s="231">
        <v>51345.45</v>
      </c>
      <c r="EO34" s="231">
        <v>4557.62</v>
      </c>
      <c r="EP34" s="229">
        <v>8.8800000000000004E-2</v>
      </c>
      <c r="EQ34" s="231">
        <v>48625</v>
      </c>
      <c r="ER34" s="231">
        <v>21146</v>
      </c>
      <c r="ES34" s="231">
        <v>201078</v>
      </c>
      <c r="ET34" s="231">
        <v>71801274</v>
      </c>
      <c r="EU34" s="231">
        <v>270849</v>
      </c>
      <c r="EV34" s="231">
        <v>272172</v>
      </c>
      <c r="EW34" s="231">
        <v>-1323</v>
      </c>
      <c r="EX34" s="229">
        <v>-4.8999999999999998E-3</v>
      </c>
      <c r="EY34" s="229">
        <v>0.30459999999999998</v>
      </c>
    </row>
    <row r="35" spans="1:155" ht="17.25" thickBot="1" x14ac:dyDescent="0.3">
      <c r="A35" s="226">
        <v>46093</v>
      </c>
      <c r="B35" s="227" t="s">
        <v>161</v>
      </c>
      <c r="C35" s="227" t="s">
        <v>268</v>
      </c>
      <c r="D35" s="228">
        <v>390.9</v>
      </c>
      <c r="E35" s="228">
        <v>380.25</v>
      </c>
      <c r="F35" s="228">
        <v>10.65</v>
      </c>
      <c r="G35" s="229">
        <v>2.8000000000000001E-2</v>
      </c>
      <c r="H35" s="228">
        <v>390.55</v>
      </c>
      <c r="I35" s="228">
        <v>379.9</v>
      </c>
      <c r="J35" s="228">
        <v>10.65</v>
      </c>
      <c r="K35" s="229">
        <v>2.8000000000000001E-2</v>
      </c>
      <c r="L35" s="228">
        <v>390.9</v>
      </c>
      <c r="M35" s="228">
        <v>380.25</v>
      </c>
      <c r="N35" s="228">
        <v>10.65</v>
      </c>
      <c r="O35" s="229">
        <v>2.8000000000000001E-2</v>
      </c>
      <c r="P35" s="228">
        <v>393.45</v>
      </c>
      <c r="Q35" s="228">
        <v>382.65</v>
      </c>
      <c r="R35" s="228">
        <v>10.8</v>
      </c>
      <c r="S35" s="229">
        <v>2.8199999999999999E-2</v>
      </c>
      <c r="T35" s="228">
        <v>395.6</v>
      </c>
      <c r="U35" s="228">
        <v>384.55</v>
      </c>
      <c r="V35" s="228">
        <v>11.05</v>
      </c>
      <c r="W35" s="229">
        <v>2.87E-2</v>
      </c>
      <c r="X35" s="228">
        <v>0.35</v>
      </c>
      <c r="Y35" s="228">
        <v>0.35</v>
      </c>
      <c r="Z35" s="228">
        <v>0</v>
      </c>
      <c r="AA35" s="229">
        <v>8.9999999999999998E-4</v>
      </c>
      <c r="AB35" s="228">
        <v>0.35</v>
      </c>
      <c r="AC35" s="228">
        <v>0.35</v>
      </c>
      <c r="AD35" s="228">
        <v>0</v>
      </c>
      <c r="AE35" s="229">
        <v>8.9999999999999998E-4</v>
      </c>
      <c r="AF35" s="228">
        <v>2.9</v>
      </c>
      <c r="AG35" s="228">
        <v>2.75</v>
      </c>
      <c r="AH35" s="228">
        <v>0.15</v>
      </c>
      <c r="AI35" s="229">
        <v>7.4000000000000003E-3</v>
      </c>
      <c r="AJ35" s="228">
        <v>5.05</v>
      </c>
      <c r="AK35" s="228">
        <v>4.6500000000000004</v>
      </c>
      <c r="AL35" s="228">
        <v>0.4</v>
      </c>
      <c r="AM35" s="229">
        <v>1.29E-2</v>
      </c>
      <c r="AN35" s="228">
        <v>387.79</v>
      </c>
      <c r="AO35" s="228">
        <v>389.7</v>
      </c>
      <c r="AP35" s="228">
        <v>0</v>
      </c>
      <c r="AQ35" s="230">
        <v>19112</v>
      </c>
      <c r="AR35" s="230">
        <v>8197</v>
      </c>
      <c r="AS35" s="230">
        <v>10915</v>
      </c>
      <c r="AT35" s="229">
        <v>1.3315999999999999</v>
      </c>
      <c r="AU35" s="230">
        <v>17752</v>
      </c>
      <c r="AV35" s="230">
        <v>7764</v>
      </c>
      <c r="AW35" s="230">
        <v>9988</v>
      </c>
      <c r="AX35" s="229">
        <v>1.2865</v>
      </c>
      <c r="AY35" s="230">
        <v>1229</v>
      </c>
      <c r="AZ35" s="228">
        <v>398</v>
      </c>
      <c r="BA35" s="228">
        <v>831</v>
      </c>
      <c r="BB35" s="229">
        <v>2.0878999999999999</v>
      </c>
      <c r="BC35" s="228">
        <v>131</v>
      </c>
      <c r="BD35" s="228">
        <v>35</v>
      </c>
      <c r="BE35" s="228">
        <v>96</v>
      </c>
      <c r="BF35" s="229">
        <v>2.7429000000000001</v>
      </c>
      <c r="BG35" s="230">
        <v>170219</v>
      </c>
      <c r="BH35" s="230">
        <v>45836</v>
      </c>
      <c r="BI35" s="230">
        <v>124383</v>
      </c>
      <c r="BJ35" s="229">
        <v>2.7136999999999998</v>
      </c>
      <c r="BK35" s="230">
        <v>40367</v>
      </c>
      <c r="BL35" s="230">
        <v>16500</v>
      </c>
      <c r="BM35" s="230">
        <v>23867</v>
      </c>
      <c r="BN35" s="229">
        <v>1.4464999999999999</v>
      </c>
      <c r="BO35" s="230">
        <v>229698</v>
      </c>
      <c r="BP35" s="230">
        <v>70533</v>
      </c>
      <c r="BQ35" s="230">
        <v>159165</v>
      </c>
      <c r="BR35" s="229">
        <v>2.2566000000000002</v>
      </c>
      <c r="BS35" s="230">
        <v>24964310</v>
      </c>
      <c r="BT35" s="230">
        <v>10384574</v>
      </c>
      <c r="BU35" s="230">
        <v>14579736</v>
      </c>
      <c r="BV35" s="229">
        <v>1.4039999999999999</v>
      </c>
      <c r="BW35" s="230">
        <v>107530500</v>
      </c>
      <c r="BX35" s="230">
        <v>100842000</v>
      </c>
      <c r="BY35" s="230">
        <v>6688500</v>
      </c>
      <c r="BZ35" s="229">
        <v>6.6299999999999998E-2</v>
      </c>
      <c r="CA35" s="230">
        <v>104949000</v>
      </c>
      <c r="CB35" s="230">
        <v>98806500</v>
      </c>
      <c r="CC35" s="230">
        <v>6142500</v>
      </c>
      <c r="CD35" s="229">
        <v>6.2199999999999998E-2</v>
      </c>
      <c r="CE35" s="230">
        <v>2176500</v>
      </c>
      <c r="CF35" s="230">
        <v>1678500</v>
      </c>
      <c r="CG35" s="230">
        <v>498000</v>
      </c>
      <c r="CH35" s="229">
        <v>0.29670000000000002</v>
      </c>
      <c r="CI35" s="230">
        <v>405000</v>
      </c>
      <c r="CJ35" s="230">
        <v>357000</v>
      </c>
      <c r="CK35" s="230">
        <v>48000</v>
      </c>
      <c r="CL35" s="229">
        <v>0.13450000000000001</v>
      </c>
      <c r="CM35" s="230">
        <v>83953500</v>
      </c>
      <c r="CN35" s="230">
        <v>70087500</v>
      </c>
      <c r="CO35" s="230">
        <v>13866000</v>
      </c>
      <c r="CP35" s="229">
        <v>0.1978</v>
      </c>
      <c r="CQ35" s="230">
        <v>36841500</v>
      </c>
      <c r="CR35" s="230">
        <v>27142500</v>
      </c>
      <c r="CS35" s="230">
        <v>9699000</v>
      </c>
      <c r="CT35" s="229">
        <v>0.35730000000000001</v>
      </c>
      <c r="CU35" s="230">
        <v>228325500</v>
      </c>
      <c r="CV35" s="230">
        <v>198072000</v>
      </c>
      <c r="CW35" s="230">
        <v>30253500</v>
      </c>
      <c r="CX35" s="229">
        <v>0.1527</v>
      </c>
      <c r="CY35" s="228">
        <v>23.9</v>
      </c>
      <c r="CZ35" s="228">
        <v>22.67</v>
      </c>
      <c r="DA35" s="228">
        <v>1.23</v>
      </c>
      <c r="DB35" s="228">
        <v>1.23</v>
      </c>
      <c r="DC35" s="228">
        <v>27.76</v>
      </c>
      <c r="DD35" s="228">
        <v>27.58</v>
      </c>
      <c r="DE35" s="228">
        <v>-3.86</v>
      </c>
      <c r="DF35" s="228">
        <v>0.18</v>
      </c>
      <c r="DG35" s="228">
        <v>23.2</v>
      </c>
      <c r="DH35" s="228">
        <v>22.03</v>
      </c>
      <c r="DI35" s="228">
        <v>1.17</v>
      </c>
      <c r="DJ35" s="228">
        <v>1.17</v>
      </c>
      <c r="DK35" s="228">
        <v>26.84</v>
      </c>
      <c r="DL35" s="228">
        <v>24.43</v>
      </c>
      <c r="DM35" s="228">
        <v>2.41</v>
      </c>
      <c r="DN35" s="228">
        <v>2.41</v>
      </c>
      <c r="DO35" s="228">
        <v>0.44</v>
      </c>
      <c r="DP35" s="228">
        <v>0.39</v>
      </c>
      <c r="DQ35" s="228">
        <v>0.05</v>
      </c>
      <c r="DR35" s="229">
        <v>0.12820000000000001</v>
      </c>
      <c r="DS35" s="228">
        <v>400</v>
      </c>
      <c r="DT35" s="228">
        <v>380</v>
      </c>
      <c r="DU35" s="228">
        <v>0.24</v>
      </c>
      <c r="DV35" s="228">
        <v>0.36</v>
      </c>
      <c r="DW35" s="228">
        <v>-0.12</v>
      </c>
      <c r="DX35" s="229">
        <v>-0.33329999999999999</v>
      </c>
      <c r="DY35" s="229">
        <v>2.4E-2</v>
      </c>
      <c r="DZ35" s="230">
        <v>2035500</v>
      </c>
      <c r="EA35" s="229">
        <v>6.4999999999999997E-3</v>
      </c>
      <c r="EB35" s="229">
        <v>2.4E-2</v>
      </c>
      <c r="EC35" s="228">
        <v>1.91</v>
      </c>
      <c r="ED35" s="229">
        <v>4.8999999999999998E-3</v>
      </c>
      <c r="EE35" s="230">
        <v>14720259</v>
      </c>
      <c r="EF35" s="230">
        <v>6366592</v>
      </c>
      <c r="EG35" s="229">
        <v>1.3121</v>
      </c>
      <c r="EH35" s="229">
        <v>0.5897</v>
      </c>
      <c r="EI35" s="231">
        <v>1024814.04</v>
      </c>
      <c r="EJ35" s="231">
        <v>230144.8</v>
      </c>
      <c r="EK35" s="231">
        <v>111213.72</v>
      </c>
      <c r="EL35" s="231">
        <v>10419</v>
      </c>
      <c r="EM35" s="231">
        <v>1366172.56</v>
      </c>
      <c r="EN35" s="231">
        <v>412869.66</v>
      </c>
      <c r="EO35" s="231">
        <v>953302.9</v>
      </c>
      <c r="EP35" s="229">
        <v>2.3090000000000002</v>
      </c>
      <c r="EQ35" s="231">
        <v>328805</v>
      </c>
      <c r="ER35" s="231">
        <v>136678</v>
      </c>
      <c r="ES35" s="231">
        <v>420411</v>
      </c>
      <c r="ET35" s="231">
        <v>474131988</v>
      </c>
      <c r="EU35" s="231">
        <v>885895</v>
      </c>
      <c r="EV35" s="231">
        <v>756523</v>
      </c>
      <c r="EW35" s="231">
        <v>129372</v>
      </c>
      <c r="EX35" s="229">
        <v>0.17100000000000001</v>
      </c>
      <c r="EY35" s="229">
        <v>0.48159999999999997</v>
      </c>
    </row>
    <row r="36" spans="1:155" ht="17.25" thickBot="1" x14ac:dyDescent="0.3">
      <c r="A36" s="226">
        <v>46093</v>
      </c>
      <c r="B36" s="227" t="s">
        <v>193</v>
      </c>
      <c r="C36" s="227" t="s">
        <v>269</v>
      </c>
      <c r="D36" s="228">
        <v>271.5</v>
      </c>
      <c r="E36" s="228">
        <v>270.95</v>
      </c>
      <c r="F36" s="228">
        <v>0.55000000000000004</v>
      </c>
      <c r="G36" s="229">
        <v>2E-3</v>
      </c>
      <c r="H36" s="228">
        <v>270.55</v>
      </c>
      <c r="I36" s="228">
        <v>270.75</v>
      </c>
      <c r="J36" s="228">
        <v>-0.2</v>
      </c>
      <c r="K36" s="229">
        <v>-6.9999999999999999E-4</v>
      </c>
      <c r="L36" s="228">
        <v>271.5</v>
      </c>
      <c r="M36" s="228">
        <v>270.95</v>
      </c>
      <c r="N36" s="228">
        <v>0.55000000000000004</v>
      </c>
      <c r="O36" s="229">
        <v>2E-3</v>
      </c>
      <c r="P36" s="228">
        <v>273.14999999999998</v>
      </c>
      <c r="Q36" s="228">
        <v>272.64999999999998</v>
      </c>
      <c r="R36" s="228">
        <v>0.5</v>
      </c>
      <c r="S36" s="229">
        <v>1.8E-3</v>
      </c>
      <c r="T36" s="228">
        <v>274.35000000000002</v>
      </c>
      <c r="U36" s="228">
        <v>273.85000000000002</v>
      </c>
      <c r="V36" s="228">
        <v>0.5</v>
      </c>
      <c r="W36" s="229">
        <v>1.8E-3</v>
      </c>
      <c r="X36" s="228">
        <v>0.95</v>
      </c>
      <c r="Y36" s="228">
        <v>0.2</v>
      </c>
      <c r="Z36" s="228">
        <v>0.75</v>
      </c>
      <c r="AA36" s="229">
        <v>3.5000000000000001E-3</v>
      </c>
      <c r="AB36" s="228">
        <v>0.95</v>
      </c>
      <c r="AC36" s="228">
        <v>0.2</v>
      </c>
      <c r="AD36" s="228">
        <v>0.75</v>
      </c>
      <c r="AE36" s="229">
        <v>3.5000000000000001E-3</v>
      </c>
      <c r="AF36" s="228">
        <v>2.6</v>
      </c>
      <c r="AG36" s="228">
        <v>1.9</v>
      </c>
      <c r="AH36" s="228">
        <v>0.7</v>
      </c>
      <c r="AI36" s="229">
        <v>9.5999999999999992E-3</v>
      </c>
      <c r="AJ36" s="228">
        <v>3.8</v>
      </c>
      <c r="AK36" s="228">
        <v>3.1</v>
      </c>
      <c r="AL36" s="228">
        <v>0.7</v>
      </c>
      <c r="AM36" s="229">
        <v>1.4E-2</v>
      </c>
      <c r="AN36" s="228">
        <v>271.64999999999998</v>
      </c>
      <c r="AO36" s="228">
        <v>273.14</v>
      </c>
      <c r="AP36" s="228">
        <v>0</v>
      </c>
      <c r="AQ36" s="230">
        <v>9404</v>
      </c>
      <c r="AR36" s="230">
        <v>6445</v>
      </c>
      <c r="AS36" s="230">
        <v>2959</v>
      </c>
      <c r="AT36" s="229">
        <v>0.45910000000000001</v>
      </c>
      <c r="AU36" s="230">
        <v>8626</v>
      </c>
      <c r="AV36" s="230">
        <v>5976</v>
      </c>
      <c r="AW36" s="230">
        <v>2650</v>
      </c>
      <c r="AX36" s="229">
        <v>0.44340000000000002</v>
      </c>
      <c r="AY36" s="228">
        <v>742</v>
      </c>
      <c r="AZ36" s="228">
        <v>423</v>
      </c>
      <c r="BA36" s="228">
        <v>319</v>
      </c>
      <c r="BB36" s="229">
        <v>0.75409999999999999</v>
      </c>
      <c r="BC36" s="228">
        <v>36</v>
      </c>
      <c r="BD36" s="228">
        <v>46</v>
      </c>
      <c r="BE36" s="228">
        <v>-10</v>
      </c>
      <c r="BF36" s="229">
        <v>-0.21740000000000001</v>
      </c>
      <c r="BG36" s="230">
        <v>29947</v>
      </c>
      <c r="BH36" s="230">
        <v>28433</v>
      </c>
      <c r="BI36" s="230">
        <v>1514</v>
      </c>
      <c r="BJ36" s="229">
        <v>5.3199999999999997E-2</v>
      </c>
      <c r="BK36" s="230">
        <v>10150</v>
      </c>
      <c r="BL36" s="230">
        <v>8807</v>
      </c>
      <c r="BM36" s="230">
        <v>1343</v>
      </c>
      <c r="BN36" s="229">
        <v>0.1525</v>
      </c>
      <c r="BO36" s="230">
        <v>49501</v>
      </c>
      <c r="BP36" s="230">
        <v>43685</v>
      </c>
      <c r="BQ36" s="230">
        <v>5816</v>
      </c>
      <c r="BR36" s="229">
        <v>0.1331</v>
      </c>
      <c r="BS36" s="230">
        <v>20704080</v>
      </c>
      <c r="BT36" s="230">
        <v>17259909</v>
      </c>
      <c r="BU36" s="230">
        <v>3444171</v>
      </c>
      <c r="BV36" s="229">
        <v>0.19950000000000001</v>
      </c>
      <c r="BW36" s="230">
        <v>125354250</v>
      </c>
      <c r="BX36" s="230">
        <v>125568000</v>
      </c>
      <c r="BY36" s="230">
        <v>-213750</v>
      </c>
      <c r="BZ36" s="229">
        <v>-1.6999999999999999E-3</v>
      </c>
      <c r="CA36" s="230">
        <v>121243500</v>
      </c>
      <c r="CB36" s="230">
        <v>121666500</v>
      </c>
      <c r="CC36" s="230">
        <v>-423000</v>
      </c>
      <c r="CD36" s="229">
        <v>-3.5000000000000001E-3</v>
      </c>
      <c r="CE36" s="230">
        <v>3674250</v>
      </c>
      <c r="CF36" s="230">
        <v>3451500</v>
      </c>
      <c r="CG36" s="230">
        <v>222750</v>
      </c>
      <c r="CH36" s="229">
        <v>6.4500000000000002E-2</v>
      </c>
      <c r="CI36" s="230">
        <v>436500</v>
      </c>
      <c r="CJ36" s="230">
        <v>450000</v>
      </c>
      <c r="CK36" s="230">
        <v>-13500</v>
      </c>
      <c r="CL36" s="229">
        <v>-0.03</v>
      </c>
      <c r="CM36" s="230">
        <v>91172250</v>
      </c>
      <c r="CN36" s="230">
        <v>90164250</v>
      </c>
      <c r="CO36" s="230">
        <v>1008000</v>
      </c>
      <c r="CP36" s="229">
        <v>1.12E-2</v>
      </c>
      <c r="CQ36" s="230">
        <v>41656500</v>
      </c>
      <c r="CR36" s="230">
        <v>39264750</v>
      </c>
      <c r="CS36" s="230">
        <v>2391750</v>
      </c>
      <c r="CT36" s="229">
        <v>6.0900000000000003E-2</v>
      </c>
      <c r="CU36" s="230">
        <v>258183000</v>
      </c>
      <c r="CV36" s="230">
        <v>254997000</v>
      </c>
      <c r="CW36" s="230">
        <v>3186000</v>
      </c>
      <c r="CX36" s="229">
        <v>1.2500000000000001E-2</v>
      </c>
      <c r="CY36" s="228">
        <v>34.67</v>
      </c>
      <c r="CZ36" s="228">
        <v>37.08</v>
      </c>
      <c r="DA36" s="228">
        <v>-2.41</v>
      </c>
      <c r="DB36" s="228">
        <v>-2.41</v>
      </c>
      <c r="DC36" s="228">
        <v>32.130000000000003</v>
      </c>
      <c r="DD36" s="228">
        <v>32.21</v>
      </c>
      <c r="DE36" s="228">
        <v>2.54</v>
      </c>
      <c r="DF36" s="228">
        <v>-0.08</v>
      </c>
      <c r="DG36" s="228">
        <v>34.81</v>
      </c>
      <c r="DH36" s="228">
        <v>37.51</v>
      </c>
      <c r="DI36" s="228">
        <v>-2.7</v>
      </c>
      <c r="DJ36" s="228">
        <v>-2.7</v>
      </c>
      <c r="DK36" s="228">
        <v>34.26</v>
      </c>
      <c r="DL36" s="228">
        <v>35.700000000000003</v>
      </c>
      <c r="DM36" s="228">
        <v>-1.44</v>
      </c>
      <c r="DN36" s="228">
        <v>-1.44</v>
      </c>
      <c r="DO36" s="228">
        <v>0.46</v>
      </c>
      <c r="DP36" s="228">
        <v>0.44</v>
      </c>
      <c r="DQ36" s="228">
        <v>0.02</v>
      </c>
      <c r="DR36" s="229">
        <v>4.5499999999999999E-2</v>
      </c>
      <c r="DS36" s="228">
        <v>300</v>
      </c>
      <c r="DT36" s="228">
        <v>265</v>
      </c>
      <c r="DU36" s="228">
        <v>0.34</v>
      </c>
      <c r="DV36" s="228">
        <v>0.31</v>
      </c>
      <c r="DW36" s="228">
        <v>0.03</v>
      </c>
      <c r="DX36" s="229">
        <v>9.6799999999999997E-2</v>
      </c>
      <c r="DY36" s="229">
        <v>3.2800000000000003E-2</v>
      </c>
      <c r="DZ36" s="230">
        <v>3901500</v>
      </c>
      <c r="EA36" s="229">
        <v>6.1000000000000004E-3</v>
      </c>
      <c r="EB36" s="229">
        <v>3.2800000000000003E-2</v>
      </c>
      <c r="EC36" s="228">
        <v>1.49</v>
      </c>
      <c r="ED36" s="229">
        <v>5.4999999999999997E-3</v>
      </c>
      <c r="EE36" s="230">
        <v>9518556</v>
      </c>
      <c r="EF36" s="230">
        <v>9415324</v>
      </c>
      <c r="EG36" s="229">
        <v>1.0999999999999999E-2</v>
      </c>
      <c r="EH36" s="229">
        <v>0.4597</v>
      </c>
      <c r="EI36" s="231">
        <v>192855.26</v>
      </c>
      <c r="EJ36" s="231">
        <v>62030.33</v>
      </c>
      <c r="EK36" s="231">
        <v>57506.47</v>
      </c>
      <c r="EL36" s="231">
        <v>16825</v>
      </c>
      <c r="EM36" s="231">
        <v>312392.06</v>
      </c>
      <c r="EN36" s="231">
        <v>277358.7</v>
      </c>
      <c r="EO36" s="231">
        <v>35033.360000000001</v>
      </c>
      <c r="EP36" s="229">
        <v>0.1263</v>
      </c>
      <c r="EQ36" s="231">
        <v>261509</v>
      </c>
      <c r="ER36" s="231">
        <v>110696</v>
      </c>
      <c r="ES36" s="231">
        <v>340410</v>
      </c>
      <c r="ET36" s="231">
        <v>517141211</v>
      </c>
      <c r="EU36" s="231">
        <v>712615</v>
      </c>
      <c r="EV36" s="231">
        <v>703177</v>
      </c>
      <c r="EW36" s="231">
        <v>9438</v>
      </c>
      <c r="EX36" s="229">
        <v>1.34E-2</v>
      </c>
      <c r="EY36" s="229">
        <v>0.49930000000000002</v>
      </c>
    </row>
    <row r="37" spans="1:155" ht="17.25" thickBot="1" x14ac:dyDescent="0.3">
      <c r="A37" s="226">
        <v>46093</v>
      </c>
      <c r="B37" s="227" t="s">
        <v>161</v>
      </c>
      <c r="C37" s="227" t="s">
        <v>276</v>
      </c>
      <c r="D37" s="228">
        <v>304.60000000000002</v>
      </c>
      <c r="E37" s="228">
        <v>299.2</v>
      </c>
      <c r="F37" s="228">
        <v>5.4</v>
      </c>
      <c r="G37" s="229">
        <v>1.7999999999999999E-2</v>
      </c>
      <c r="H37" s="228">
        <v>303.60000000000002</v>
      </c>
      <c r="I37" s="228">
        <v>298.8</v>
      </c>
      <c r="J37" s="228">
        <v>4.8</v>
      </c>
      <c r="K37" s="229">
        <v>1.61E-2</v>
      </c>
      <c r="L37" s="228">
        <v>304.60000000000002</v>
      </c>
      <c r="M37" s="228">
        <v>299.2</v>
      </c>
      <c r="N37" s="228">
        <v>5.4</v>
      </c>
      <c r="O37" s="229">
        <v>1.7999999999999999E-2</v>
      </c>
      <c r="P37" s="228">
        <v>306.5</v>
      </c>
      <c r="Q37" s="228">
        <v>301.05</v>
      </c>
      <c r="R37" s="228">
        <v>5.45</v>
      </c>
      <c r="S37" s="229">
        <v>1.8100000000000002E-2</v>
      </c>
      <c r="T37" s="228">
        <v>307.2</v>
      </c>
      <c r="U37" s="228">
        <v>301.7</v>
      </c>
      <c r="V37" s="228">
        <v>5.5</v>
      </c>
      <c r="W37" s="229">
        <v>1.8200000000000001E-2</v>
      </c>
      <c r="X37" s="228">
        <v>1</v>
      </c>
      <c r="Y37" s="228">
        <v>0.4</v>
      </c>
      <c r="Z37" s="228">
        <v>0.6</v>
      </c>
      <c r="AA37" s="229">
        <v>3.3E-3</v>
      </c>
      <c r="AB37" s="228">
        <v>1</v>
      </c>
      <c r="AC37" s="228">
        <v>0.4</v>
      </c>
      <c r="AD37" s="228">
        <v>0.6</v>
      </c>
      <c r="AE37" s="229">
        <v>3.3E-3</v>
      </c>
      <c r="AF37" s="228">
        <v>2.9</v>
      </c>
      <c r="AG37" s="228">
        <v>2.25</v>
      </c>
      <c r="AH37" s="228">
        <v>0.65</v>
      </c>
      <c r="AI37" s="229">
        <v>9.5999999999999992E-3</v>
      </c>
      <c r="AJ37" s="228">
        <v>3.6</v>
      </c>
      <c r="AK37" s="228">
        <v>2.9</v>
      </c>
      <c r="AL37" s="228">
        <v>0.7</v>
      </c>
      <c r="AM37" s="229">
        <v>1.1900000000000001E-2</v>
      </c>
      <c r="AN37" s="228">
        <v>303.39999999999998</v>
      </c>
      <c r="AO37" s="228">
        <v>305.2</v>
      </c>
      <c r="AP37" s="228">
        <v>0</v>
      </c>
      <c r="AQ37" s="230">
        <v>9069</v>
      </c>
      <c r="AR37" s="230">
        <v>5046</v>
      </c>
      <c r="AS37" s="230">
        <v>4023</v>
      </c>
      <c r="AT37" s="229">
        <v>0.79730000000000001</v>
      </c>
      <c r="AU37" s="230">
        <v>8421</v>
      </c>
      <c r="AV37" s="230">
        <v>4719</v>
      </c>
      <c r="AW37" s="230">
        <v>3702</v>
      </c>
      <c r="AX37" s="229">
        <v>0.78449999999999998</v>
      </c>
      <c r="AY37" s="228">
        <v>603</v>
      </c>
      <c r="AZ37" s="228">
        <v>308</v>
      </c>
      <c r="BA37" s="228">
        <v>295</v>
      </c>
      <c r="BB37" s="229">
        <v>0.95779999999999998</v>
      </c>
      <c r="BC37" s="228">
        <v>45</v>
      </c>
      <c r="BD37" s="228">
        <v>19</v>
      </c>
      <c r="BE37" s="228">
        <v>26</v>
      </c>
      <c r="BF37" s="229">
        <v>1.3684000000000001</v>
      </c>
      <c r="BG37" s="230">
        <v>35320</v>
      </c>
      <c r="BH37" s="230">
        <v>19654</v>
      </c>
      <c r="BI37" s="230">
        <v>15666</v>
      </c>
      <c r="BJ37" s="229">
        <v>0.79710000000000003</v>
      </c>
      <c r="BK37" s="230">
        <v>8336</v>
      </c>
      <c r="BL37" s="230">
        <v>7375</v>
      </c>
      <c r="BM37" s="228">
        <v>961</v>
      </c>
      <c r="BN37" s="229">
        <v>0.1303</v>
      </c>
      <c r="BO37" s="230">
        <v>52725</v>
      </c>
      <c r="BP37" s="230">
        <v>32075</v>
      </c>
      <c r="BQ37" s="230">
        <v>20650</v>
      </c>
      <c r="BR37" s="229">
        <v>0.64380000000000004</v>
      </c>
      <c r="BS37" s="230">
        <v>15771703</v>
      </c>
      <c r="BT37" s="230">
        <v>12973197</v>
      </c>
      <c r="BU37" s="230">
        <v>2798506</v>
      </c>
      <c r="BV37" s="229">
        <v>0.2157</v>
      </c>
      <c r="BW37" s="230">
        <v>79488400</v>
      </c>
      <c r="BX37" s="230">
        <v>79478900</v>
      </c>
      <c r="BY37" s="230">
        <v>9500</v>
      </c>
      <c r="BZ37" s="229">
        <v>1E-4</v>
      </c>
      <c r="CA37" s="230">
        <v>77267300</v>
      </c>
      <c r="CB37" s="230">
        <v>77656800</v>
      </c>
      <c r="CC37" s="230">
        <v>-389500</v>
      </c>
      <c r="CD37" s="229">
        <v>-5.0000000000000001E-3</v>
      </c>
      <c r="CE37" s="230">
        <v>1926600</v>
      </c>
      <c r="CF37" s="230">
        <v>1548500</v>
      </c>
      <c r="CG37" s="230">
        <v>378100</v>
      </c>
      <c r="CH37" s="229">
        <v>0.2442</v>
      </c>
      <c r="CI37" s="230">
        <v>294500</v>
      </c>
      <c r="CJ37" s="230">
        <v>273600</v>
      </c>
      <c r="CK37" s="230">
        <v>20900</v>
      </c>
      <c r="CL37" s="229">
        <v>7.6399999999999996E-2</v>
      </c>
      <c r="CM37" s="230">
        <v>40772100</v>
      </c>
      <c r="CN37" s="230">
        <v>39844900</v>
      </c>
      <c r="CO37" s="230">
        <v>927200</v>
      </c>
      <c r="CP37" s="229">
        <v>2.3300000000000001E-2</v>
      </c>
      <c r="CQ37" s="230">
        <v>18230500</v>
      </c>
      <c r="CR37" s="230">
        <v>17310900</v>
      </c>
      <c r="CS37" s="230">
        <v>919600</v>
      </c>
      <c r="CT37" s="229">
        <v>5.3100000000000001E-2</v>
      </c>
      <c r="CU37" s="230">
        <v>138491000</v>
      </c>
      <c r="CV37" s="230">
        <v>136634700</v>
      </c>
      <c r="CW37" s="230">
        <v>1856300</v>
      </c>
      <c r="CX37" s="229">
        <v>1.3599999999999999E-2</v>
      </c>
      <c r="CY37" s="228">
        <v>26.89</v>
      </c>
      <c r="CZ37" s="228">
        <v>26.26</v>
      </c>
      <c r="DA37" s="228">
        <v>0.63</v>
      </c>
      <c r="DB37" s="228">
        <v>0.63</v>
      </c>
      <c r="DC37" s="228">
        <v>29.47</v>
      </c>
      <c r="DD37" s="228">
        <v>29.46</v>
      </c>
      <c r="DE37" s="228">
        <v>-2.58</v>
      </c>
      <c r="DF37" s="228">
        <v>0.01</v>
      </c>
      <c r="DG37" s="228">
        <v>26.44</v>
      </c>
      <c r="DH37" s="228">
        <v>25.64</v>
      </c>
      <c r="DI37" s="228">
        <v>0.8</v>
      </c>
      <c r="DJ37" s="228">
        <v>0.8</v>
      </c>
      <c r="DK37" s="228">
        <v>28.77</v>
      </c>
      <c r="DL37" s="228">
        <v>27.91</v>
      </c>
      <c r="DM37" s="228">
        <v>0.86</v>
      </c>
      <c r="DN37" s="228">
        <v>0.86</v>
      </c>
      <c r="DO37" s="228">
        <v>0.45</v>
      </c>
      <c r="DP37" s="228">
        <v>0.43</v>
      </c>
      <c r="DQ37" s="228">
        <v>0.02</v>
      </c>
      <c r="DR37" s="229">
        <v>4.65E-2</v>
      </c>
      <c r="DS37" s="228">
        <v>310</v>
      </c>
      <c r="DT37" s="228">
        <v>300</v>
      </c>
      <c r="DU37" s="228">
        <v>0.24</v>
      </c>
      <c r="DV37" s="228">
        <v>0.38</v>
      </c>
      <c r="DW37" s="228">
        <v>-0.14000000000000001</v>
      </c>
      <c r="DX37" s="229">
        <v>-0.36840000000000001</v>
      </c>
      <c r="DY37" s="229">
        <v>2.7900000000000001E-2</v>
      </c>
      <c r="DZ37" s="230">
        <v>1822100</v>
      </c>
      <c r="EA37" s="229">
        <v>6.1999999999999998E-3</v>
      </c>
      <c r="EB37" s="229">
        <v>2.7900000000000001E-2</v>
      </c>
      <c r="EC37" s="228">
        <v>1.8</v>
      </c>
      <c r="ED37" s="229">
        <v>5.8999999999999999E-3</v>
      </c>
      <c r="EE37" s="230">
        <v>9014422</v>
      </c>
      <c r="EF37" s="230">
        <v>8406261</v>
      </c>
      <c r="EG37" s="229">
        <v>7.2300000000000003E-2</v>
      </c>
      <c r="EH37" s="229">
        <v>0.5716</v>
      </c>
      <c r="EI37" s="231">
        <v>212300.32</v>
      </c>
      <c r="EJ37" s="231">
        <v>47323.13</v>
      </c>
      <c r="EK37" s="231">
        <v>52300.45</v>
      </c>
      <c r="EL37" s="231">
        <v>6138</v>
      </c>
      <c r="EM37" s="231">
        <v>311923.90000000002</v>
      </c>
      <c r="EN37" s="231">
        <v>187295.06</v>
      </c>
      <c r="EO37" s="231">
        <v>124628.84</v>
      </c>
      <c r="EP37" s="229">
        <v>0.66539999999999999</v>
      </c>
      <c r="EQ37" s="231">
        <v>126996</v>
      </c>
      <c r="ER37" s="231">
        <v>52716</v>
      </c>
      <c r="ES37" s="231">
        <v>242166</v>
      </c>
      <c r="ET37" s="231">
        <v>678857930</v>
      </c>
      <c r="EU37" s="231">
        <v>421878</v>
      </c>
      <c r="EV37" s="231">
        <v>411779</v>
      </c>
      <c r="EW37" s="231">
        <v>10099</v>
      </c>
      <c r="EX37" s="229">
        <v>2.4500000000000001E-2</v>
      </c>
      <c r="EY37" s="229">
        <v>0.20399999999999999</v>
      </c>
    </row>
    <row r="38" spans="1:155" ht="17.25" thickBot="1" x14ac:dyDescent="0.3">
      <c r="A38" s="226">
        <v>46093</v>
      </c>
      <c r="B38" s="227" t="s">
        <v>193</v>
      </c>
      <c r="C38" s="227" t="s">
        <v>281</v>
      </c>
      <c r="D38" s="231">
        <v>1397</v>
      </c>
      <c r="E38" s="231">
        <v>1391.2</v>
      </c>
      <c r="F38" s="228">
        <v>5.8</v>
      </c>
      <c r="G38" s="229">
        <v>4.1999999999999997E-3</v>
      </c>
      <c r="H38" s="231">
        <v>1392.2</v>
      </c>
      <c r="I38" s="231">
        <v>1390.2</v>
      </c>
      <c r="J38" s="228">
        <v>2</v>
      </c>
      <c r="K38" s="229">
        <v>1.4E-3</v>
      </c>
      <c r="L38" s="231">
        <v>1397</v>
      </c>
      <c r="M38" s="231">
        <v>1391.2</v>
      </c>
      <c r="N38" s="228">
        <v>5.8</v>
      </c>
      <c r="O38" s="229">
        <v>4.1999999999999997E-3</v>
      </c>
      <c r="P38" s="231">
        <v>1405.6</v>
      </c>
      <c r="Q38" s="231">
        <v>1400.1</v>
      </c>
      <c r="R38" s="228">
        <v>5.5</v>
      </c>
      <c r="S38" s="229">
        <v>3.8999999999999998E-3</v>
      </c>
      <c r="T38" s="231">
        <v>1412.9</v>
      </c>
      <c r="U38" s="231">
        <v>1407.5</v>
      </c>
      <c r="V38" s="228">
        <v>5.4</v>
      </c>
      <c r="W38" s="229">
        <v>3.8E-3</v>
      </c>
      <c r="X38" s="228">
        <v>4.8</v>
      </c>
      <c r="Y38" s="228">
        <v>1</v>
      </c>
      <c r="Z38" s="228">
        <v>3.8</v>
      </c>
      <c r="AA38" s="229">
        <v>3.3999999999999998E-3</v>
      </c>
      <c r="AB38" s="228">
        <v>4.8</v>
      </c>
      <c r="AC38" s="228">
        <v>1</v>
      </c>
      <c r="AD38" s="228">
        <v>3.8</v>
      </c>
      <c r="AE38" s="229">
        <v>3.3999999999999998E-3</v>
      </c>
      <c r="AF38" s="228">
        <v>13.4</v>
      </c>
      <c r="AG38" s="228">
        <v>9.9</v>
      </c>
      <c r="AH38" s="228">
        <v>3.5</v>
      </c>
      <c r="AI38" s="229">
        <v>9.5999999999999992E-3</v>
      </c>
      <c r="AJ38" s="228">
        <v>20.7</v>
      </c>
      <c r="AK38" s="228">
        <v>17.3</v>
      </c>
      <c r="AL38" s="228">
        <v>3.4</v>
      </c>
      <c r="AM38" s="229">
        <v>1.49E-2</v>
      </c>
      <c r="AN38" s="231">
        <v>1400.72</v>
      </c>
      <c r="AO38" s="231">
        <v>1409.72</v>
      </c>
      <c r="AP38" s="228">
        <v>0</v>
      </c>
      <c r="AQ38" s="230">
        <v>39376</v>
      </c>
      <c r="AR38" s="230">
        <v>54312</v>
      </c>
      <c r="AS38" s="230">
        <v>-14936</v>
      </c>
      <c r="AT38" s="229">
        <v>-0.27500000000000002</v>
      </c>
      <c r="AU38" s="230">
        <v>34916</v>
      </c>
      <c r="AV38" s="230">
        <v>48501</v>
      </c>
      <c r="AW38" s="230">
        <v>-13585</v>
      </c>
      <c r="AX38" s="229">
        <v>-0.28010000000000002</v>
      </c>
      <c r="AY38" s="230">
        <v>4011</v>
      </c>
      <c r="AZ38" s="230">
        <v>5121</v>
      </c>
      <c r="BA38" s="230">
        <v>-1110</v>
      </c>
      <c r="BB38" s="229">
        <v>-0.21679999999999999</v>
      </c>
      <c r="BC38" s="228">
        <v>449</v>
      </c>
      <c r="BD38" s="228">
        <v>690</v>
      </c>
      <c r="BE38" s="228">
        <v>-241</v>
      </c>
      <c r="BF38" s="229">
        <v>-0.3493</v>
      </c>
      <c r="BG38" s="230">
        <v>288260</v>
      </c>
      <c r="BH38" s="230">
        <v>428277</v>
      </c>
      <c r="BI38" s="230">
        <v>-140017</v>
      </c>
      <c r="BJ38" s="229">
        <v>-0.32690000000000002</v>
      </c>
      <c r="BK38" s="230">
        <v>142461</v>
      </c>
      <c r="BL38" s="230">
        <v>174410</v>
      </c>
      <c r="BM38" s="230">
        <v>-31949</v>
      </c>
      <c r="BN38" s="229">
        <v>-0.1832</v>
      </c>
      <c r="BO38" s="230">
        <v>470097</v>
      </c>
      <c r="BP38" s="230">
        <v>656999</v>
      </c>
      <c r="BQ38" s="230">
        <v>-186902</v>
      </c>
      <c r="BR38" s="229">
        <v>-0.28449999999999998</v>
      </c>
      <c r="BS38" s="230">
        <v>22673884</v>
      </c>
      <c r="BT38" s="230">
        <v>23715500</v>
      </c>
      <c r="BU38" s="230">
        <v>-1041616</v>
      </c>
      <c r="BV38" s="229">
        <v>-4.3900000000000002E-2</v>
      </c>
      <c r="BW38" s="230">
        <v>105469500</v>
      </c>
      <c r="BX38" s="230">
        <v>104327500</v>
      </c>
      <c r="BY38" s="230">
        <v>1142000</v>
      </c>
      <c r="BZ38" s="229">
        <v>1.09E-2</v>
      </c>
      <c r="CA38" s="230">
        <v>98882500</v>
      </c>
      <c r="CB38" s="230">
        <v>98062000</v>
      </c>
      <c r="CC38" s="230">
        <v>820500</v>
      </c>
      <c r="CD38" s="229">
        <v>8.3999999999999995E-3</v>
      </c>
      <c r="CE38" s="230">
        <v>5493500</v>
      </c>
      <c r="CF38" s="230">
        <v>5197000</v>
      </c>
      <c r="CG38" s="230">
        <v>296500</v>
      </c>
      <c r="CH38" s="229">
        <v>5.7099999999999998E-2</v>
      </c>
      <c r="CI38" s="230">
        <v>1093500</v>
      </c>
      <c r="CJ38" s="230">
        <v>1068500</v>
      </c>
      <c r="CK38" s="230">
        <v>25000</v>
      </c>
      <c r="CL38" s="229">
        <v>2.3400000000000001E-2</v>
      </c>
      <c r="CM38" s="230">
        <v>84952500</v>
      </c>
      <c r="CN38" s="230">
        <v>81715500</v>
      </c>
      <c r="CO38" s="230">
        <v>3237000</v>
      </c>
      <c r="CP38" s="229">
        <v>3.9600000000000003E-2</v>
      </c>
      <c r="CQ38" s="230">
        <v>35579000</v>
      </c>
      <c r="CR38" s="230">
        <v>33225500</v>
      </c>
      <c r="CS38" s="230">
        <v>2353500</v>
      </c>
      <c r="CT38" s="229">
        <v>7.0800000000000002E-2</v>
      </c>
      <c r="CU38" s="230">
        <v>226001000</v>
      </c>
      <c r="CV38" s="230">
        <v>219268500</v>
      </c>
      <c r="CW38" s="230">
        <v>6732500</v>
      </c>
      <c r="CX38" s="229">
        <v>3.0700000000000002E-2</v>
      </c>
      <c r="CY38" s="228">
        <v>25.27</v>
      </c>
      <c r="CZ38" s="228">
        <v>26.09</v>
      </c>
      <c r="DA38" s="228">
        <v>-0.82</v>
      </c>
      <c r="DB38" s="228">
        <v>-0.82</v>
      </c>
      <c r="DC38" s="228">
        <v>25.09</v>
      </c>
      <c r="DD38" s="228">
        <v>25.15</v>
      </c>
      <c r="DE38" s="228">
        <v>0.18</v>
      </c>
      <c r="DF38" s="228">
        <v>-0.06</v>
      </c>
      <c r="DG38" s="228">
        <v>24.64</v>
      </c>
      <c r="DH38" s="228">
        <v>25.54</v>
      </c>
      <c r="DI38" s="228">
        <v>-0.9</v>
      </c>
      <c r="DJ38" s="228">
        <v>-0.9</v>
      </c>
      <c r="DK38" s="228">
        <v>26.55</v>
      </c>
      <c r="DL38" s="228">
        <v>27.46</v>
      </c>
      <c r="DM38" s="228">
        <v>-0.91</v>
      </c>
      <c r="DN38" s="228">
        <v>-0.91</v>
      </c>
      <c r="DO38" s="228">
        <v>0.42</v>
      </c>
      <c r="DP38" s="228">
        <v>0.41</v>
      </c>
      <c r="DQ38" s="228">
        <v>0.01</v>
      </c>
      <c r="DR38" s="229">
        <v>2.4400000000000002E-2</v>
      </c>
      <c r="DS38" s="231">
        <v>1500</v>
      </c>
      <c r="DT38" s="231">
        <v>1400</v>
      </c>
      <c r="DU38" s="228">
        <v>0.49</v>
      </c>
      <c r="DV38" s="228">
        <v>0.41</v>
      </c>
      <c r="DW38" s="228">
        <v>0.08</v>
      </c>
      <c r="DX38" s="229">
        <v>0.1951</v>
      </c>
      <c r="DY38" s="229">
        <v>6.25E-2</v>
      </c>
      <c r="DZ38" s="230">
        <v>6265500</v>
      </c>
      <c r="EA38" s="229">
        <v>6.1999999999999998E-3</v>
      </c>
      <c r="EB38" s="229">
        <v>6.25E-2</v>
      </c>
      <c r="EC38" s="228">
        <v>9</v>
      </c>
      <c r="ED38" s="229">
        <v>6.4000000000000003E-3</v>
      </c>
      <c r="EE38" s="230">
        <v>9597374</v>
      </c>
      <c r="EF38" s="230">
        <v>11133679</v>
      </c>
      <c r="EG38" s="229">
        <v>-0.13800000000000001</v>
      </c>
      <c r="EH38" s="229">
        <v>0.42330000000000001</v>
      </c>
      <c r="EI38" s="231">
        <v>2106877.7799999998</v>
      </c>
      <c r="EJ38" s="231">
        <v>986988.81</v>
      </c>
      <c r="EK38" s="231">
        <v>275994.44</v>
      </c>
      <c r="EL38" s="231">
        <v>45353</v>
      </c>
      <c r="EM38" s="231">
        <v>3369861.03</v>
      </c>
      <c r="EN38" s="231">
        <v>4749837.3099999996</v>
      </c>
      <c r="EO38" s="231">
        <v>-1379976.28</v>
      </c>
      <c r="EP38" s="229">
        <v>-0.29049999999999998</v>
      </c>
      <c r="EQ38" s="231">
        <v>1240543</v>
      </c>
      <c r="ER38" s="231">
        <v>492825</v>
      </c>
      <c r="ES38" s="231">
        <v>1474055</v>
      </c>
      <c r="ET38" s="231">
        <v>664266681</v>
      </c>
      <c r="EU38" s="231">
        <v>3207423</v>
      </c>
      <c r="EV38" s="231">
        <v>3107984</v>
      </c>
      <c r="EW38" s="231">
        <v>99439</v>
      </c>
      <c r="EX38" s="229">
        <v>3.2000000000000001E-2</v>
      </c>
      <c r="EY38" s="229">
        <v>0.3402</v>
      </c>
    </row>
    <row r="39" spans="1:155" ht="17.25" thickBot="1" x14ac:dyDescent="0.3">
      <c r="A39" s="226">
        <v>46093</v>
      </c>
      <c r="B39" s="227" t="s">
        <v>175</v>
      </c>
      <c r="C39" s="227" t="s">
        <v>462</v>
      </c>
      <c r="D39" s="231">
        <v>1941.9</v>
      </c>
      <c r="E39" s="231">
        <v>1939.8</v>
      </c>
      <c r="F39" s="228">
        <v>2.1</v>
      </c>
      <c r="G39" s="229">
        <v>1.1000000000000001E-3</v>
      </c>
      <c r="H39" s="231">
        <v>1939.4</v>
      </c>
      <c r="I39" s="231">
        <v>1938.6</v>
      </c>
      <c r="J39" s="228">
        <v>0.8</v>
      </c>
      <c r="K39" s="229">
        <v>4.0000000000000002E-4</v>
      </c>
      <c r="L39" s="231">
        <v>1941.9</v>
      </c>
      <c r="M39" s="231">
        <v>1939.8</v>
      </c>
      <c r="N39" s="228">
        <v>2.1</v>
      </c>
      <c r="O39" s="229">
        <v>1.1000000000000001E-3</v>
      </c>
      <c r="P39" s="231">
        <v>1953</v>
      </c>
      <c r="Q39" s="231">
        <v>1950.6</v>
      </c>
      <c r="R39" s="228">
        <v>2.4</v>
      </c>
      <c r="S39" s="229">
        <v>1.1999999999999999E-3</v>
      </c>
      <c r="T39" s="231">
        <v>1962</v>
      </c>
      <c r="U39" s="231">
        <v>1970</v>
      </c>
      <c r="V39" s="228">
        <v>-8</v>
      </c>
      <c r="W39" s="229">
        <v>-4.1000000000000003E-3</v>
      </c>
      <c r="X39" s="228">
        <v>2.5</v>
      </c>
      <c r="Y39" s="228">
        <v>1.2</v>
      </c>
      <c r="Z39" s="228">
        <v>1.3</v>
      </c>
      <c r="AA39" s="229">
        <v>1.2999999999999999E-3</v>
      </c>
      <c r="AB39" s="228">
        <v>2.5</v>
      </c>
      <c r="AC39" s="228">
        <v>1.2</v>
      </c>
      <c r="AD39" s="228">
        <v>1.3</v>
      </c>
      <c r="AE39" s="229">
        <v>1.2999999999999999E-3</v>
      </c>
      <c r="AF39" s="228">
        <v>13.6</v>
      </c>
      <c r="AG39" s="228">
        <v>12</v>
      </c>
      <c r="AH39" s="228">
        <v>1.6</v>
      </c>
      <c r="AI39" s="229">
        <v>7.0000000000000001E-3</v>
      </c>
      <c r="AJ39" s="228">
        <v>22.6</v>
      </c>
      <c r="AK39" s="228">
        <v>31.4</v>
      </c>
      <c r="AL39" s="228">
        <v>-8.8000000000000007</v>
      </c>
      <c r="AM39" s="229">
        <v>1.17E-2</v>
      </c>
      <c r="AN39" s="231">
        <v>1934.21</v>
      </c>
      <c r="AO39" s="231">
        <v>1939.52</v>
      </c>
      <c r="AP39" s="228">
        <v>0</v>
      </c>
      <c r="AQ39" s="230">
        <v>2520</v>
      </c>
      <c r="AR39" s="230">
        <v>2812</v>
      </c>
      <c r="AS39" s="228">
        <v>-292</v>
      </c>
      <c r="AT39" s="229">
        <v>-0.1038</v>
      </c>
      <c r="AU39" s="230">
        <v>2403</v>
      </c>
      <c r="AV39" s="230">
        <v>2695</v>
      </c>
      <c r="AW39" s="228">
        <v>-292</v>
      </c>
      <c r="AX39" s="229">
        <v>-0.10829999999999999</v>
      </c>
      <c r="AY39" s="228">
        <v>97</v>
      </c>
      <c r="AZ39" s="228">
        <v>115</v>
      </c>
      <c r="BA39" s="228">
        <v>-18</v>
      </c>
      <c r="BB39" s="229">
        <v>-0.1565</v>
      </c>
      <c r="BC39" s="228">
        <v>20</v>
      </c>
      <c r="BD39" s="228">
        <v>2</v>
      </c>
      <c r="BE39" s="228">
        <v>18</v>
      </c>
      <c r="BF39" s="229">
        <v>9</v>
      </c>
      <c r="BG39" s="230">
        <v>4720</v>
      </c>
      <c r="BH39" s="230">
        <v>7709</v>
      </c>
      <c r="BI39" s="230">
        <v>-2989</v>
      </c>
      <c r="BJ39" s="229">
        <v>-0.38769999999999999</v>
      </c>
      <c r="BK39" s="230">
        <v>2314</v>
      </c>
      <c r="BL39" s="230">
        <v>4479</v>
      </c>
      <c r="BM39" s="230">
        <v>-2165</v>
      </c>
      <c r="BN39" s="229">
        <v>-0.4834</v>
      </c>
      <c r="BO39" s="230">
        <v>9554</v>
      </c>
      <c r="BP39" s="230">
        <v>15000</v>
      </c>
      <c r="BQ39" s="230">
        <v>-5446</v>
      </c>
      <c r="BR39" s="229">
        <v>-0.36309999999999998</v>
      </c>
      <c r="BS39" s="230">
        <v>880383</v>
      </c>
      <c r="BT39" s="230">
        <v>835520</v>
      </c>
      <c r="BU39" s="230">
        <v>44863</v>
      </c>
      <c r="BV39" s="229">
        <v>5.3699999999999998E-2</v>
      </c>
      <c r="BW39" s="230">
        <v>8943375</v>
      </c>
      <c r="BX39" s="230">
        <v>9119625</v>
      </c>
      <c r="BY39" s="230">
        <v>-176250</v>
      </c>
      <c r="BZ39" s="229">
        <v>-1.9300000000000001E-2</v>
      </c>
      <c r="CA39" s="230">
        <v>8786250</v>
      </c>
      <c r="CB39" s="230">
        <v>8968500</v>
      </c>
      <c r="CC39" s="230">
        <v>-182250</v>
      </c>
      <c r="CD39" s="229">
        <v>-2.0299999999999999E-2</v>
      </c>
      <c r="CE39" s="230">
        <v>130125</v>
      </c>
      <c r="CF39" s="230">
        <v>124125</v>
      </c>
      <c r="CG39" s="230">
        <v>6000</v>
      </c>
      <c r="CH39" s="229">
        <v>4.8300000000000003E-2</v>
      </c>
      <c r="CI39" s="230">
        <v>27000</v>
      </c>
      <c r="CJ39" s="230">
        <v>27000</v>
      </c>
      <c r="CK39" s="228">
        <v>0</v>
      </c>
      <c r="CL39" s="229">
        <v>0</v>
      </c>
      <c r="CM39" s="230">
        <v>3837375</v>
      </c>
      <c r="CN39" s="230">
        <v>3691500</v>
      </c>
      <c r="CO39" s="230">
        <v>145875</v>
      </c>
      <c r="CP39" s="229">
        <v>3.95E-2</v>
      </c>
      <c r="CQ39" s="230">
        <v>1741125</v>
      </c>
      <c r="CR39" s="230">
        <v>1684125</v>
      </c>
      <c r="CS39" s="230">
        <v>57000</v>
      </c>
      <c r="CT39" s="229">
        <v>3.3799999999999997E-2</v>
      </c>
      <c r="CU39" s="230">
        <v>14521875</v>
      </c>
      <c r="CV39" s="230">
        <v>14495250</v>
      </c>
      <c r="CW39" s="230">
        <v>26625</v>
      </c>
      <c r="CX39" s="229">
        <v>1.8E-3</v>
      </c>
      <c r="CY39" s="228">
        <v>24.19</v>
      </c>
      <c r="CZ39" s="228">
        <v>23.74</v>
      </c>
      <c r="DA39" s="228">
        <v>0.45</v>
      </c>
      <c r="DB39" s="228">
        <v>0.45</v>
      </c>
      <c r="DC39" s="228">
        <v>24.52</v>
      </c>
      <c r="DD39" s="228">
        <v>24.58</v>
      </c>
      <c r="DE39" s="228">
        <v>-0.33</v>
      </c>
      <c r="DF39" s="228">
        <v>-0.06</v>
      </c>
      <c r="DG39" s="228">
        <v>23.32</v>
      </c>
      <c r="DH39" s="228">
        <v>22.75</v>
      </c>
      <c r="DI39" s="228">
        <v>0.56999999999999995</v>
      </c>
      <c r="DJ39" s="228">
        <v>0.56999999999999995</v>
      </c>
      <c r="DK39" s="228">
        <v>25.96</v>
      </c>
      <c r="DL39" s="228">
        <v>25.43</v>
      </c>
      <c r="DM39" s="228">
        <v>0.53</v>
      </c>
      <c r="DN39" s="228">
        <v>0.53</v>
      </c>
      <c r="DO39" s="228">
        <v>0.45</v>
      </c>
      <c r="DP39" s="228">
        <v>0.46</v>
      </c>
      <c r="DQ39" s="228">
        <v>-0.01</v>
      </c>
      <c r="DR39" s="229">
        <v>-2.1700000000000001E-2</v>
      </c>
      <c r="DS39" s="231">
        <v>2100</v>
      </c>
      <c r="DT39" s="231">
        <v>1900</v>
      </c>
      <c r="DU39" s="228">
        <v>0.49</v>
      </c>
      <c r="DV39" s="228">
        <v>0.57999999999999996</v>
      </c>
      <c r="DW39" s="228">
        <v>-0.09</v>
      </c>
      <c r="DX39" s="229">
        <v>-0.1552</v>
      </c>
      <c r="DY39" s="229">
        <v>1.7600000000000001E-2</v>
      </c>
      <c r="DZ39" s="230">
        <v>151125</v>
      </c>
      <c r="EA39" s="229">
        <v>5.7000000000000002E-3</v>
      </c>
      <c r="EB39" s="229">
        <v>1.7600000000000001E-2</v>
      </c>
      <c r="EC39" s="228">
        <v>5.31</v>
      </c>
      <c r="ED39" s="229">
        <v>2.7000000000000001E-3</v>
      </c>
      <c r="EE39" s="230">
        <v>476500</v>
      </c>
      <c r="EF39" s="230">
        <v>495053</v>
      </c>
      <c r="EG39" s="229">
        <v>-3.7499999999999999E-2</v>
      </c>
      <c r="EH39" s="229">
        <v>0.54120000000000001</v>
      </c>
      <c r="EI39" s="231">
        <v>35800.25</v>
      </c>
      <c r="EJ39" s="231">
        <v>16711.349999999999</v>
      </c>
      <c r="EK39" s="231">
        <v>18281.21</v>
      </c>
      <c r="EL39" s="231">
        <v>3705</v>
      </c>
      <c r="EM39" s="231">
        <v>70792.81</v>
      </c>
      <c r="EN39" s="231">
        <v>111786.96</v>
      </c>
      <c r="EO39" s="231">
        <v>-40994.15</v>
      </c>
      <c r="EP39" s="229">
        <v>-0.36670000000000003</v>
      </c>
      <c r="EQ39" s="231">
        <v>79898</v>
      </c>
      <c r="ER39" s="231">
        <v>33494</v>
      </c>
      <c r="ES39" s="231">
        <v>173691</v>
      </c>
      <c r="ET39" s="231">
        <v>44756800</v>
      </c>
      <c r="EU39" s="231">
        <v>287083</v>
      </c>
      <c r="EV39" s="231">
        <v>286427</v>
      </c>
      <c r="EW39" s="228">
        <v>656</v>
      </c>
      <c r="EX39" s="229">
        <v>2.3E-3</v>
      </c>
      <c r="EY39" s="229">
        <v>0.32450000000000001</v>
      </c>
    </row>
    <row r="40" spans="1:155" ht="17.25" thickBot="1" x14ac:dyDescent="0.3">
      <c r="A40" s="226">
        <v>46093</v>
      </c>
      <c r="B40" s="227" t="s">
        <v>172</v>
      </c>
      <c r="C40" s="227" t="s">
        <v>283</v>
      </c>
      <c r="D40" s="231">
        <v>1088.9000000000001</v>
      </c>
      <c r="E40" s="231">
        <v>1093.2</v>
      </c>
      <c r="F40" s="228">
        <v>-4.3</v>
      </c>
      <c r="G40" s="229">
        <v>-3.8999999999999998E-3</v>
      </c>
      <c r="H40" s="231">
        <v>1085.2</v>
      </c>
      <c r="I40" s="231">
        <v>1091.0999999999999</v>
      </c>
      <c r="J40" s="228">
        <v>-5.9</v>
      </c>
      <c r="K40" s="229">
        <v>-5.4000000000000003E-3</v>
      </c>
      <c r="L40" s="231">
        <v>1088.9000000000001</v>
      </c>
      <c r="M40" s="231">
        <v>1093.2</v>
      </c>
      <c r="N40" s="228">
        <v>-4.3</v>
      </c>
      <c r="O40" s="229">
        <v>-3.8999999999999998E-3</v>
      </c>
      <c r="P40" s="231">
        <v>1096</v>
      </c>
      <c r="Q40" s="231">
        <v>1100.8</v>
      </c>
      <c r="R40" s="228">
        <v>-4.8</v>
      </c>
      <c r="S40" s="229">
        <v>-4.4000000000000003E-3</v>
      </c>
      <c r="T40" s="231">
        <v>1091.7</v>
      </c>
      <c r="U40" s="231">
        <v>1096.8</v>
      </c>
      <c r="V40" s="228">
        <v>-5.0999999999999996</v>
      </c>
      <c r="W40" s="229">
        <v>-4.5999999999999999E-3</v>
      </c>
      <c r="X40" s="228">
        <v>3.7</v>
      </c>
      <c r="Y40" s="228">
        <v>2.1</v>
      </c>
      <c r="Z40" s="228">
        <v>1.6</v>
      </c>
      <c r="AA40" s="229">
        <v>3.3999999999999998E-3</v>
      </c>
      <c r="AB40" s="228">
        <v>3.7</v>
      </c>
      <c r="AC40" s="228">
        <v>2.1</v>
      </c>
      <c r="AD40" s="228">
        <v>1.6</v>
      </c>
      <c r="AE40" s="229">
        <v>3.3999999999999998E-3</v>
      </c>
      <c r="AF40" s="228">
        <v>10.8</v>
      </c>
      <c r="AG40" s="228">
        <v>9.6999999999999993</v>
      </c>
      <c r="AH40" s="228">
        <v>1.1000000000000001</v>
      </c>
      <c r="AI40" s="229">
        <v>0.01</v>
      </c>
      <c r="AJ40" s="228">
        <v>6.5</v>
      </c>
      <c r="AK40" s="228">
        <v>5.7</v>
      </c>
      <c r="AL40" s="228">
        <v>0.8</v>
      </c>
      <c r="AM40" s="229">
        <v>6.0000000000000001E-3</v>
      </c>
      <c r="AN40" s="231">
        <v>1085.1400000000001</v>
      </c>
      <c r="AO40" s="231">
        <v>1089.6500000000001</v>
      </c>
      <c r="AP40" s="228">
        <v>0</v>
      </c>
      <c r="AQ40" s="230">
        <v>23228</v>
      </c>
      <c r="AR40" s="230">
        <v>16531</v>
      </c>
      <c r="AS40" s="230">
        <v>6697</v>
      </c>
      <c r="AT40" s="229">
        <v>0.40510000000000002</v>
      </c>
      <c r="AU40" s="230">
        <v>20214</v>
      </c>
      <c r="AV40" s="230">
        <v>14237</v>
      </c>
      <c r="AW40" s="230">
        <v>5977</v>
      </c>
      <c r="AX40" s="229">
        <v>0.41980000000000001</v>
      </c>
      <c r="AY40" s="230">
        <v>2672</v>
      </c>
      <c r="AZ40" s="230">
        <v>1799</v>
      </c>
      <c r="BA40" s="228">
        <v>873</v>
      </c>
      <c r="BB40" s="229">
        <v>0.48530000000000001</v>
      </c>
      <c r="BC40" s="228">
        <v>342</v>
      </c>
      <c r="BD40" s="228">
        <v>495</v>
      </c>
      <c r="BE40" s="228">
        <v>-153</v>
      </c>
      <c r="BF40" s="229">
        <v>-0.30909999999999999</v>
      </c>
      <c r="BG40" s="230">
        <v>98209</v>
      </c>
      <c r="BH40" s="230">
        <v>74615</v>
      </c>
      <c r="BI40" s="230">
        <v>23594</v>
      </c>
      <c r="BJ40" s="229">
        <v>0.31619999999999998</v>
      </c>
      <c r="BK40" s="230">
        <v>67697</v>
      </c>
      <c r="BL40" s="230">
        <v>64136</v>
      </c>
      <c r="BM40" s="230">
        <v>3561</v>
      </c>
      <c r="BN40" s="229">
        <v>5.5500000000000001E-2</v>
      </c>
      <c r="BO40" s="230">
        <v>189134</v>
      </c>
      <c r="BP40" s="230">
        <v>155282</v>
      </c>
      <c r="BQ40" s="230">
        <v>33852</v>
      </c>
      <c r="BR40" s="229">
        <v>0.218</v>
      </c>
      <c r="BS40" s="230">
        <v>15921104</v>
      </c>
      <c r="BT40" s="230">
        <v>8859891</v>
      </c>
      <c r="BU40" s="230">
        <v>7061213</v>
      </c>
      <c r="BV40" s="229">
        <v>0.79700000000000004</v>
      </c>
      <c r="BW40" s="230">
        <v>75495000</v>
      </c>
      <c r="BX40" s="230">
        <v>72712500</v>
      </c>
      <c r="BY40" s="230">
        <v>2782500</v>
      </c>
      <c r="BZ40" s="229">
        <v>3.8300000000000001E-2</v>
      </c>
      <c r="CA40" s="230">
        <v>69006750</v>
      </c>
      <c r="CB40" s="230">
        <v>67168500</v>
      </c>
      <c r="CC40" s="230">
        <v>1838250</v>
      </c>
      <c r="CD40" s="229">
        <v>2.7400000000000001E-2</v>
      </c>
      <c r="CE40" s="230">
        <v>5853000</v>
      </c>
      <c r="CF40" s="230">
        <v>4950750</v>
      </c>
      <c r="CG40" s="230">
        <v>902250</v>
      </c>
      <c r="CH40" s="229">
        <v>0.1822</v>
      </c>
      <c r="CI40" s="230">
        <v>635250</v>
      </c>
      <c r="CJ40" s="230">
        <v>593250</v>
      </c>
      <c r="CK40" s="230">
        <v>42000</v>
      </c>
      <c r="CL40" s="229">
        <v>7.0800000000000002E-2</v>
      </c>
      <c r="CM40" s="230">
        <v>56619750</v>
      </c>
      <c r="CN40" s="230">
        <v>52791750</v>
      </c>
      <c r="CO40" s="230">
        <v>3828000</v>
      </c>
      <c r="CP40" s="229">
        <v>7.2499999999999995E-2</v>
      </c>
      <c r="CQ40" s="230">
        <v>34874250</v>
      </c>
      <c r="CR40" s="230">
        <v>35163000</v>
      </c>
      <c r="CS40" s="230">
        <v>-288750</v>
      </c>
      <c r="CT40" s="229">
        <v>-8.2000000000000007E-3</v>
      </c>
      <c r="CU40" s="230">
        <v>166989000</v>
      </c>
      <c r="CV40" s="230">
        <v>160667250</v>
      </c>
      <c r="CW40" s="230">
        <v>6321750</v>
      </c>
      <c r="CX40" s="229">
        <v>3.9300000000000002E-2</v>
      </c>
      <c r="CY40" s="228">
        <v>31.22</v>
      </c>
      <c r="CZ40" s="228">
        <v>30.91</v>
      </c>
      <c r="DA40" s="228">
        <v>0.31</v>
      </c>
      <c r="DB40" s="228">
        <v>0.31</v>
      </c>
      <c r="DC40" s="228">
        <v>27.37</v>
      </c>
      <c r="DD40" s="228">
        <v>27.43</v>
      </c>
      <c r="DE40" s="228">
        <v>3.85</v>
      </c>
      <c r="DF40" s="228">
        <v>-0.06</v>
      </c>
      <c r="DG40" s="228">
        <v>30.41</v>
      </c>
      <c r="DH40" s="228">
        <v>30.09</v>
      </c>
      <c r="DI40" s="228">
        <v>0.32</v>
      </c>
      <c r="DJ40" s="228">
        <v>0.32</v>
      </c>
      <c r="DK40" s="228">
        <v>32.4</v>
      </c>
      <c r="DL40" s="228">
        <v>31.86</v>
      </c>
      <c r="DM40" s="228">
        <v>0.54</v>
      </c>
      <c r="DN40" s="228">
        <v>0.54</v>
      </c>
      <c r="DO40" s="228">
        <v>0.62</v>
      </c>
      <c r="DP40" s="228">
        <v>0.67</v>
      </c>
      <c r="DQ40" s="228">
        <v>-0.05</v>
      </c>
      <c r="DR40" s="229">
        <v>-7.46E-2</v>
      </c>
      <c r="DS40" s="231">
        <v>1200</v>
      </c>
      <c r="DT40" s="231">
        <v>1000</v>
      </c>
      <c r="DU40" s="228">
        <v>0.69</v>
      </c>
      <c r="DV40" s="228">
        <v>0.86</v>
      </c>
      <c r="DW40" s="228">
        <v>-0.17</v>
      </c>
      <c r="DX40" s="229">
        <v>-0.19769999999999999</v>
      </c>
      <c r="DY40" s="229">
        <v>8.5900000000000004E-2</v>
      </c>
      <c r="DZ40" s="230">
        <v>5544000</v>
      </c>
      <c r="EA40" s="229">
        <v>6.4999999999999997E-3</v>
      </c>
      <c r="EB40" s="229">
        <v>8.5900000000000004E-2</v>
      </c>
      <c r="EC40" s="228">
        <v>4.51</v>
      </c>
      <c r="ED40" s="229">
        <v>4.1999999999999997E-3</v>
      </c>
      <c r="EE40" s="230">
        <v>7840368</v>
      </c>
      <c r="EF40" s="230">
        <v>4870022</v>
      </c>
      <c r="EG40" s="229">
        <v>0.6099</v>
      </c>
      <c r="EH40" s="229">
        <v>0.49249999999999999</v>
      </c>
      <c r="EI40" s="231">
        <v>853930.75</v>
      </c>
      <c r="EJ40" s="231">
        <v>545448.61</v>
      </c>
      <c r="EK40" s="231">
        <v>189136.35</v>
      </c>
      <c r="EL40" s="231">
        <v>26691</v>
      </c>
      <c r="EM40" s="231">
        <v>1588515.71</v>
      </c>
      <c r="EN40" s="231">
        <v>1317081.97</v>
      </c>
      <c r="EO40" s="231">
        <v>271433.74</v>
      </c>
      <c r="EP40" s="229">
        <v>0.20610000000000001</v>
      </c>
      <c r="EQ40" s="231">
        <v>676099</v>
      </c>
      <c r="ER40" s="231">
        <v>382400</v>
      </c>
      <c r="ES40" s="231">
        <v>822498</v>
      </c>
      <c r="ET40" s="231">
        <v>436949195</v>
      </c>
      <c r="EU40" s="231">
        <v>1880998</v>
      </c>
      <c r="EV40" s="231">
        <v>1814744</v>
      </c>
      <c r="EW40" s="231">
        <v>66254</v>
      </c>
      <c r="EX40" s="229">
        <v>3.6499999999999998E-2</v>
      </c>
      <c r="EY40" s="229">
        <v>0.38219999999999998</v>
      </c>
    </row>
    <row r="41" spans="1:155" ht="17.25" thickBot="1" x14ac:dyDescent="0.3">
      <c r="A41" s="226">
        <v>46093</v>
      </c>
      <c r="B41" s="227" t="s">
        <v>175</v>
      </c>
      <c r="C41" s="227" t="s">
        <v>562</v>
      </c>
      <c r="D41" s="231">
        <v>1035.5</v>
      </c>
      <c r="E41" s="231">
        <v>1035.9000000000001</v>
      </c>
      <c r="F41" s="228">
        <v>-0.4</v>
      </c>
      <c r="G41" s="229">
        <v>-4.0000000000000002E-4</v>
      </c>
      <c r="H41" s="231">
        <v>1031.7</v>
      </c>
      <c r="I41" s="231">
        <v>1031.7</v>
      </c>
      <c r="J41" s="228">
        <v>0</v>
      </c>
      <c r="K41" s="229">
        <v>0</v>
      </c>
      <c r="L41" s="231">
        <v>1035.5</v>
      </c>
      <c r="M41" s="231">
        <v>1035.9000000000001</v>
      </c>
      <c r="N41" s="228">
        <v>-0.4</v>
      </c>
      <c r="O41" s="229">
        <v>-4.0000000000000002E-4</v>
      </c>
      <c r="P41" s="231">
        <v>1042</v>
      </c>
      <c r="Q41" s="231">
        <v>1042.0999999999999</v>
      </c>
      <c r="R41" s="228">
        <v>-0.1</v>
      </c>
      <c r="S41" s="229">
        <v>-1E-4</v>
      </c>
      <c r="T41" s="231">
        <v>1045.5999999999999</v>
      </c>
      <c r="U41" s="231">
        <v>1047.0999999999999</v>
      </c>
      <c r="V41" s="228">
        <v>-1.5</v>
      </c>
      <c r="W41" s="229">
        <v>-1.4E-3</v>
      </c>
      <c r="X41" s="228">
        <v>3.8</v>
      </c>
      <c r="Y41" s="228">
        <v>4.2</v>
      </c>
      <c r="Z41" s="228">
        <v>-0.4</v>
      </c>
      <c r="AA41" s="229">
        <v>3.7000000000000002E-3</v>
      </c>
      <c r="AB41" s="228">
        <v>3.8</v>
      </c>
      <c r="AC41" s="228">
        <v>4.2</v>
      </c>
      <c r="AD41" s="228">
        <v>-0.4</v>
      </c>
      <c r="AE41" s="229">
        <v>3.7000000000000002E-3</v>
      </c>
      <c r="AF41" s="228">
        <v>10.3</v>
      </c>
      <c r="AG41" s="228">
        <v>10.4</v>
      </c>
      <c r="AH41" s="228">
        <v>-0.1</v>
      </c>
      <c r="AI41" s="229">
        <v>0.01</v>
      </c>
      <c r="AJ41" s="228">
        <v>13.9</v>
      </c>
      <c r="AK41" s="228">
        <v>15.4</v>
      </c>
      <c r="AL41" s="228">
        <v>-1.5</v>
      </c>
      <c r="AM41" s="229">
        <v>1.35E-2</v>
      </c>
      <c r="AN41" s="231">
        <v>1030.06</v>
      </c>
      <c r="AO41" s="231">
        <v>1035.06</v>
      </c>
      <c r="AP41" s="228">
        <v>0</v>
      </c>
      <c r="AQ41" s="230">
        <v>10450</v>
      </c>
      <c r="AR41" s="230">
        <v>11923</v>
      </c>
      <c r="AS41" s="230">
        <v>-1473</v>
      </c>
      <c r="AT41" s="229">
        <v>-0.1235</v>
      </c>
      <c r="AU41" s="230">
        <v>9506</v>
      </c>
      <c r="AV41" s="230">
        <v>10776</v>
      </c>
      <c r="AW41" s="230">
        <v>-1270</v>
      </c>
      <c r="AX41" s="229">
        <v>-0.1179</v>
      </c>
      <c r="AY41" s="228">
        <v>819</v>
      </c>
      <c r="AZ41" s="230">
        <v>1004</v>
      </c>
      <c r="BA41" s="228">
        <v>-185</v>
      </c>
      <c r="BB41" s="229">
        <v>-0.18429999999999999</v>
      </c>
      <c r="BC41" s="228">
        <v>125</v>
      </c>
      <c r="BD41" s="228">
        <v>143</v>
      </c>
      <c r="BE41" s="228">
        <v>-18</v>
      </c>
      <c r="BF41" s="229">
        <v>-0.12590000000000001</v>
      </c>
      <c r="BG41" s="230">
        <v>24550</v>
      </c>
      <c r="BH41" s="230">
        <v>28818</v>
      </c>
      <c r="BI41" s="230">
        <v>-4268</v>
      </c>
      <c r="BJ41" s="229">
        <v>-0.14810000000000001</v>
      </c>
      <c r="BK41" s="230">
        <v>16633</v>
      </c>
      <c r="BL41" s="230">
        <v>22934</v>
      </c>
      <c r="BM41" s="230">
        <v>-6301</v>
      </c>
      <c r="BN41" s="229">
        <v>-0.2747</v>
      </c>
      <c r="BO41" s="230">
        <v>51633</v>
      </c>
      <c r="BP41" s="230">
        <v>63675</v>
      </c>
      <c r="BQ41" s="230">
        <v>-12042</v>
      </c>
      <c r="BR41" s="229">
        <v>-0.18909999999999999</v>
      </c>
      <c r="BS41" s="230">
        <v>8188034</v>
      </c>
      <c r="BT41" s="230">
        <v>10915266</v>
      </c>
      <c r="BU41" s="230">
        <v>-2727232</v>
      </c>
      <c r="BV41" s="229">
        <v>-0.24990000000000001</v>
      </c>
      <c r="BW41" s="230">
        <v>40262475</v>
      </c>
      <c r="BX41" s="230">
        <v>39772425</v>
      </c>
      <c r="BY41" s="230">
        <v>490050</v>
      </c>
      <c r="BZ41" s="229">
        <v>1.23E-2</v>
      </c>
      <c r="CA41" s="230">
        <v>38416950</v>
      </c>
      <c r="CB41" s="230">
        <v>38011050</v>
      </c>
      <c r="CC41" s="230">
        <v>405900</v>
      </c>
      <c r="CD41" s="229">
        <v>1.0699999999999999E-2</v>
      </c>
      <c r="CE41" s="230">
        <v>1390950</v>
      </c>
      <c r="CF41" s="230">
        <v>1343100</v>
      </c>
      <c r="CG41" s="230">
        <v>47850</v>
      </c>
      <c r="CH41" s="229">
        <v>3.56E-2</v>
      </c>
      <c r="CI41" s="230">
        <v>454575</v>
      </c>
      <c r="CJ41" s="230">
        <v>418275</v>
      </c>
      <c r="CK41" s="230">
        <v>36300</v>
      </c>
      <c r="CL41" s="229">
        <v>8.6800000000000002E-2</v>
      </c>
      <c r="CM41" s="230">
        <v>12437700</v>
      </c>
      <c r="CN41" s="230">
        <v>11983125</v>
      </c>
      <c r="CO41" s="230">
        <v>454575</v>
      </c>
      <c r="CP41" s="229">
        <v>3.7900000000000003E-2</v>
      </c>
      <c r="CQ41" s="230">
        <v>10714275</v>
      </c>
      <c r="CR41" s="230">
        <v>10201125</v>
      </c>
      <c r="CS41" s="230">
        <v>513150</v>
      </c>
      <c r="CT41" s="229">
        <v>5.0299999999999997E-2</v>
      </c>
      <c r="CU41" s="230">
        <v>63414450</v>
      </c>
      <c r="CV41" s="230">
        <v>61956675</v>
      </c>
      <c r="CW41" s="230">
        <v>1457775</v>
      </c>
      <c r="CX41" s="229">
        <v>2.35E-2</v>
      </c>
      <c r="CY41" s="228">
        <v>40.24</v>
      </c>
      <c r="CZ41" s="228">
        <v>39.24</v>
      </c>
      <c r="DA41" s="228">
        <v>1</v>
      </c>
      <c r="DB41" s="228">
        <v>1</v>
      </c>
      <c r="DC41" s="228">
        <v>40.18</v>
      </c>
      <c r="DD41" s="228">
        <v>40.28</v>
      </c>
      <c r="DE41" s="228">
        <v>0.06</v>
      </c>
      <c r="DF41" s="228">
        <v>-0.1</v>
      </c>
      <c r="DG41" s="228">
        <v>38.93</v>
      </c>
      <c r="DH41" s="228">
        <v>38.44</v>
      </c>
      <c r="DI41" s="228">
        <v>0.49</v>
      </c>
      <c r="DJ41" s="228">
        <v>0.49</v>
      </c>
      <c r="DK41" s="228">
        <v>42.16</v>
      </c>
      <c r="DL41" s="228">
        <v>40.229999999999997</v>
      </c>
      <c r="DM41" s="228">
        <v>1.93</v>
      </c>
      <c r="DN41" s="228">
        <v>1.93</v>
      </c>
      <c r="DO41" s="228">
        <v>0.86</v>
      </c>
      <c r="DP41" s="228">
        <v>0.85</v>
      </c>
      <c r="DQ41" s="228">
        <v>0.01</v>
      </c>
      <c r="DR41" s="229">
        <v>1.18E-2</v>
      </c>
      <c r="DS41" s="231">
        <v>1050</v>
      </c>
      <c r="DT41" s="231">
        <v>1000</v>
      </c>
      <c r="DU41" s="228">
        <v>0.68</v>
      </c>
      <c r="DV41" s="228">
        <v>0.8</v>
      </c>
      <c r="DW41" s="228">
        <v>-0.12</v>
      </c>
      <c r="DX41" s="229">
        <v>-0.15</v>
      </c>
      <c r="DY41" s="229">
        <v>4.58E-2</v>
      </c>
      <c r="DZ41" s="230">
        <v>1761375</v>
      </c>
      <c r="EA41" s="229">
        <v>6.3E-3</v>
      </c>
      <c r="EB41" s="229">
        <v>4.58E-2</v>
      </c>
      <c r="EC41" s="228">
        <v>5</v>
      </c>
      <c r="ED41" s="229">
        <v>4.8999999999999998E-3</v>
      </c>
      <c r="EE41" s="230">
        <v>4720897</v>
      </c>
      <c r="EF41" s="230">
        <v>7262912</v>
      </c>
      <c r="EG41" s="229">
        <v>-0.35</v>
      </c>
      <c r="EH41" s="229">
        <v>0.5766</v>
      </c>
      <c r="EI41" s="231">
        <v>221564.18</v>
      </c>
      <c r="EJ41" s="231">
        <v>140769.18</v>
      </c>
      <c r="EK41" s="231">
        <v>88845.2</v>
      </c>
      <c r="EL41" s="231">
        <v>14283</v>
      </c>
      <c r="EM41" s="231">
        <v>451178.56</v>
      </c>
      <c r="EN41" s="231">
        <v>565810.68000000005</v>
      </c>
      <c r="EO41" s="231">
        <v>-114632.12</v>
      </c>
      <c r="EP41" s="229">
        <v>-0.2026</v>
      </c>
      <c r="EQ41" s="231">
        <v>134931</v>
      </c>
      <c r="ER41" s="231">
        <v>107087</v>
      </c>
      <c r="ES41" s="231">
        <v>417054</v>
      </c>
      <c r="ET41" s="231">
        <v>210513975</v>
      </c>
      <c r="EU41" s="231">
        <v>659072</v>
      </c>
      <c r="EV41" s="231">
        <v>644691</v>
      </c>
      <c r="EW41" s="231">
        <v>14381</v>
      </c>
      <c r="EX41" s="229">
        <v>2.23E-2</v>
      </c>
      <c r="EY41" s="229">
        <v>0.30120000000000002</v>
      </c>
    </row>
    <row r="42" spans="1:155" ht="17.25" thickBot="1" x14ac:dyDescent="0.3">
      <c r="A42" s="226">
        <v>46093</v>
      </c>
      <c r="B42" s="227" t="s">
        <v>170</v>
      </c>
      <c r="C42" s="227" t="s">
        <v>288</v>
      </c>
      <c r="D42" s="231">
        <v>1827.7</v>
      </c>
      <c r="E42" s="231">
        <v>1827.6</v>
      </c>
      <c r="F42" s="228">
        <v>0.1</v>
      </c>
      <c r="G42" s="229">
        <v>1E-4</v>
      </c>
      <c r="H42" s="231">
        <v>1825.3</v>
      </c>
      <c r="I42" s="231">
        <v>1825.9</v>
      </c>
      <c r="J42" s="228">
        <v>-0.6</v>
      </c>
      <c r="K42" s="229">
        <v>-2.9999999999999997E-4</v>
      </c>
      <c r="L42" s="231">
        <v>1827.7</v>
      </c>
      <c r="M42" s="231">
        <v>1827.6</v>
      </c>
      <c r="N42" s="228">
        <v>0.1</v>
      </c>
      <c r="O42" s="229">
        <v>1E-4</v>
      </c>
      <c r="P42" s="231">
        <v>1839.9</v>
      </c>
      <c r="Q42" s="231">
        <v>1839.4</v>
      </c>
      <c r="R42" s="228">
        <v>0.5</v>
      </c>
      <c r="S42" s="229">
        <v>2.9999999999999997E-4</v>
      </c>
      <c r="T42" s="231">
        <v>1844</v>
      </c>
      <c r="U42" s="231">
        <v>1848.5</v>
      </c>
      <c r="V42" s="228">
        <v>-4.5</v>
      </c>
      <c r="W42" s="229">
        <v>-2.3999999999999998E-3</v>
      </c>
      <c r="X42" s="228">
        <v>2.4</v>
      </c>
      <c r="Y42" s="228">
        <v>1.7</v>
      </c>
      <c r="Z42" s="228">
        <v>0.7</v>
      </c>
      <c r="AA42" s="229">
        <v>1.2999999999999999E-3</v>
      </c>
      <c r="AB42" s="228">
        <v>2.4</v>
      </c>
      <c r="AC42" s="228">
        <v>1.7</v>
      </c>
      <c r="AD42" s="228">
        <v>0.7</v>
      </c>
      <c r="AE42" s="229">
        <v>1.2999999999999999E-3</v>
      </c>
      <c r="AF42" s="228">
        <v>14.6</v>
      </c>
      <c r="AG42" s="228">
        <v>13.5</v>
      </c>
      <c r="AH42" s="228">
        <v>1.1000000000000001</v>
      </c>
      <c r="AI42" s="229">
        <v>8.0000000000000002E-3</v>
      </c>
      <c r="AJ42" s="228">
        <v>18.7</v>
      </c>
      <c r="AK42" s="228">
        <v>22.6</v>
      </c>
      <c r="AL42" s="228">
        <v>-3.9</v>
      </c>
      <c r="AM42" s="229">
        <v>1.0200000000000001E-2</v>
      </c>
      <c r="AN42" s="231">
        <v>1826.66</v>
      </c>
      <c r="AO42" s="231">
        <v>1834.66</v>
      </c>
      <c r="AP42" s="228">
        <v>0</v>
      </c>
      <c r="AQ42" s="230">
        <v>7353</v>
      </c>
      <c r="AR42" s="230">
        <v>8317</v>
      </c>
      <c r="AS42" s="228">
        <v>-964</v>
      </c>
      <c r="AT42" s="229">
        <v>-0.1159</v>
      </c>
      <c r="AU42" s="230">
        <v>7143</v>
      </c>
      <c r="AV42" s="230">
        <v>8000</v>
      </c>
      <c r="AW42" s="228">
        <v>-857</v>
      </c>
      <c r="AX42" s="229">
        <v>-0.1071</v>
      </c>
      <c r="AY42" s="228">
        <v>196</v>
      </c>
      <c r="AZ42" s="228">
        <v>291</v>
      </c>
      <c r="BA42" s="228">
        <v>-95</v>
      </c>
      <c r="BB42" s="229">
        <v>-0.32650000000000001</v>
      </c>
      <c r="BC42" s="228">
        <v>14</v>
      </c>
      <c r="BD42" s="228">
        <v>26</v>
      </c>
      <c r="BE42" s="228">
        <v>-12</v>
      </c>
      <c r="BF42" s="229">
        <v>-0.46150000000000002</v>
      </c>
      <c r="BG42" s="230">
        <v>29792</v>
      </c>
      <c r="BH42" s="230">
        <v>46108</v>
      </c>
      <c r="BI42" s="230">
        <v>-16316</v>
      </c>
      <c r="BJ42" s="229">
        <v>-0.35389999999999999</v>
      </c>
      <c r="BK42" s="230">
        <v>19677</v>
      </c>
      <c r="BL42" s="230">
        <v>22116</v>
      </c>
      <c r="BM42" s="230">
        <v>-2439</v>
      </c>
      <c r="BN42" s="229">
        <v>-0.1103</v>
      </c>
      <c r="BO42" s="230">
        <v>56822</v>
      </c>
      <c r="BP42" s="230">
        <v>76541</v>
      </c>
      <c r="BQ42" s="230">
        <v>-19719</v>
      </c>
      <c r="BR42" s="229">
        <v>-0.2576</v>
      </c>
      <c r="BS42" s="230">
        <v>2644443</v>
      </c>
      <c r="BT42" s="230">
        <v>2566743</v>
      </c>
      <c r="BU42" s="230">
        <v>77700</v>
      </c>
      <c r="BV42" s="229">
        <v>3.0300000000000001E-2</v>
      </c>
      <c r="BW42" s="230">
        <v>22489600</v>
      </c>
      <c r="BX42" s="230">
        <v>22640450</v>
      </c>
      <c r="BY42" s="230">
        <v>-150850</v>
      </c>
      <c r="BZ42" s="229">
        <v>-6.7000000000000002E-3</v>
      </c>
      <c r="CA42" s="230">
        <v>22230950</v>
      </c>
      <c r="CB42" s="230">
        <v>22399650</v>
      </c>
      <c r="CC42" s="230">
        <v>-168700</v>
      </c>
      <c r="CD42" s="229">
        <v>-7.4999999999999997E-3</v>
      </c>
      <c r="CE42" s="230">
        <v>223300</v>
      </c>
      <c r="CF42" s="230">
        <v>206150</v>
      </c>
      <c r="CG42" s="230">
        <v>17150</v>
      </c>
      <c r="CH42" s="229">
        <v>8.3199999999999996E-2</v>
      </c>
      <c r="CI42" s="230">
        <v>35350</v>
      </c>
      <c r="CJ42" s="230">
        <v>34650</v>
      </c>
      <c r="CK42" s="228">
        <v>700</v>
      </c>
      <c r="CL42" s="229">
        <v>2.0199999999999999E-2</v>
      </c>
      <c r="CM42" s="230">
        <v>13833400</v>
      </c>
      <c r="CN42" s="230">
        <v>12115950</v>
      </c>
      <c r="CO42" s="230">
        <v>1717450</v>
      </c>
      <c r="CP42" s="229">
        <v>0.14180000000000001</v>
      </c>
      <c r="CQ42" s="230">
        <v>7432250</v>
      </c>
      <c r="CR42" s="230">
        <v>6867700</v>
      </c>
      <c r="CS42" s="230">
        <v>564550</v>
      </c>
      <c r="CT42" s="229">
        <v>8.2199999999999995E-2</v>
      </c>
      <c r="CU42" s="230">
        <v>43755250</v>
      </c>
      <c r="CV42" s="230">
        <v>41624100</v>
      </c>
      <c r="CW42" s="230">
        <v>2131150</v>
      </c>
      <c r="CX42" s="229">
        <v>5.1200000000000002E-2</v>
      </c>
      <c r="CY42" s="228">
        <v>18.190000000000001</v>
      </c>
      <c r="CZ42" s="228">
        <v>18.55</v>
      </c>
      <c r="DA42" s="228">
        <v>-0.36</v>
      </c>
      <c r="DB42" s="228">
        <v>-0.36</v>
      </c>
      <c r="DC42" s="228">
        <v>22.95</v>
      </c>
      <c r="DD42" s="228">
        <v>23.01</v>
      </c>
      <c r="DE42" s="228">
        <v>-4.76</v>
      </c>
      <c r="DF42" s="228">
        <v>-0.06</v>
      </c>
      <c r="DG42" s="228">
        <v>16.78</v>
      </c>
      <c r="DH42" s="228">
        <v>17.760000000000002</v>
      </c>
      <c r="DI42" s="228">
        <v>-0.98</v>
      </c>
      <c r="DJ42" s="228">
        <v>-0.98</v>
      </c>
      <c r="DK42" s="228">
        <v>20.329999999999998</v>
      </c>
      <c r="DL42" s="228">
        <v>20.190000000000001</v>
      </c>
      <c r="DM42" s="228">
        <v>0.14000000000000001</v>
      </c>
      <c r="DN42" s="228">
        <v>0.14000000000000001</v>
      </c>
      <c r="DO42" s="228">
        <v>0.54</v>
      </c>
      <c r="DP42" s="228">
        <v>0.56999999999999995</v>
      </c>
      <c r="DQ42" s="228">
        <v>-0.03</v>
      </c>
      <c r="DR42" s="229">
        <v>-5.2600000000000001E-2</v>
      </c>
      <c r="DS42" s="231">
        <v>1850</v>
      </c>
      <c r="DT42" s="231">
        <v>1800</v>
      </c>
      <c r="DU42" s="228">
        <v>0.66</v>
      </c>
      <c r="DV42" s="228">
        <v>0.48</v>
      </c>
      <c r="DW42" s="228">
        <v>0.18</v>
      </c>
      <c r="DX42" s="229">
        <v>0.375</v>
      </c>
      <c r="DY42" s="229">
        <v>1.15E-2</v>
      </c>
      <c r="DZ42" s="230">
        <v>240800</v>
      </c>
      <c r="EA42" s="229">
        <v>6.7000000000000002E-3</v>
      </c>
      <c r="EB42" s="229">
        <v>1.15E-2</v>
      </c>
      <c r="EC42" s="228">
        <v>8</v>
      </c>
      <c r="ED42" s="229">
        <v>4.4000000000000003E-3</v>
      </c>
      <c r="EE42" s="230">
        <v>1756038</v>
      </c>
      <c r="EF42" s="230">
        <v>1742782</v>
      </c>
      <c r="EG42" s="229">
        <v>7.6E-3</v>
      </c>
      <c r="EH42" s="229">
        <v>0.66400000000000003</v>
      </c>
      <c r="EI42" s="231">
        <v>194971.17</v>
      </c>
      <c r="EJ42" s="231">
        <v>123645.22</v>
      </c>
      <c r="EK42" s="231">
        <v>47016.29</v>
      </c>
      <c r="EL42" s="231">
        <v>8749</v>
      </c>
      <c r="EM42" s="231">
        <v>365632.68</v>
      </c>
      <c r="EN42" s="231">
        <v>496343.61</v>
      </c>
      <c r="EO42" s="231">
        <v>-130710.93</v>
      </c>
      <c r="EP42" s="229">
        <v>-0.26329999999999998</v>
      </c>
      <c r="EQ42" s="231">
        <v>252801</v>
      </c>
      <c r="ER42" s="231">
        <v>129640</v>
      </c>
      <c r="ES42" s="231">
        <v>411075</v>
      </c>
      <c r="ET42" s="231">
        <v>109220043</v>
      </c>
      <c r="EU42" s="231">
        <v>793517</v>
      </c>
      <c r="EV42" s="231">
        <v>754295</v>
      </c>
      <c r="EW42" s="231">
        <v>39222</v>
      </c>
      <c r="EX42" s="229">
        <v>5.1999999999999998E-2</v>
      </c>
      <c r="EY42" s="229">
        <v>0.40060000000000001</v>
      </c>
    </row>
    <row r="43" spans="1:155" ht="17.25" thickBot="1" x14ac:dyDescent="0.3">
      <c r="A43" s="226">
        <v>46093</v>
      </c>
      <c r="B43" s="227" t="s">
        <v>168</v>
      </c>
      <c r="C43" s="227" t="s">
        <v>291</v>
      </c>
      <c r="D43" s="231">
        <v>1061.5</v>
      </c>
      <c r="E43" s="231">
        <v>1076.5999999999999</v>
      </c>
      <c r="F43" s="228">
        <v>-15.1</v>
      </c>
      <c r="G43" s="229">
        <v>-1.4E-2</v>
      </c>
      <c r="H43" s="231">
        <v>1057.8</v>
      </c>
      <c r="I43" s="231">
        <v>1073.4000000000001</v>
      </c>
      <c r="J43" s="228">
        <v>-15.6</v>
      </c>
      <c r="K43" s="229">
        <v>-1.4500000000000001E-2</v>
      </c>
      <c r="L43" s="231">
        <v>1061.5</v>
      </c>
      <c r="M43" s="231">
        <v>1076.5999999999999</v>
      </c>
      <c r="N43" s="228">
        <v>-15.1</v>
      </c>
      <c r="O43" s="229">
        <v>-1.4E-2</v>
      </c>
      <c r="P43" s="231">
        <v>1067.7</v>
      </c>
      <c r="Q43" s="231">
        <v>1084</v>
      </c>
      <c r="R43" s="228">
        <v>-16.3</v>
      </c>
      <c r="S43" s="229">
        <v>-1.4999999999999999E-2</v>
      </c>
      <c r="T43" s="231">
        <v>1071</v>
      </c>
      <c r="U43" s="231">
        <v>1088.5999999999999</v>
      </c>
      <c r="V43" s="228">
        <v>-17.600000000000001</v>
      </c>
      <c r="W43" s="229">
        <v>-1.6199999999999999E-2</v>
      </c>
      <c r="X43" s="228">
        <v>3.7</v>
      </c>
      <c r="Y43" s="228">
        <v>3.2</v>
      </c>
      <c r="Z43" s="228">
        <v>0.5</v>
      </c>
      <c r="AA43" s="229">
        <v>3.5000000000000001E-3</v>
      </c>
      <c r="AB43" s="228">
        <v>3.7</v>
      </c>
      <c r="AC43" s="228">
        <v>3.2</v>
      </c>
      <c r="AD43" s="228">
        <v>0.5</v>
      </c>
      <c r="AE43" s="229">
        <v>3.5000000000000001E-3</v>
      </c>
      <c r="AF43" s="228">
        <v>9.9</v>
      </c>
      <c r="AG43" s="228">
        <v>10.6</v>
      </c>
      <c r="AH43" s="228">
        <v>-0.7</v>
      </c>
      <c r="AI43" s="229">
        <v>9.4000000000000004E-3</v>
      </c>
      <c r="AJ43" s="228">
        <v>13.2</v>
      </c>
      <c r="AK43" s="228">
        <v>15.2</v>
      </c>
      <c r="AL43" s="228">
        <v>-2</v>
      </c>
      <c r="AM43" s="229">
        <v>1.2500000000000001E-2</v>
      </c>
      <c r="AN43" s="231">
        <v>1064.1099999999999</v>
      </c>
      <c r="AO43" s="231">
        <v>1070.01</v>
      </c>
      <c r="AP43" s="228">
        <v>0</v>
      </c>
      <c r="AQ43" s="230">
        <v>2302</v>
      </c>
      <c r="AR43" s="230">
        <v>2457</v>
      </c>
      <c r="AS43" s="228">
        <v>-155</v>
      </c>
      <c r="AT43" s="229">
        <v>-6.3100000000000003E-2</v>
      </c>
      <c r="AU43" s="230">
        <v>1876</v>
      </c>
      <c r="AV43" s="230">
        <v>2251</v>
      </c>
      <c r="AW43" s="228">
        <v>-375</v>
      </c>
      <c r="AX43" s="229">
        <v>-0.1666</v>
      </c>
      <c r="AY43" s="228">
        <v>416</v>
      </c>
      <c r="AZ43" s="228">
        <v>193</v>
      </c>
      <c r="BA43" s="228">
        <v>223</v>
      </c>
      <c r="BB43" s="229">
        <v>1.1554</v>
      </c>
      <c r="BC43" s="228">
        <v>10</v>
      </c>
      <c r="BD43" s="228">
        <v>13</v>
      </c>
      <c r="BE43" s="228">
        <v>-3</v>
      </c>
      <c r="BF43" s="229">
        <v>-0.23080000000000001</v>
      </c>
      <c r="BG43" s="230">
        <v>2740</v>
      </c>
      <c r="BH43" s="230">
        <v>4263</v>
      </c>
      <c r="BI43" s="230">
        <v>-1523</v>
      </c>
      <c r="BJ43" s="229">
        <v>-0.35730000000000001</v>
      </c>
      <c r="BK43" s="230">
        <v>2402</v>
      </c>
      <c r="BL43" s="230">
        <v>6690</v>
      </c>
      <c r="BM43" s="230">
        <v>-4288</v>
      </c>
      <c r="BN43" s="229">
        <v>-0.64100000000000001</v>
      </c>
      <c r="BO43" s="230">
        <v>7444</v>
      </c>
      <c r="BP43" s="230">
        <v>13410</v>
      </c>
      <c r="BQ43" s="230">
        <v>-5966</v>
      </c>
      <c r="BR43" s="229">
        <v>-0.44490000000000002</v>
      </c>
      <c r="BS43" s="230">
        <v>983400</v>
      </c>
      <c r="BT43" s="230">
        <v>1298506</v>
      </c>
      <c r="BU43" s="230">
        <v>-315106</v>
      </c>
      <c r="BV43" s="229">
        <v>-0.2427</v>
      </c>
      <c r="BW43" s="230">
        <v>13375450</v>
      </c>
      <c r="BX43" s="230">
        <v>13273150</v>
      </c>
      <c r="BY43" s="230">
        <v>102300</v>
      </c>
      <c r="BZ43" s="229">
        <v>7.7000000000000002E-3</v>
      </c>
      <c r="CA43" s="230">
        <v>13004750</v>
      </c>
      <c r="CB43" s="230">
        <v>13064150</v>
      </c>
      <c r="CC43" s="230">
        <v>-59400</v>
      </c>
      <c r="CD43" s="229">
        <v>-4.4999999999999997E-3</v>
      </c>
      <c r="CE43" s="230">
        <v>355300</v>
      </c>
      <c r="CF43" s="230">
        <v>193050</v>
      </c>
      <c r="CG43" s="230">
        <v>162250</v>
      </c>
      <c r="CH43" s="229">
        <v>0.84050000000000002</v>
      </c>
      <c r="CI43" s="230">
        <v>15400</v>
      </c>
      <c r="CJ43" s="230">
        <v>15950</v>
      </c>
      <c r="CK43" s="228">
        <v>-550</v>
      </c>
      <c r="CL43" s="229">
        <v>-3.4500000000000003E-2</v>
      </c>
      <c r="CM43" s="230">
        <v>3108600</v>
      </c>
      <c r="CN43" s="230">
        <v>2888050</v>
      </c>
      <c r="CO43" s="230">
        <v>220550</v>
      </c>
      <c r="CP43" s="229">
        <v>7.6399999999999996E-2</v>
      </c>
      <c r="CQ43" s="230">
        <v>1668700</v>
      </c>
      <c r="CR43" s="230">
        <v>1873850</v>
      </c>
      <c r="CS43" s="230">
        <v>-205150</v>
      </c>
      <c r="CT43" s="229">
        <v>-0.1095</v>
      </c>
      <c r="CU43" s="230">
        <v>18152750</v>
      </c>
      <c r="CV43" s="230">
        <v>18035050</v>
      </c>
      <c r="CW43" s="230">
        <v>117700</v>
      </c>
      <c r="CX43" s="229">
        <v>6.4999999999999997E-3</v>
      </c>
      <c r="CY43" s="228">
        <v>26.53</v>
      </c>
      <c r="CZ43" s="228">
        <v>26.72</v>
      </c>
      <c r="DA43" s="228">
        <v>-0.19</v>
      </c>
      <c r="DB43" s="228">
        <v>-0.19</v>
      </c>
      <c r="DC43" s="228">
        <v>27.08</v>
      </c>
      <c r="DD43" s="228">
        <v>27.07</v>
      </c>
      <c r="DE43" s="228">
        <v>-0.55000000000000004</v>
      </c>
      <c r="DF43" s="228">
        <v>0.01</v>
      </c>
      <c r="DG43" s="228">
        <v>26.15</v>
      </c>
      <c r="DH43" s="228">
        <v>25.88</v>
      </c>
      <c r="DI43" s="228">
        <v>0.27</v>
      </c>
      <c r="DJ43" s="228">
        <v>0.27</v>
      </c>
      <c r="DK43" s="228">
        <v>26.96</v>
      </c>
      <c r="DL43" s="228">
        <v>27.25</v>
      </c>
      <c r="DM43" s="228">
        <v>-0.28999999999999998</v>
      </c>
      <c r="DN43" s="228">
        <v>-0.28999999999999998</v>
      </c>
      <c r="DO43" s="228">
        <v>0.54</v>
      </c>
      <c r="DP43" s="228">
        <v>0.65</v>
      </c>
      <c r="DQ43" s="228">
        <v>-0.11</v>
      </c>
      <c r="DR43" s="229">
        <v>-0.16919999999999999</v>
      </c>
      <c r="DS43" s="231">
        <v>1300</v>
      </c>
      <c r="DT43" s="231">
        <v>1100</v>
      </c>
      <c r="DU43" s="228">
        <v>0.88</v>
      </c>
      <c r="DV43" s="228">
        <v>1.57</v>
      </c>
      <c r="DW43" s="228">
        <v>-0.69</v>
      </c>
      <c r="DX43" s="229">
        <v>-0.4395</v>
      </c>
      <c r="DY43" s="229">
        <v>2.7699999999999999E-2</v>
      </c>
      <c r="DZ43" s="230">
        <v>209000</v>
      </c>
      <c r="EA43" s="229">
        <v>5.7999999999999996E-3</v>
      </c>
      <c r="EB43" s="229">
        <v>2.7699999999999999E-2</v>
      </c>
      <c r="EC43" s="228">
        <v>5.9</v>
      </c>
      <c r="ED43" s="229">
        <v>5.4999999999999997E-3</v>
      </c>
      <c r="EE43" s="230">
        <v>524425</v>
      </c>
      <c r="EF43" s="230">
        <v>784737</v>
      </c>
      <c r="EG43" s="229">
        <v>-0.33169999999999999</v>
      </c>
      <c r="EH43" s="229">
        <v>0.5333</v>
      </c>
      <c r="EI43" s="231">
        <v>17053</v>
      </c>
      <c r="EJ43" s="231">
        <v>14085.33</v>
      </c>
      <c r="EK43" s="231">
        <v>13486.86</v>
      </c>
      <c r="EL43" s="231">
        <v>2305</v>
      </c>
      <c r="EM43" s="231">
        <v>44625.19</v>
      </c>
      <c r="EN43" s="231">
        <v>81095.37</v>
      </c>
      <c r="EO43" s="231">
        <v>-36470.18</v>
      </c>
      <c r="EP43" s="229">
        <v>-0.44969999999999999</v>
      </c>
      <c r="EQ43" s="231">
        <v>37124</v>
      </c>
      <c r="ER43" s="231">
        <v>18122</v>
      </c>
      <c r="ES43" s="231">
        <v>142004</v>
      </c>
      <c r="ET43" s="231">
        <v>65472326</v>
      </c>
      <c r="EU43" s="231">
        <v>197251</v>
      </c>
      <c r="EV43" s="231">
        <v>197869</v>
      </c>
      <c r="EW43" s="228">
        <v>-618</v>
      </c>
      <c r="EX43" s="229">
        <v>-3.0999999999999999E-3</v>
      </c>
      <c r="EY43" s="229">
        <v>0.27729999999999999</v>
      </c>
    </row>
    <row r="44" spans="1:155" ht="17.25" thickBot="1" x14ac:dyDescent="0.3">
      <c r="A44" s="226">
        <v>46093</v>
      </c>
      <c r="B44" s="227" t="s">
        <v>227</v>
      </c>
      <c r="C44" s="227" t="s">
        <v>294</v>
      </c>
      <c r="D44" s="228">
        <v>193.92</v>
      </c>
      <c r="E44" s="228">
        <v>194.99</v>
      </c>
      <c r="F44" s="228">
        <v>-1.07</v>
      </c>
      <c r="G44" s="229">
        <v>-5.4999999999999997E-3</v>
      </c>
      <c r="H44" s="228">
        <v>193.47</v>
      </c>
      <c r="I44" s="228">
        <v>194.74</v>
      </c>
      <c r="J44" s="228">
        <v>-1.27</v>
      </c>
      <c r="K44" s="229">
        <v>-6.4999999999999997E-3</v>
      </c>
      <c r="L44" s="228">
        <v>193.92</v>
      </c>
      <c r="M44" s="228">
        <v>194.99</v>
      </c>
      <c r="N44" s="228">
        <v>-1.07</v>
      </c>
      <c r="O44" s="229">
        <v>-5.4999999999999997E-3</v>
      </c>
      <c r="P44" s="228">
        <v>195.19</v>
      </c>
      <c r="Q44" s="228">
        <v>196.28</v>
      </c>
      <c r="R44" s="228">
        <v>-1.0900000000000001</v>
      </c>
      <c r="S44" s="229">
        <v>-5.5999999999999999E-3</v>
      </c>
      <c r="T44" s="228">
        <v>195.71</v>
      </c>
      <c r="U44" s="228">
        <v>197.09</v>
      </c>
      <c r="V44" s="228">
        <v>-1.38</v>
      </c>
      <c r="W44" s="229">
        <v>-7.0000000000000001E-3</v>
      </c>
      <c r="X44" s="228">
        <v>0.45</v>
      </c>
      <c r="Y44" s="228">
        <v>0.25</v>
      </c>
      <c r="Z44" s="228">
        <v>0.2</v>
      </c>
      <c r="AA44" s="229">
        <v>2.3E-3</v>
      </c>
      <c r="AB44" s="228">
        <v>0.45</v>
      </c>
      <c r="AC44" s="228">
        <v>0.25</v>
      </c>
      <c r="AD44" s="228">
        <v>0.2</v>
      </c>
      <c r="AE44" s="229">
        <v>2.3E-3</v>
      </c>
      <c r="AF44" s="228">
        <v>1.72</v>
      </c>
      <c r="AG44" s="228">
        <v>1.54</v>
      </c>
      <c r="AH44" s="228">
        <v>0.18</v>
      </c>
      <c r="AI44" s="229">
        <v>8.8999999999999999E-3</v>
      </c>
      <c r="AJ44" s="228">
        <v>2.2400000000000002</v>
      </c>
      <c r="AK44" s="228">
        <v>2.35</v>
      </c>
      <c r="AL44" s="228">
        <v>-0.11</v>
      </c>
      <c r="AM44" s="229">
        <v>1.1599999999999999E-2</v>
      </c>
      <c r="AN44" s="228">
        <v>192.94</v>
      </c>
      <c r="AO44" s="228">
        <v>194.04</v>
      </c>
      <c r="AP44" s="228">
        <v>0</v>
      </c>
      <c r="AQ44" s="230">
        <v>6756</v>
      </c>
      <c r="AR44" s="230">
        <v>8930</v>
      </c>
      <c r="AS44" s="230">
        <v>-2174</v>
      </c>
      <c r="AT44" s="229">
        <v>-0.24340000000000001</v>
      </c>
      <c r="AU44" s="230">
        <v>5925</v>
      </c>
      <c r="AV44" s="230">
        <v>7986</v>
      </c>
      <c r="AW44" s="230">
        <v>-2061</v>
      </c>
      <c r="AX44" s="229">
        <v>-0.2581</v>
      </c>
      <c r="AY44" s="228">
        <v>755</v>
      </c>
      <c r="AZ44" s="228">
        <v>862</v>
      </c>
      <c r="BA44" s="228">
        <v>-107</v>
      </c>
      <c r="BB44" s="229">
        <v>-0.1241</v>
      </c>
      <c r="BC44" s="228">
        <v>76</v>
      </c>
      <c r="BD44" s="228">
        <v>82</v>
      </c>
      <c r="BE44" s="228">
        <v>-6</v>
      </c>
      <c r="BF44" s="229">
        <v>-7.3200000000000001E-2</v>
      </c>
      <c r="BG44" s="230">
        <v>16507</v>
      </c>
      <c r="BH44" s="230">
        <v>23535</v>
      </c>
      <c r="BI44" s="230">
        <v>-7028</v>
      </c>
      <c r="BJ44" s="229">
        <v>-0.29859999999999998</v>
      </c>
      <c r="BK44" s="230">
        <v>9154</v>
      </c>
      <c r="BL44" s="230">
        <v>12525</v>
      </c>
      <c r="BM44" s="230">
        <v>-3371</v>
      </c>
      <c r="BN44" s="229">
        <v>-0.26910000000000001</v>
      </c>
      <c r="BO44" s="230">
        <v>32417</v>
      </c>
      <c r="BP44" s="230">
        <v>44990</v>
      </c>
      <c r="BQ44" s="230">
        <v>-12573</v>
      </c>
      <c r="BR44" s="229">
        <v>-0.27950000000000003</v>
      </c>
      <c r="BS44" s="230">
        <v>25428612</v>
      </c>
      <c r="BT44" s="230">
        <v>36100115</v>
      </c>
      <c r="BU44" s="230">
        <v>-10671503</v>
      </c>
      <c r="BV44" s="229">
        <v>-0.29559999999999997</v>
      </c>
      <c r="BW44" s="230">
        <v>228519500</v>
      </c>
      <c r="BX44" s="230">
        <v>230439000</v>
      </c>
      <c r="BY44" s="230">
        <v>-1919500</v>
      </c>
      <c r="BZ44" s="229">
        <v>-8.3000000000000001E-3</v>
      </c>
      <c r="CA44" s="230">
        <v>196856000</v>
      </c>
      <c r="CB44" s="230">
        <v>199320000</v>
      </c>
      <c r="CC44" s="230">
        <v>-2464000</v>
      </c>
      <c r="CD44" s="229">
        <v>-1.24E-2</v>
      </c>
      <c r="CE44" s="230">
        <v>19090500</v>
      </c>
      <c r="CF44" s="230">
        <v>18535000</v>
      </c>
      <c r="CG44" s="230">
        <v>555500</v>
      </c>
      <c r="CH44" s="229">
        <v>0.03</v>
      </c>
      <c r="CI44" s="230">
        <v>12573000</v>
      </c>
      <c r="CJ44" s="230">
        <v>12584000</v>
      </c>
      <c r="CK44" s="230">
        <v>-11000</v>
      </c>
      <c r="CL44" s="229">
        <v>-8.9999999999999998E-4</v>
      </c>
      <c r="CM44" s="230">
        <v>133226500</v>
      </c>
      <c r="CN44" s="230">
        <v>130663500</v>
      </c>
      <c r="CO44" s="230">
        <v>2563000</v>
      </c>
      <c r="CP44" s="229">
        <v>1.9599999999999999E-2</v>
      </c>
      <c r="CQ44" s="230">
        <v>86784500</v>
      </c>
      <c r="CR44" s="230">
        <v>85349000</v>
      </c>
      <c r="CS44" s="230">
        <v>1435500</v>
      </c>
      <c r="CT44" s="229">
        <v>1.6799999999999999E-2</v>
      </c>
      <c r="CU44" s="230">
        <v>448530500</v>
      </c>
      <c r="CV44" s="230">
        <v>446451500</v>
      </c>
      <c r="CW44" s="230">
        <v>2079000</v>
      </c>
      <c r="CX44" s="229">
        <v>4.7000000000000002E-3</v>
      </c>
      <c r="CY44" s="228">
        <v>37.380000000000003</v>
      </c>
      <c r="CZ44" s="228">
        <v>37.31</v>
      </c>
      <c r="DA44" s="228">
        <v>7.0000000000000007E-2</v>
      </c>
      <c r="DB44" s="228">
        <v>7.0000000000000007E-2</v>
      </c>
      <c r="DC44" s="228">
        <v>34.9</v>
      </c>
      <c r="DD44" s="228">
        <v>34.979999999999997</v>
      </c>
      <c r="DE44" s="228">
        <v>2.48</v>
      </c>
      <c r="DF44" s="228">
        <v>-0.08</v>
      </c>
      <c r="DG44" s="228">
        <v>36.96</v>
      </c>
      <c r="DH44" s="228">
        <v>36.9</v>
      </c>
      <c r="DI44" s="228">
        <v>0.06</v>
      </c>
      <c r="DJ44" s="228">
        <v>0.06</v>
      </c>
      <c r="DK44" s="228">
        <v>38.14</v>
      </c>
      <c r="DL44" s="228">
        <v>38.1</v>
      </c>
      <c r="DM44" s="228">
        <v>0.04</v>
      </c>
      <c r="DN44" s="228">
        <v>0.04</v>
      </c>
      <c r="DO44" s="228">
        <v>0.65</v>
      </c>
      <c r="DP44" s="228">
        <v>0.65</v>
      </c>
      <c r="DQ44" s="228">
        <v>0</v>
      </c>
      <c r="DR44" s="229">
        <v>0</v>
      </c>
      <c r="DS44" s="228">
        <v>210</v>
      </c>
      <c r="DT44" s="228">
        <v>200</v>
      </c>
      <c r="DU44" s="228">
        <v>0.55000000000000004</v>
      </c>
      <c r="DV44" s="228">
        <v>0.53</v>
      </c>
      <c r="DW44" s="228">
        <v>0.02</v>
      </c>
      <c r="DX44" s="229">
        <v>3.7699999999999997E-2</v>
      </c>
      <c r="DY44" s="229">
        <v>0.1386</v>
      </c>
      <c r="DZ44" s="230">
        <v>31119000</v>
      </c>
      <c r="EA44" s="229">
        <v>6.4999999999999997E-3</v>
      </c>
      <c r="EB44" s="229">
        <v>0.1386</v>
      </c>
      <c r="EC44" s="228">
        <v>1.1000000000000001</v>
      </c>
      <c r="ED44" s="229">
        <v>5.7000000000000002E-3</v>
      </c>
      <c r="EE44" s="230">
        <v>9681852</v>
      </c>
      <c r="EF44" s="230">
        <v>13878731</v>
      </c>
      <c r="EG44" s="229">
        <v>-0.3024</v>
      </c>
      <c r="EH44" s="229">
        <v>0.38069999999999998</v>
      </c>
      <c r="EI44" s="231">
        <v>188145.06</v>
      </c>
      <c r="EJ44" s="231">
        <v>96205.67</v>
      </c>
      <c r="EK44" s="231">
        <v>71746.259999999995</v>
      </c>
      <c r="EL44" s="231">
        <v>10894</v>
      </c>
      <c r="EM44" s="231">
        <v>356096.99</v>
      </c>
      <c r="EN44" s="231">
        <v>500095.01</v>
      </c>
      <c r="EO44" s="231">
        <v>-143998.01999999999</v>
      </c>
      <c r="EP44" s="229">
        <v>-0.28789999999999999</v>
      </c>
      <c r="EQ44" s="231">
        <v>282524</v>
      </c>
      <c r="ER44" s="231">
        <v>169254</v>
      </c>
      <c r="ES44" s="231">
        <v>443613</v>
      </c>
      <c r="ET44" s="231">
        <v>872935214</v>
      </c>
      <c r="EU44" s="231">
        <v>895390</v>
      </c>
      <c r="EV44" s="231">
        <v>894348</v>
      </c>
      <c r="EW44" s="231">
        <v>1042</v>
      </c>
      <c r="EX44" s="229">
        <v>1.1999999999999999E-3</v>
      </c>
      <c r="EY44" s="229">
        <v>0.51380000000000003</v>
      </c>
    </row>
    <row r="45" spans="1:155" ht="17.25" thickBot="1" x14ac:dyDescent="0.3">
      <c r="A45" s="226">
        <v>46093</v>
      </c>
      <c r="B45" s="227" t="s">
        <v>221</v>
      </c>
      <c r="C45" s="227" t="s">
        <v>295</v>
      </c>
      <c r="D45" s="231">
        <v>2453</v>
      </c>
      <c r="E45" s="231">
        <v>2470.3000000000002</v>
      </c>
      <c r="F45" s="228">
        <v>-17.3</v>
      </c>
      <c r="G45" s="229">
        <v>-7.0000000000000001E-3</v>
      </c>
      <c r="H45" s="231">
        <v>2442.4</v>
      </c>
      <c r="I45" s="231">
        <v>2464.9</v>
      </c>
      <c r="J45" s="228">
        <v>-22.5</v>
      </c>
      <c r="K45" s="229">
        <v>-9.1000000000000004E-3</v>
      </c>
      <c r="L45" s="231">
        <v>2453</v>
      </c>
      <c r="M45" s="231">
        <v>2470.3000000000002</v>
      </c>
      <c r="N45" s="228">
        <v>-17.3</v>
      </c>
      <c r="O45" s="229">
        <v>-7.0000000000000001E-3</v>
      </c>
      <c r="P45" s="231">
        <v>2466.6999999999998</v>
      </c>
      <c r="Q45" s="231">
        <v>2487.3000000000002</v>
      </c>
      <c r="R45" s="228">
        <v>-20.6</v>
      </c>
      <c r="S45" s="229">
        <v>-8.3000000000000001E-3</v>
      </c>
      <c r="T45" s="231">
        <v>2473.9</v>
      </c>
      <c r="U45" s="231">
        <v>2493.6</v>
      </c>
      <c r="V45" s="228">
        <v>-19.7</v>
      </c>
      <c r="W45" s="229">
        <v>-7.9000000000000008E-3</v>
      </c>
      <c r="X45" s="228">
        <v>10.6</v>
      </c>
      <c r="Y45" s="228">
        <v>5.4</v>
      </c>
      <c r="Z45" s="228">
        <v>5.2</v>
      </c>
      <c r="AA45" s="229">
        <v>4.3E-3</v>
      </c>
      <c r="AB45" s="228">
        <v>10.6</v>
      </c>
      <c r="AC45" s="228">
        <v>5.4</v>
      </c>
      <c r="AD45" s="228">
        <v>5.2</v>
      </c>
      <c r="AE45" s="229">
        <v>4.3E-3</v>
      </c>
      <c r="AF45" s="228">
        <v>24.3</v>
      </c>
      <c r="AG45" s="228">
        <v>22.4</v>
      </c>
      <c r="AH45" s="228">
        <v>1.9</v>
      </c>
      <c r="AI45" s="229">
        <v>9.9000000000000008E-3</v>
      </c>
      <c r="AJ45" s="228">
        <v>31.5</v>
      </c>
      <c r="AK45" s="228">
        <v>28.7</v>
      </c>
      <c r="AL45" s="228">
        <v>2.8</v>
      </c>
      <c r="AM45" s="229">
        <v>1.29E-2</v>
      </c>
      <c r="AN45" s="231">
        <v>2458.7800000000002</v>
      </c>
      <c r="AO45" s="231">
        <v>2472.33</v>
      </c>
      <c r="AP45" s="228">
        <v>0</v>
      </c>
      <c r="AQ45" s="230">
        <v>18398</v>
      </c>
      <c r="AR45" s="230">
        <v>27596</v>
      </c>
      <c r="AS45" s="230">
        <v>-9198</v>
      </c>
      <c r="AT45" s="229">
        <v>-0.33329999999999999</v>
      </c>
      <c r="AU45" s="230">
        <v>15739</v>
      </c>
      <c r="AV45" s="230">
        <v>13516</v>
      </c>
      <c r="AW45" s="230">
        <v>2223</v>
      </c>
      <c r="AX45" s="229">
        <v>0.16450000000000001</v>
      </c>
      <c r="AY45" s="230">
        <v>1816</v>
      </c>
      <c r="AZ45" s="230">
        <v>11757</v>
      </c>
      <c r="BA45" s="230">
        <v>-9941</v>
      </c>
      <c r="BB45" s="229">
        <v>-0.84550000000000003</v>
      </c>
      <c r="BC45" s="228">
        <v>843</v>
      </c>
      <c r="BD45" s="230">
        <v>2323</v>
      </c>
      <c r="BE45" s="230">
        <v>-1480</v>
      </c>
      <c r="BF45" s="229">
        <v>-0.6371</v>
      </c>
      <c r="BG45" s="230">
        <v>75255</v>
      </c>
      <c r="BH45" s="230">
        <v>70256</v>
      </c>
      <c r="BI45" s="230">
        <v>4999</v>
      </c>
      <c r="BJ45" s="229">
        <v>7.1199999999999999E-2</v>
      </c>
      <c r="BK45" s="230">
        <v>41608</v>
      </c>
      <c r="BL45" s="230">
        <v>40551</v>
      </c>
      <c r="BM45" s="230">
        <v>1057</v>
      </c>
      <c r="BN45" s="229">
        <v>2.6100000000000002E-2</v>
      </c>
      <c r="BO45" s="230">
        <v>135261</v>
      </c>
      <c r="BP45" s="230">
        <v>138403</v>
      </c>
      <c r="BQ45" s="230">
        <v>-3142</v>
      </c>
      <c r="BR45" s="229">
        <v>-2.2700000000000001E-2</v>
      </c>
      <c r="BS45" s="230">
        <v>3078779</v>
      </c>
      <c r="BT45" s="230">
        <v>2916747</v>
      </c>
      <c r="BU45" s="230">
        <v>162032</v>
      </c>
      <c r="BV45" s="229">
        <v>5.5599999999999997E-2</v>
      </c>
      <c r="BW45" s="230">
        <v>31884475</v>
      </c>
      <c r="BX45" s="230">
        <v>31613750</v>
      </c>
      <c r="BY45" s="230">
        <v>270725</v>
      </c>
      <c r="BZ45" s="229">
        <v>8.6E-3</v>
      </c>
      <c r="CA45" s="230">
        <v>26867575</v>
      </c>
      <c r="CB45" s="230">
        <v>26677525</v>
      </c>
      <c r="CC45" s="230">
        <v>190050</v>
      </c>
      <c r="CD45" s="229">
        <v>7.1000000000000004E-3</v>
      </c>
      <c r="CE45" s="230">
        <v>3344425</v>
      </c>
      <c r="CF45" s="230">
        <v>3292800</v>
      </c>
      <c r="CG45" s="230">
        <v>51625</v>
      </c>
      <c r="CH45" s="229">
        <v>1.5699999999999999E-2</v>
      </c>
      <c r="CI45" s="230">
        <v>1672475</v>
      </c>
      <c r="CJ45" s="230">
        <v>1643425</v>
      </c>
      <c r="CK45" s="230">
        <v>29050</v>
      </c>
      <c r="CL45" s="229">
        <v>1.77E-2</v>
      </c>
      <c r="CM45" s="230">
        <v>17724350</v>
      </c>
      <c r="CN45" s="230">
        <v>17088575</v>
      </c>
      <c r="CO45" s="230">
        <v>635775</v>
      </c>
      <c r="CP45" s="229">
        <v>3.7199999999999997E-2</v>
      </c>
      <c r="CQ45" s="230">
        <v>9928450</v>
      </c>
      <c r="CR45" s="230">
        <v>9889775</v>
      </c>
      <c r="CS45" s="230">
        <v>38675</v>
      </c>
      <c r="CT45" s="229">
        <v>3.8999999999999998E-3</v>
      </c>
      <c r="CU45" s="230">
        <v>59537275</v>
      </c>
      <c r="CV45" s="230">
        <v>58592100</v>
      </c>
      <c r="CW45" s="230">
        <v>945175</v>
      </c>
      <c r="CX45" s="229">
        <v>1.61E-2</v>
      </c>
      <c r="CY45" s="228">
        <v>31.05</v>
      </c>
      <c r="CZ45" s="228">
        <v>31.95</v>
      </c>
      <c r="DA45" s="228">
        <v>-0.9</v>
      </c>
      <c r="DB45" s="228">
        <v>-0.9</v>
      </c>
      <c r="DC45" s="228">
        <v>26.65</v>
      </c>
      <c r="DD45" s="228">
        <v>26.69</v>
      </c>
      <c r="DE45" s="228">
        <v>4.4000000000000004</v>
      </c>
      <c r="DF45" s="228">
        <v>-0.04</v>
      </c>
      <c r="DG45" s="228">
        <v>30.77</v>
      </c>
      <c r="DH45" s="228">
        <v>31.55</v>
      </c>
      <c r="DI45" s="228">
        <v>-0.78</v>
      </c>
      <c r="DJ45" s="228">
        <v>-0.78</v>
      </c>
      <c r="DK45" s="228">
        <v>31.56</v>
      </c>
      <c r="DL45" s="228">
        <v>32.630000000000003</v>
      </c>
      <c r="DM45" s="228">
        <v>-1.07</v>
      </c>
      <c r="DN45" s="228">
        <v>-1.07</v>
      </c>
      <c r="DO45" s="228">
        <v>0.56000000000000005</v>
      </c>
      <c r="DP45" s="228">
        <v>0.57999999999999996</v>
      </c>
      <c r="DQ45" s="228">
        <v>-0.02</v>
      </c>
      <c r="DR45" s="229">
        <v>-3.4500000000000003E-2</v>
      </c>
      <c r="DS45" s="231">
        <v>2700</v>
      </c>
      <c r="DT45" s="231">
        <v>2600</v>
      </c>
      <c r="DU45" s="228">
        <v>0.55000000000000004</v>
      </c>
      <c r="DV45" s="228">
        <v>0.57999999999999996</v>
      </c>
      <c r="DW45" s="228">
        <v>-0.03</v>
      </c>
      <c r="DX45" s="229">
        <v>-5.1700000000000003E-2</v>
      </c>
      <c r="DY45" s="229">
        <v>0.1573</v>
      </c>
      <c r="DZ45" s="230">
        <v>4936225</v>
      </c>
      <c r="EA45" s="229">
        <v>5.5999999999999999E-3</v>
      </c>
      <c r="EB45" s="229">
        <v>0.1573</v>
      </c>
      <c r="EC45" s="228">
        <v>13.55</v>
      </c>
      <c r="ED45" s="229">
        <v>5.4999999999999997E-3</v>
      </c>
      <c r="EE45" s="230">
        <v>1422196</v>
      </c>
      <c r="EF45" s="230">
        <v>1528873</v>
      </c>
      <c r="EG45" s="229">
        <v>-6.9800000000000001E-2</v>
      </c>
      <c r="EH45" s="229">
        <v>0.46189999999999998</v>
      </c>
      <c r="EI45" s="231">
        <v>346180.24</v>
      </c>
      <c r="EJ45" s="231">
        <v>180185.60000000001</v>
      </c>
      <c r="EK45" s="231">
        <v>79238.720000000001</v>
      </c>
      <c r="EL45" s="231">
        <v>25506</v>
      </c>
      <c r="EM45" s="231">
        <v>605604.56000000006</v>
      </c>
      <c r="EN45" s="231">
        <v>626155.57999999996</v>
      </c>
      <c r="EO45" s="231">
        <v>-20551.02</v>
      </c>
      <c r="EP45" s="229">
        <v>-3.2800000000000003E-2</v>
      </c>
      <c r="EQ45" s="231">
        <v>491295</v>
      </c>
      <c r="ER45" s="231">
        <v>264638</v>
      </c>
      <c r="ES45" s="231">
        <v>782934</v>
      </c>
      <c r="ET45" s="231">
        <v>126444612</v>
      </c>
      <c r="EU45" s="231">
        <v>1538867</v>
      </c>
      <c r="EV45" s="231">
        <v>1522165</v>
      </c>
      <c r="EW45" s="231">
        <v>16702</v>
      </c>
      <c r="EX45" s="229">
        <v>1.0999999999999999E-2</v>
      </c>
      <c r="EY45" s="229">
        <v>0.47089999999999999</v>
      </c>
    </row>
    <row r="46" spans="1:155" ht="17.25" thickBot="1" x14ac:dyDescent="0.3">
      <c r="A46" s="226">
        <v>46093</v>
      </c>
      <c r="B46" s="227" t="s">
        <v>221</v>
      </c>
      <c r="C46" s="227" t="s">
        <v>296</v>
      </c>
      <c r="D46" s="231">
        <v>1351.3</v>
      </c>
      <c r="E46" s="231">
        <v>1335.6</v>
      </c>
      <c r="F46" s="228">
        <v>15.7</v>
      </c>
      <c r="G46" s="229">
        <v>1.18E-2</v>
      </c>
      <c r="H46" s="231">
        <v>1349.8</v>
      </c>
      <c r="I46" s="231">
        <v>1334.4</v>
      </c>
      <c r="J46" s="228">
        <v>15.4</v>
      </c>
      <c r="K46" s="229">
        <v>1.15E-2</v>
      </c>
      <c r="L46" s="231">
        <v>1351.3</v>
      </c>
      <c r="M46" s="231">
        <v>1335.6</v>
      </c>
      <c r="N46" s="228">
        <v>15.7</v>
      </c>
      <c r="O46" s="229">
        <v>1.18E-2</v>
      </c>
      <c r="P46" s="231">
        <v>1359.4</v>
      </c>
      <c r="Q46" s="231">
        <v>1343.6</v>
      </c>
      <c r="R46" s="228">
        <v>15.8</v>
      </c>
      <c r="S46" s="229">
        <v>1.18E-2</v>
      </c>
      <c r="T46" s="231">
        <v>1365.2</v>
      </c>
      <c r="U46" s="231">
        <v>1350.8</v>
      </c>
      <c r="V46" s="228">
        <v>14.4</v>
      </c>
      <c r="W46" s="229">
        <v>1.0699999999999999E-2</v>
      </c>
      <c r="X46" s="228">
        <v>1.5</v>
      </c>
      <c r="Y46" s="228">
        <v>1.2</v>
      </c>
      <c r="Z46" s="228">
        <v>0.3</v>
      </c>
      <c r="AA46" s="229">
        <v>1.1000000000000001E-3</v>
      </c>
      <c r="AB46" s="228">
        <v>1.5</v>
      </c>
      <c r="AC46" s="228">
        <v>1.2</v>
      </c>
      <c r="AD46" s="228">
        <v>0.3</v>
      </c>
      <c r="AE46" s="229">
        <v>1.1000000000000001E-3</v>
      </c>
      <c r="AF46" s="228">
        <v>9.6</v>
      </c>
      <c r="AG46" s="228">
        <v>9.1999999999999993</v>
      </c>
      <c r="AH46" s="228">
        <v>0.4</v>
      </c>
      <c r="AI46" s="229">
        <v>7.1000000000000004E-3</v>
      </c>
      <c r="AJ46" s="228">
        <v>15.4</v>
      </c>
      <c r="AK46" s="228">
        <v>16.399999999999999</v>
      </c>
      <c r="AL46" s="228">
        <v>-1</v>
      </c>
      <c r="AM46" s="229">
        <v>1.14E-2</v>
      </c>
      <c r="AN46" s="231">
        <v>1347.54</v>
      </c>
      <c r="AO46" s="231">
        <v>1354.5</v>
      </c>
      <c r="AP46" s="228">
        <v>0</v>
      </c>
      <c r="AQ46" s="230">
        <v>5425</v>
      </c>
      <c r="AR46" s="230">
        <v>4646</v>
      </c>
      <c r="AS46" s="228">
        <v>779</v>
      </c>
      <c r="AT46" s="229">
        <v>0.16769999999999999</v>
      </c>
      <c r="AU46" s="230">
        <v>5176</v>
      </c>
      <c r="AV46" s="230">
        <v>4362</v>
      </c>
      <c r="AW46" s="228">
        <v>814</v>
      </c>
      <c r="AX46" s="229">
        <v>0.18659999999999999</v>
      </c>
      <c r="AY46" s="228">
        <v>229</v>
      </c>
      <c r="AZ46" s="228">
        <v>247</v>
      </c>
      <c r="BA46" s="228">
        <v>-18</v>
      </c>
      <c r="BB46" s="229">
        <v>-7.2900000000000006E-2</v>
      </c>
      <c r="BC46" s="228">
        <v>20</v>
      </c>
      <c r="BD46" s="228">
        <v>37</v>
      </c>
      <c r="BE46" s="228">
        <v>-17</v>
      </c>
      <c r="BF46" s="229">
        <v>-0.45950000000000002</v>
      </c>
      <c r="BG46" s="230">
        <v>18183</v>
      </c>
      <c r="BH46" s="230">
        <v>12510</v>
      </c>
      <c r="BI46" s="230">
        <v>5673</v>
      </c>
      <c r="BJ46" s="229">
        <v>0.45350000000000001</v>
      </c>
      <c r="BK46" s="230">
        <v>6333</v>
      </c>
      <c r="BL46" s="230">
        <v>6350</v>
      </c>
      <c r="BM46" s="228">
        <v>-17</v>
      </c>
      <c r="BN46" s="229">
        <v>-2.7000000000000001E-3</v>
      </c>
      <c r="BO46" s="230">
        <v>29941</v>
      </c>
      <c r="BP46" s="230">
        <v>23506</v>
      </c>
      <c r="BQ46" s="230">
        <v>6435</v>
      </c>
      <c r="BR46" s="229">
        <v>0.27379999999999999</v>
      </c>
      <c r="BS46" s="230">
        <v>3130818</v>
      </c>
      <c r="BT46" s="230">
        <v>1533892</v>
      </c>
      <c r="BU46" s="230">
        <v>1596926</v>
      </c>
      <c r="BV46" s="229">
        <v>1.0410999999999999</v>
      </c>
      <c r="BW46" s="230">
        <v>18742200</v>
      </c>
      <c r="BX46" s="230">
        <v>19181400</v>
      </c>
      <c r="BY46" s="230">
        <v>-439200</v>
      </c>
      <c r="BZ46" s="229">
        <v>-2.29E-2</v>
      </c>
      <c r="CA46" s="230">
        <v>18334200</v>
      </c>
      <c r="CB46" s="230">
        <v>18805200</v>
      </c>
      <c r="CC46" s="230">
        <v>-471000</v>
      </c>
      <c r="CD46" s="229">
        <v>-2.5000000000000001E-2</v>
      </c>
      <c r="CE46" s="230">
        <v>375000</v>
      </c>
      <c r="CF46" s="230">
        <v>346200</v>
      </c>
      <c r="CG46" s="230">
        <v>28800</v>
      </c>
      <c r="CH46" s="229">
        <v>8.3199999999999996E-2</v>
      </c>
      <c r="CI46" s="230">
        <v>33000</v>
      </c>
      <c r="CJ46" s="230">
        <v>30000</v>
      </c>
      <c r="CK46" s="230">
        <v>3000</v>
      </c>
      <c r="CL46" s="229">
        <v>0.1</v>
      </c>
      <c r="CM46" s="230">
        <v>9586800</v>
      </c>
      <c r="CN46" s="230">
        <v>8833200</v>
      </c>
      <c r="CO46" s="230">
        <v>753600</v>
      </c>
      <c r="CP46" s="229">
        <v>8.5300000000000001E-2</v>
      </c>
      <c r="CQ46" s="230">
        <v>5676600</v>
      </c>
      <c r="CR46" s="230">
        <v>5622600</v>
      </c>
      <c r="CS46" s="230">
        <v>54000</v>
      </c>
      <c r="CT46" s="229">
        <v>9.5999999999999992E-3</v>
      </c>
      <c r="CU46" s="230">
        <v>34005600</v>
      </c>
      <c r="CV46" s="230">
        <v>33637200</v>
      </c>
      <c r="CW46" s="230">
        <v>368400</v>
      </c>
      <c r="CX46" s="229">
        <v>1.0999999999999999E-2</v>
      </c>
      <c r="CY46" s="228">
        <v>32.49</v>
      </c>
      <c r="CZ46" s="228">
        <v>32.590000000000003</v>
      </c>
      <c r="DA46" s="228">
        <v>-0.1</v>
      </c>
      <c r="DB46" s="228">
        <v>-0.1</v>
      </c>
      <c r="DC46" s="228">
        <v>30.67</v>
      </c>
      <c r="DD46" s="228">
        <v>30.7</v>
      </c>
      <c r="DE46" s="228">
        <v>1.82</v>
      </c>
      <c r="DF46" s="228">
        <v>-0.03</v>
      </c>
      <c r="DG46" s="228">
        <v>31.86</v>
      </c>
      <c r="DH46" s="228">
        <v>31.34</v>
      </c>
      <c r="DI46" s="228">
        <v>0.52</v>
      </c>
      <c r="DJ46" s="228">
        <v>0.52</v>
      </c>
      <c r="DK46" s="228">
        <v>34.29</v>
      </c>
      <c r="DL46" s="228">
        <v>35.04</v>
      </c>
      <c r="DM46" s="228">
        <v>-0.75</v>
      </c>
      <c r="DN46" s="228">
        <v>-0.75</v>
      </c>
      <c r="DO46" s="228">
        <v>0.59</v>
      </c>
      <c r="DP46" s="228">
        <v>0.64</v>
      </c>
      <c r="DQ46" s="228">
        <v>-0.05</v>
      </c>
      <c r="DR46" s="229">
        <v>-7.8100000000000003E-2</v>
      </c>
      <c r="DS46" s="231">
        <v>1440</v>
      </c>
      <c r="DT46" s="231">
        <v>1340</v>
      </c>
      <c r="DU46" s="228">
        <v>0.35</v>
      </c>
      <c r="DV46" s="228">
        <v>0.51</v>
      </c>
      <c r="DW46" s="228">
        <v>-0.16</v>
      </c>
      <c r="DX46" s="229">
        <v>-0.31369999999999998</v>
      </c>
      <c r="DY46" s="229">
        <v>2.18E-2</v>
      </c>
      <c r="DZ46" s="230">
        <v>376200</v>
      </c>
      <c r="EA46" s="229">
        <v>6.0000000000000001E-3</v>
      </c>
      <c r="EB46" s="229">
        <v>2.18E-2</v>
      </c>
      <c r="EC46" s="228">
        <v>6.96</v>
      </c>
      <c r="ED46" s="229">
        <v>5.1999999999999998E-3</v>
      </c>
      <c r="EE46" s="230">
        <v>1894613</v>
      </c>
      <c r="EF46" s="230">
        <v>864338</v>
      </c>
      <c r="EG46" s="229">
        <v>1.1919999999999999</v>
      </c>
      <c r="EH46" s="229">
        <v>0.60509999999999997</v>
      </c>
      <c r="EI46" s="231">
        <v>154754.96</v>
      </c>
      <c r="EJ46" s="231">
        <v>50769.81</v>
      </c>
      <c r="EK46" s="231">
        <v>43873.35</v>
      </c>
      <c r="EL46" s="231">
        <v>3707</v>
      </c>
      <c r="EM46" s="231">
        <v>249398.12</v>
      </c>
      <c r="EN46" s="231">
        <v>195176.3</v>
      </c>
      <c r="EO46" s="231">
        <v>54221.82</v>
      </c>
      <c r="EP46" s="229">
        <v>0.27779999999999999</v>
      </c>
      <c r="EQ46" s="231">
        <v>140271</v>
      </c>
      <c r="ER46" s="231">
        <v>77176</v>
      </c>
      <c r="ES46" s="231">
        <v>253298</v>
      </c>
      <c r="ET46" s="231">
        <v>80031540</v>
      </c>
      <c r="EU46" s="231">
        <v>470745</v>
      </c>
      <c r="EV46" s="231">
        <v>463001</v>
      </c>
      <c r="EW46" s="231">
        <v>7744</v>
      </c>
      <c r="EX46" s="229">
        <v>1.67E-2</v>
      </c>
      <c r="EY46" s="229">
        <v>0.4249</v>
      </c>
    </row>
    <row r="47" spans="1:155" ht="17.25" thickBot="1" x14ac:dyDescent="0.3">
      <c r="A47" s="226">
        <v>46093</v>
      </c>
      <c r="B47" s="227" t="s">
        <v>168</v>
      </c>
      <c r="C47" s="227" t="s">
        <v>297</v>
      </c>
      <c r="D47" s="231">
        <v>4145.6000000000004</v>
      </c>
      <c r="E47" s="231">
        <v>4143.6000000000004</v>
      </c>
      <c r="F47" s="228">
        <v>2</v>
      </c>
      <c r="G47" s="229">
        <v>5.0000000000000001E-4</v>
      </c>
      <c r="H47" s="231">
        <v>4129.6000000000004</v>
      </c>
      <c r="I47" s="231">
        <v>4140.3</v>
      </c>
      <c r="J47" s="228">
        <v>-10.7</v>
      </c>
      <c r="K47" s="229">
        <v>-2.5999999999999999E-3</v>
      </c>
      <c r="L47" s="231">
        <v>4145.6000000000004</v>
      </c>
      <c r="M47" s="231">
        <v>4143.6000000000004</v>
      </c>
      <c r="N47" s="228">
        <v>2</v>
      </c>
      <c r="O47" s="229">
        <v>5.0000000000000001E-4</v>
      </c>
      <c r="P47" s="231">
        <v>4166.8999999999996</v>
      </c>
      <c r="Q47" s="231">
        <v>4169.8</v>
      </c>
      <c r="R47" s="228">
        <v>-2.9</v>
      </c>
      <c r="S47" s="229">
        <v>-6.9999999999999999E-4</v>
      </c>
      <c r="T47" s="231">
        <v>4182</v>
      </c>
      <c r="U47" s="231">
        <v>4190</v>
      </c>
      <c r="V47" s="228">
        <v>-8</v>
      </c>
      <c r="W47" s="229">
        <v>-1.9E-3</v>
      </c>
      <c r="X47" s="228">
        <v>16</v>
      </c>
      <c r="Y47" s="228">
        <v>3.3</v>
      </c>
      <c r="Z47" s="228">
        <v>12.7</v>
      </c>
      <c r="AA47" s="229">
        <v>3.8999999999999998E-3</v>
      </c>
      <c r="AB47" s="228">
        <v>16</v>
      </c>
      <c r="AC47" s="228">
        <v>3.3</v>
      </c>
      <c r="AD47" s="228">
        <v>12.7</v>
      </c>
      <c r="AE47" s="229">
        <v>3.8999999999999998E-3</v>
      </c>
      <c r="AF47" s="228">
        <v>37.299999999999997</v>
      </c>
      <c r="AG47" s="228">
        <v>29.5</v>
      </c>
      <c r="AH47" s="228">
        <v>7.8</v>
      </c>
      <c r="AI47" s="229">
        <v>8.9999999999999993E-3</v>
      </c>
      <c r="AJ47" s="228">
        <v>52.4</v>
      </c>
      <c r="AK47" s="228">
        <v>49.7</v>
      </c>
      <c r="AL47" s="228">
        <v>2.7</v>
      </c>
      <c r="AM47" s="229">
        <v>1.2699999999999999E-2</v>
      </c>
      <c r="AN47" s="231">
        <v>4114.83</v>
      </c>
      <c r="AO47" s="231">
        <v>4131.74</v>
      </c>
      <c r="AP47" s="228">
        <v>0</v>
      </c>
      <c r="AQ47" s="230">
        <v>7091</v>
      </c>
      <c r="AR47" s="230">
        <v>4145</v>
      </c>
      <c r="AS47" s="230">
        <v>2946</v>
      </c>
      <c r="AT47" s="229">
        <v>0.7107</v>
      </c>
      <c r="AU47" s="230">
        <v>6610</v>
      </c>
      <c r="AV47" s="230">
        <v>3908</v>
      </c>
      <c r="AW47" s="230">
        <v>2702</v>
      </c>
      <c r="AX47" s="229">
        <v>0.69140000000000001</v>
      </c>
      <c r="AY47" s="228">
        <v>453</v>
      </c>
      <c r="AZ47" s="228">
        <v>223</v>
      </c>
      <c r="BA47" s="228">
        <v>230</v>
      </c>
      <c r="BB47" s="229">
        <v>1.0314000000000001</v>
      </c>
      <c r="BC47" s="228">
        <v>28</v>
      </c>
      <c r="BD47" s="228">
        <v>14</v>
      </c>
      <c r="BE47" s="228">
        <v>14</v>
      </c>
      <c r="BF47" s="229">
        <v>1</v>
      </c>
      <c r="BG47" s="230">
        <v>22416</v>
      </c>
      <c r="BH47" s="230">
        <v>9417</v>
      </c>
      <c r="BI47" s="230">
        <v>12999</v>
      </c>
      <c r="BJ47" s="229">
        <v>1.3804000000000001</v>
      </c>
      <c r="BK47" s="230">
        <v>14208</v>
      </c>
      <c r="BL47" s="230">
        <v>8731</v>
      </c>
      <c r="BM47" s="230">
        <v>5477</v>
      </c>
      <c r="BN47" s="229">
        <v>0.62729999999999997</v>
      </c>
      <c r="BO47" s="230">
        <v>43715</v>
      </c>
      <c r="BP47" s="230">
        <v>22293</v>
      </c>
      <c r="BQ47" s="230">
        <v>21422</v>
      </c>
      <c r="BR47" s="229">
        <v>0.96089999999999998</v>
      </c>
      <c r="BS47" s="230">
        <v>1107862</v>
      </c>
      <c r="BT47" s="230">
        <v>464727</v>
      </c>
      <c r="BU47" s="230">
        <v>643135</v>
      </c>
      <c r="BV47" s="229">
        <v>1.3838999999999999</v>
      </c>
      <c r="BW47" s="230">
        <v>9812075</v>
      </c>
      <c r="BX47" s="230">
        <v>9805250</v>
      </c>
      <c r="BY47" s="230">
        <v>6825</v>
      </c>
      <c r="BZ47" s="229">
        <v>6.9999999999999999E-4</v>
      </c>
      <c r="CA47" s="230">
        <v>9561125</v>
      </c>
      <c r="CB47" s="230">
        <v>9574250</v>
      </c>
      <c r="CC47" s="230">
        <v>-13125</v>
      </c>
      <c r="CD47" s="229">
        <v>-1.4E-3</v>
      </c>
      <c r="CE47" s="230">
        <v>227150</v>
      </c>
      <c r="CF47" s="230">
        <v>209125</v>
      </c>
      <c r="CG47" s="230">
        <v>18025</v>
      </c>
      <c r="CH47" s="229">
        <v>8.6199999999999999E-2</v>
      </c>
      <c r="CI47" s="230">
        <v>23800</v>
      </c>
      <c r="CJ47" s="230">
        <v>21875</v>
      </c>
      <c r="CK47" s="230">
        <v>1925</v>
      </c>
      <c r="CL47" s="229">
        <v>8.7999999999999995E-2</v>
      </c>
      <c r="CM47" s="230">
        <v>3060400</v>
      </c>
      <c r="CN47" s="230">
        <v>2692900</v>
      </c>
      <c r="CO47" s="230">
        <v>367500</v>
      </c>
      <c r="CP47" s="229">
        <v>0.13650000000000001</v>
      </c>
      <c r="CQ47" s="230">
        <v>1393700</v>
      </c>
      <c r="CR47" s="230">
        <v>1343125</v>
      </c>
      <c r="CS47" s="230">
        <v>50575</v>
      </c>
      <c r="CT47" s="229">
        <v>3.7699999999999997E-2</v>
      </c>
      <c r="CU47" s="230">
        <v>14266175</v>
      </c>
      <c r="CV47" s="230">
        <v>13841275</v>
      </c>
      <c r="CW47" s="230">
        <v>424900</v>
      </c>
      <c r="CX47" s="229">
        <v>3.0700000000000002E-2</v>
      </c>
      <c r="CY47" s="228">
        <v>25.76</v>
      </c>
      <c r="CZ47" s="228">
        <v>26.41</v>
      </c>
      <c r="DA47" s="228">
        <v>-0.65</v>
      </c>
      <c r="DB47" s="228">
        <v>-0.65</v>
      </c>
      <c r="DC47" s="228">
        <v>24.5</v>
      </c>
      <c r="DD47" s="228">
        <v>24.56</v>
      </c>
      <c r="DE47" s="228">
        <v>1.26</v>
      </c>
      <c r="DF47" s="228">
        <v>-0.06</v>
      </c>
      <c r="DG47" s="228">
        <v>25.07</v>
      </c>
      <c r="DH47" s="228">
        <v>25.5</v>
      </c>
      <c r="DI47" s="228">
        <v>-0.43</v>
      </c>
      <c r="DJ47" s="228">
        <v>-0.43</v>
      </c>
      <c r="DK47" s="228">
        <v>26.86</v>
      </c>
      <c r="DL47" s="228">
        <v>27.39</v>
      </c>
      <c r="DM47" s="228">
        <v>-0.53</v>
      </c>
      <c r="DN47" s="228">
        <v>-0.53</v>
      </c>
      <c r="DO47" s="228">
        <v>0.46</v>
      </c>
      <c r="DP47" s="228">
        <v>0.5</v>
      </c>
      <c r="DQ47" s="228">
        <v>-0.04</v>
      </c>
      <c r="DR47" s="229">
        <v>-0.08</v>
      </c>
      <c r="DS47" s="231">
        <v>4760</v>
      </c>
      <c r="DT47" s="231">
        <v>4000</v>
      </c>
      <c r="DU47" s="228">
        <v>0.63</v>
      </c>
      <c r="DV47" s="228">
        <v>0.93</v>
      </c>
      <c r="DW47" s="228">
        <v>-0.3</v>
      </c>
      <c r="DX47" s="229">
        <v>-0.3226</v>
      </c>
      <c r="DY47" s="229">
        <v>2.5600000000000001E-2</v>
      </c>
      <c r="DZ47" s="230">
        <v>231000</v>
      </c>
      <c r="EA47" s="229">
        <v>5.1000000000000004E-3</v>
      </c>
      <c r="EB47" s="229">
        <v>2.5600000000000001E-2</v>
      </c>
      <c r="EC47" s="228">
        <v>16.91</v>
      </c>
      <c r="ED47" s="229">
        <v>4.1000000000000003E-3</v>
      </c>
      <c r="EE47" s="230">
        <v>569790</v>
      </c>
      <c r="EF47" s="230">
        <v>258938</v>
      </c>
      <c r="EG47" s="229">
        <v>1.2004999999999999</v>
      </c>
      <c r="EH47" s="229">
        <v>0.51429999999999998</v>
      </c>
      <c r="EI47" s="231">
        <v>169080.84</v>
      </c>
      <c r="EJ47" s="231">
        <v>102429.29</v>
      </c>
      <c r="EK47" s="231">
        <v>51076.81</v>
      </c>
      <c r="EL47" s="231">
        <v>4684</v>
      </c>
      <c r="EM47" s="231">
        <v>322586.94</v>
      </c>
      <c r="EN47" s="231">
        <v>165630.92000000001</v>
      </c>
      <c r="EO47" s="231">
        <v>156956.01999999999</v>
      </c>
      <c r="EP47" s="229">
        <v>0.9476</v>
      </c>
      <c r="EQ47" s="231">
        <v>134808</v>
      </c>
      <c r="ER47" s="231">
        <v>57044</v>
      </c>
      <c r="ES47" s="231">
        <v>406826</v>
      </c>
      <c r="ET47" s="231">
        <v>45680146</v>
      </c>
      <c r="EU47" s="231">
        <v>598679</v>
      </c>
      <c r="EV47" s="231">
        <v>580903</v>
      </c>
      <c r="EW47" s="231">
        <v>17776</v>
      </c>
      <c r="EX47" s="229">
        <v>3.0599999999999999E-2</v>
      </c>
      <c r="EY47" s="229">
        <v>0.31230000000000002</v>
      </c>
    </row>
    <row r="48" spans="1:155" ht="17.25" thickBot="1" x14ac:dyDescent="0.3">
      <c r="A48" s="226">
        <v>46093</v>
      </c>
      <c r="B48" s="227" t="s">
        <v>162</v>
      </c>
      <c r="C48" s="227" t="s">
        <v>688</v>
      </c>
      <c r="D48" s="228">
        <v>325.45</v>
      </c>
      <c r="E48" s="228">
        <v>336.25</v>
      </c>
      <c r="F48" s="228">
        <v>-10.8</v>
      </c>
      <c r="G48" s="229">
        <v>-3.2099999999999997E-2</v>
      </c>
      <c r="H48" s="228">
        <v>324.55</v>
      </c>
      <c r="I48" s="228">
        <v>335.35</v>
      </c>
      <c r="J48" s="228">
        <v>-10.8</v>
      </c>
      <c r="K48" s="229">
        <v>-3.2199999999999999E-2</v>
      </c>
      <c r="L48" s="228">
        <v>325.45</v>
      </c>
      <c r="M48" s="228">
        <v>336.25</v>
      </c>
      <c r="N48" s="228">
        <v>-10.8</v>
      </c>
      <c r="O48" s="229">
        <v>-3.2099999999999997E-2</v>
      </c>
      <c r="P48" s="228">
        <v>327.39999999999998</v>
      </c>
      <c r="Q48" s="228">
        <v>338.55</v>
      </c>
      <c r="R48" s="228">
        <v>-11.15</v>
      </c>
      <c r="S48" s="229">
        <v>-3.2899999999999999E-2</v>
      </c>
      <c r="T48" s="228">
        <v>329.6</v>
      </c>
      <c r="U48" s="228">
        <v>340.7</v>
      </c>
      <c r="V48" s="228">
        <v>-11.1</v>
      </c>
      <c r="W48" s="229">
        <v>-3.2599999999999997E-2</v>
      </c>
      <c r="X48" s="228">
        <v>0.9</v>
      </c>
      <c r="Y48" s="228">
        <v>0.9</v>
      </c>
      <c r="Z48" s="228">
        <v>0</v>
      </c>
      <c r="AA48" s="229">
        <v>2.8E-3</v>
      </c>
      <c r="AB48" s="228">
        <v>0.9</v>
      </c>
      <c r="AC48" s="228">
        <v>0.9</v>
      </c>
      <c r="AD48" s="228">
        <v>0</v>
      </c>
      <c r="AE48" s="229">
        <v>2.8E-3</v>
      </c>
      <c r="AF48" s="228">
        <v>2.85</v>
      </c>
      <c r="AG48" s="228">
        <v>3.2</v>
      </c>
      <c r="AH48" s="228">
        <v>-0.35</v>
      </c>
      <c r="AI48" s="229">
        <v>8.8000000000000005E-3</v>
      </c>
      <c r="AJ48" s="228">
        <v>5.05</v>
      </c>
      <c r="AK48" s="228">
        <v>5.35</v>
      </c>
      <c r="AL48" s="228">
        <v>-0.3</v>
      </c>
      <c r="AM48" s="229">
        <v>1.5599999999999999E-2</v>
      </c>
      <c r="AN48" s="228">
        <v>327.02</v>
      </c>
      <c r="AO48" s="228">
        <v>329.1</v>
      </c>
      <c r="AP48" s="228">
        <v>0</v>
      </c>
      <c r="AQ48" s="230">
        <v>18163</v>
      </c>
      <c r="AR48" s="230">
        <v>10615</v>
      </c>
      <c r="AS48" s="230">
        <v>7548</v>
      </c>
      <c r="AT48" s="229">
        <v>0.71109999999999995</v>
      </c>
      <c r="AU48" s="230">
        <v>14137</v>
      </c>
      <c r="AV48" s="230">
        <v>8537</v>
      </c>
      <c r="AW48" s="230">
        <v>5600</v>
      </c>
      <c r="AX48" s="229">
        <v>0.65600000000000003</v>
      </c>
      <c r="AY48" s="230">
        <v>3209</v>
      </c>
      <c r="AZ48" s="230">
        <v>1600</v>
      </c>
      <c r="BA48" s="230">
        <v>1609</v>
      </c>
      <c r="BB48" s="229">
        <v>1.0056</v>
      </c>
      <c r="BC48" s="228">
        <v>817</v>
      </c>
      <c r="BD48" s="228">
        <v>478</v>
      </c>
      <c r="BE48" s="228">
        <v>339</v>
      </c>
      <c r="BF48" s="229">
        <v>0.70920000000000005</v>
      </c>
      <c r="BG48" s="230">
        <v>51014</v>
      </c>
      <c r="BH48" s="230">
        <v>35228</v>
      </c>
      <c r="BI48" s="230">
        <v>15786</v>
      </c>
      <c r="BJ48" s="229">
        <v>0.4481</v>
      </c>
      <c r="BK48" s="230">
        <v>35604</v>
      </c>
      <c r="BL48" s="230">
        <v>20703</v>
      </c>
      <c r="BM48" s="230">
        <v>14901</v>
      </c>
      <c r="BN48" s="229">
        <v>0.7198</v>
      </c>
      <c r="BO48" s="230">
        <v>104781</v>
      </c>
      <c r="BP48" s="230">
        <v>66546</v>
      </c>
      <c r="BQ48" s="230">
        <v>38235</v>
      </c>
      <c r="BR48" s="229">
        <v>0.5746</v>
      </c>
      <c r="BS48" s="230">
        <v>9707654</v>
      </c>
      <c r="BT48" s="230">
        <v>5949596</v>
      </c>
      <c r="BU48" s="230">
        <v>3758058</v>
      </c>
      <c r="BV48" s="229">
        <v>0.63160000000000005</v>
      </c>
      <c r="BW48" s="230">
        <v>72205600</v>
      </c>
      <c r="BX48" s="230">
        <v>72494400</v>
      </c>
      <c r="BY48" s="230">
        <v>-288800</v>
      </c>
      <c r="BZ48" s="229">
        <v>-4.0000000000000001E-3</v>
      </c>
      <c r="CA48" s="230">
        <v>66020800</v>
      </c>
      <c r="CB48" s="230">
        <v>66896000</v>
      </c>
      <c r="CC48" s="230">
        <v>-875200</v>
      </c>
      <c r="CD48" s="229">
        <v>-1.3100000000000001E-2</v>
      </c>
      <c r="CE48" s="230">
        <v>4876000</v>
      </c>
      <c r="CF48" s="230">
        <v>4452000</v>
      </c>
      <c r="CG48" s="230">
        <v>424000</v>
      </c>
      <c r="CH48" s="229">
        <v>9.5200000000000007E-2</v>
      </c>
      <c r="CI48" s="230">
        <v>1308800</v>
      </c>
      <c r="CJ48" s="230">
        <v>1146400</v>
      </c>
      <c r="CK48" s="230">
        <v>162400</v>
      </c>
      <c r="CL48" s="229">
        <v>0.14169999999999999</v>
      </c>
      <c r="CM48" s="230">
        <v>53146400</v>
      </c>
      <c r="CN48" s="230">
        <v>48857600</v>
      </c>
      <c r="CO48" s="230">
        <v>4288800</v>
      </c>
      <c r="CP48" s="229">
        <v>8.7800000000000003E-2</v>
      </c>
      <c r="CQ48" s="230">
        <v>26233600</v>
      </c>
      <c r="CR48" s="230">
        <v>26120000</v>
      </c>
      <c r="CS48" s="230">
        <v>113600</v>
      </c>
      <c r="CT48" s="229">
        <v>4.3E-3</v>
      </c>
      <c r="CU48" s="230">
        <v>151585600</v>
      </c>
      <c r="CV48" s="230">
        <v>147472000</v>
      </c>
      <c r="CW48" s="230">
        <v>4113600</v>
      </c>
      <c r="CX48" s="229">
        <v>2.7900000000000001E-2</v>
      </c>
      <c r="CY48" s="228">
        <v>41.17</v>
      </c>
      <c r="CZ48" s="228">
        <v>38.76</v>
      </c>
      <c r="DA48" s="228">
        <v>2.41</v>
      </c>
      <c r="DB48" s="228">
        <v>2.41</v>
      </c>
      <c r="DC48" s="228">
        <v>35.49</v>
      </c>
      <c r="DD48" s="228">
        <v>35.31</v>
      </c>
      <c r="DE48" s="228">
        <v>5.68</v>
      </c>
      <c r="DF48" s="228">
        <v>0.18</v>
      </c>
      <c r="DG48" s="228">
        <v>40.61</v>
      </c>
      <c r="DH48" s="228">
        <v>38.299999999999997</v>
      </c>
      <c r="DI48" s="228">
        <v>2.31</v>
      </c>
      <c r="DJ48" s="228">
        <v>2.31</v>
      </c>
      <c r="DK48" s="228">
        <v>41.96</v>
      </c>
      <c r="DL48" s="228">
        <v>39.54</v>
      </c>
      <c r="DM48" s="228">
        <v>2.42</v>
      </c>
      <c r="DN48" s="228">
        <v>2.42</v>
      </c>
      <c r="DO48" s="228">
        <v>0.49</v>
      </c>
      <c r="DP48" s="228">
        <v>0.53</v>
      </c>
      <c r="DQ48" s="228">
        <v>-0.04</v>
      </c>
      <c r="DR48" s="229">
        <v>-7.5499999999999998E-2</v>
      </c>
      <c r="DS48" s="228">
        <v>400</v>
      </c>
      <c r="DT48" s="228">
        <v>290</v>
      </c>
      <c r="DU48" s="228">
        <v>0.7</v>
      </c>
      <c r="DV48" s="228">
        <v>0.59</v>
      </c>
      <c r="DW48" s="228">
        <v>0.11</v>
      </c>
      <c r="DX48" s="229">
        <v>0.18640000000000001</v>
      </c>
      <c r="DY48" s="229">
        <v>8.5699999999999998E-2</v>
      </c>
      <c r="DZ48" s="230">
        <v>5598400</v>
      </c>
      <c r="EA48" s="229">
        <v>6.0000000000000001E-3</v>
      </c>
      <c r="EB48" s="229">
        <v>8.5699999999999998E-2</v>
      </c>
      <c r="EC48" s="228">
        <v>2.08</v>
      </c>
      <c r="ED48" s="229">
        <v>6.4000000000000003E-3</v>
      </c>
      <c r="EE48" s="230">
        <v>4003939</v>
      </c>
      <c r="EF48" s="230">
        <v>2658610</v>
      </c>
      <c r="EG48" s="229">
        <v>0.50600000000000001</v>
      </c>
      <c r="EH48" s="229">
        <v>0.41249999999999998</v>
      </c>
      <c r="EI48" s="231">
        <v>146180.39000000001</v>
      </c>
      <c r="EJ48" s="231">
        <v>93165.32</v>
      </c>
      <c r="EK48" s="231">
        <v>47596.46</v>
      </c>
      <c r="EL48" s="231">
        <v>16504</v>
      </c>
      <c r="EM48" s="231">
        <v>286942.17</v>
      </c>
      <c r="EN48" s="231">
        <v>189614.76</v>
      </c>
      <c r="EO48" s="231">
        <v>97327.41</v>
      </c>
      <c r="EP48" s="229">
        <v>0.51329999999999998</v>
      </c>
      <c r="EQ48" s="231">
        <v>202972</v>
      </c>
      <c r="ER48" s="231">
        <v>91317</v>
      </c>
      <c r="ES48" s="231">
        <v>235143</v>
      </c>
      <c r="ET48" s="231">
        <v>317235726</v>
      </c>
      <c r="EU48" s="231">
        <v>529432</v>
      </c>
      <c r="EV48" s="231">
        <v>523963</v>
      </c>
      <c r="EW48" s="231">
        <v>5469</v>
      </c>
      <c r="EX48" s="229">
        <v>1.04E-2</v>
      </c>
      <c r="EY48" s="229">
        <v>0.4778</v>
      </c>
    </row>
    <row r="49" spans="1:155" ht="17.25" thickBot="1" x14ac:dyDescent="0.3">
      <c r="A49" s="226">
        <v>46093</v>
      </c>
      <c r="B49" s="227" t="s">
        <v>197</v>
      </c>
      <c r="C49" s="227" t="s">
        <v>482</v>
      </c>
      <c r="D49" s="231">
        <v>3537.1</v>
      </c>
      <c r="E49" s="231">
        <v>3629.3</v>
      </c>
      <c r="F49" s="228">
        <v>-92.2</v>
      </c>
      <c r="G49" s="229">
        <v>-2.5399999999999999E-2</v>
      </c>
      <c r="H49" s="231">
        <v>3533.6</v>
      </c>
      <c r="I49" s="231">
        <v>3627.4</v>
      </c>
      <c r="J49" s="228">
        <v>-93.8</v>
      </c>
      <c r="K49" s="229">
        <v>-2.5899999999999999E-2</v>
      </c>
      <c r="L49" s="231">
        <v>3537.1</v>
      </c>
      <c r="M49" s="231">
        <v>3629.3</v>
      </c>
      <c r="N49" s="228">
        <v>-92.2</v>
      </c>
      <c r="O49" s="229">
        <v>-2.5399999999999999E-2</v>
      </c>
      <c r="P49" s="231">
        <v>3558.7</v>
      </c>
      <c r="Q49" s="231">
        <v>3653.2</v>
      </c>
      <c r="R49" s="228">
        <v>-94.5</v>
      </c>
      <c r="S49" s="229">
        <v>-2.5899999999999999E-2</v>
      </c>
      <c r="T49" s="231">
        <v>3579.2</v>
      </c>
      <c r="U49" s="231">
        <v>3669.7</v>
      </c>
      <c r="V49" s="228">
        <v>-90.5</v>
      </c>
      <c r="W49" s="229">
        <v>-2.47E-2</v>
      </c>
      <c r="X49" s="228">
        <v>3.5</v>
      </c>
      <c r="Y49" s="228">
        <v>1.9</v>
      </c>
      <c r="Z49" s="228">
        <v>1.6</v>
      </c>
      <c r="AA49" s="229">
        <v>1E-3</v>
      </c>
      <c r="AB49" s="228">
        <v>3.5</v>
      </c>
      <c r="AC49" s="228">
        <v>1.9</v>
      </c>
      <c r="AD49" s="228">
        <v>1.6</v>
      </c>
      <c r="AE49" s="229">
        <v>1E-3</v>
      </c>
      <c r="AF49" s="228">
        <v>25.1</v>
      </c>
      <c r="AG49" s="228">
        <v>25.8</v>
      </c>
      <c r="AH49" s="228">
        <v>-0.7</v>
      </c>
      <c r="AI49" s="229">
        <v>7.1000000000000004E-3</v>
      </c>
      <c r="AJ49" s="228">
        <v>45.6</v>
      </c>
      <c r="AK49" s="228">
        <v>42.3</v>
      </c>
      <c r="AL49" s="228">
        <v>3.3</v>
      </c>
      <c r="AM49" s="229">
        <v>1.29E-2</v>
      </c>
      <c r="AN49" s="231">
        <v>3541.8</v>
      </c>
      <c r="AO49" s="231">
        <v>3565.71</v>
      </c>
      <c r="AP49" s="228">
        <v>0</v>
      </c>
      <c r="AQ49" s="230">
        <v>7940</v>
      </c>
      <c r="AR49" s="230">
        <v>6468</v>
      </c>
      <c r="AS49" s="230">
        <v>1472</v>
      </c>
      <c r="AT49" s="229">
        <v>0.2276</v>
      </c>
      <c r="AU49" s="230">
        <v>6720</v>
      </c>
      <c r="AV49" s="230">
        <v>5630</v>
      </c>
      <c r="AW49" s="230">
        <v>1090</v>
      </c>
      <c r="AX49" s="229">
        <v>0.19359999999999999</v>
      </c>
      <c r="AY49" s="230">
        <v>1134</v>
      </c>
      <c r="AZ49" s="228">
        <v>766</v>
      </c>
      <c r="BA49" s="228">
        <v>368</v>
      </c>
      <c r="BB49" s="229">
        <v>0.48039999999999999</v>
      </c>
      <c r="BC49" s="228">
        <v>86</v>
      </c>
      <c r="BD49" s="228">
        <v>72</v>
      </c>
      <c r="BE49" s="228">
        <v>14</v>
      </c>
      <c r="BF49" s="229">
        <v>0.19439999999999999</v>
      </c>
      <c r="BG49" s="230">
        <v>35157</v>
      </c>
      <c r="BH49" s="230">
        <v>22315</v>
      </c>
      <c r="BI49" s="230">
        <v>12842</v>
      </c>
      <c r="BJ49" s="229">
        <v>0.57550000000000001</v>
      </c>
      <c r="BK49" s="230">
        <v>20351</v>
      </c>
      <c r="BL49" s="230">
        <v>11372</v>
      </c>
      <c r="BM49" s="230">
        <v>8979</v>
      </c>
      <c r="BN49" s="229">
        <v>0.78959999999999997</v>
      </c>
      <c r="BO49" s="230">
        <v>63448</v>
      </c>
      <c r="BP49" s="230">
        <v>40155</v>
      </c>
      <c r="BQ49" s="230">
        <v>23293</v>
      </c>
      <c r="BR49" s="229">
        <v>0.58009999999999995</v>
      </c>
      <c r="BS49" s="230">
        <v>1009206</v>
      </c>
      <c r="BT49" s="230">
        <v>701835</v>
      </c>
      <c r="BU49" s="230">
        <v>307371</v>
      </c>
      <c r="BV49" s="229">
        <v>0.438</v>
      </c>
      <c r="BW49" s="230">
        <v>6255200</v>
      </c>
      <c r="BX49" s="230">
        <v>6206700</v>
      </c>
      <c r="BY49" s="230">
        <v>48500</v>
      </c>
      <c r="BZ49" s="229">
        <v>7.7999999999999996E-3</v>
      </c>
      <c r="CA49" s="230">
        <v>5904700</v>
      </c>
      <c r="CB49" s="230">
        <v>5901100</v>
      </c>
      <c r="CC49" s="230">
        <v>3600</v>
      </c>
      <c r="CD49" s="229">
        <v>5.9999999999999995E-4</v>
      </c>
      <c r="CE49" s="230">
        <v>324200</v>
      </c>
      <c r="CF49" s="230">
        <v>281400</v>
      </c>
      <c r="CG49" s="230">
        <v>42800</v>
      </c>
      <c r="CH49" s="229">
        <v>0.15210000000000001</v>
      </c>
      <c r="CI49" s="230">
        <v>26300</v>
      </c>
      <c r="CJ49" s="230">
        <v>24200</v>
      </c>
      <c r="CK49" s="230">
        <v>2100</v>
      </c>
      <c r="CL49" s="229">
        <v>8.6800000000000002E-2</v>
      </c>
      <c r="CM49" s="230">
        <v>3097400</v>
      </c>
      <c r="CN49" s="230">
        <v>2790600</v>
      </c>
      <c r="CO49" s="230">
        <v>306800</v>
      </c>
      <c r="CP49" s="229">
        <v>0.1099</v>
      </c>
      <c r="CQ49" s="230">
        <v>1695100</v>
      </c>
      <c r="CR49" s="230">
        <v>1614100</v>
      </c>
      <c r="CS49" s="230">
        <v>81000</v>
      </c>
      <c r="CT49" s="229">
        <v>5.0200000000000002E-2</v>
      </c>
      <c r="CU49" s="230">
        <v>11047700</v>
      </c>
      <c r="CV49" s="230">
        <v>10611400</v>
      </c>
      <c r="CW49" s="230">
        <v>436300</v>
      </c>
      <c r="CX49" s="229">
        <v>4.1099999999999998E-2</v>
      </c>
      <c r="CY49" s="228">
        <v>36.69</v>
      </c>
      <c r="CZ49" s="228">
        <v>36.33</v>
      </c>
      <c r="DA49" s="228">
        <v>0.36</v>
      </c>
      <c r="DB49" s="228">
        <v>0.36</v>
      </c>
      <c r="DC49" s="228">
        <v>41.71</v>
      </c>
      <c r="DD49" s="228">
        <v>41.67</v>
      </c>
      <c r="DE49" s="228">
        <v>-5.0199999999999996</v>
      </c>
      <c r="DF49" s="228">
        <v>0.04</v>
      </c>
      <c r="DG49" s="228">
        <v>36.619999999999997</v>
      </c>
      <c r="DH49" s="228">
        <v>36.01</v>
      </c>
      <c r="DI49" s="228">
        <v>0.61</v>
      </c>
      <c r="DJ49" s="228">
        <v>0.61</v>
      </c>
      <c r="DK49" s="228">
        <v>36.799999999999997</v>
      </c>
      <c r="DL49" s="228">
        <v>36.950000000000003</v>
      </c>
      <c r="DM49" s="228">
        <v>-0.15</v>
      </c>
      <c r="DN49" s="228">
        <v>-0.15</v>
      </c>
      <c r="DO49" s="228">
        <v>0.55000000000000004</v>
      </c>
      <c r="DP49" s="228">
        <v>0.57999999999999996</v>
      </c>
      <c r="DQ49" s="228">
        <v>-0.03</v>
      </c>
      <c r="DR49" s="229">
        <v>-5.1700000000000003E-2</v>
      </c>
      <c r="DS49" s="231">
        <v>4000</v>
      </c>
      <c r="DT49" s="231">
        <v>4000</v>
      </c>
      <c r="DU49" s="228">
        <v>0.57999999999999996</v>
      </c>
      <c r="DV49" s="228">
        <v>0.51</v>
      </c>
      <c r="DW49" s="228">
        <v>7.0000000000000007E-2</v>
      </c>
      <c r="DX49" s="229">
        <v>0.13730000000000001</v>
      </c>
      <c r="DY49" s="229">
        <v>5.6000000000000001E-2</v>
      </c>
      <c r="DZ49" s="230">
        <v>305600</v>
      </c>
      <c r="EA49" s="229">
        <v>6.1000000000000004E-3</v>
      </c>
      <c r="EB49" s="229">
        <v>5.6000000000000001E-2</v>
      </c>
      <c r="EC49" s="228">
        <v>23.91</v>
      </c>
      <c r="ED49" s="229">
        <v>6.7999999999999996E-3</v>
      </c>
      <c r="EE49" s="230">
        <v>518059</v>
      </c>
      <c r="EF49" s="230">
        <v>334831</v>
      </c>
      <c r="EG49" s="229">
        <v>0.54720000000000002</v>
      </c>
      <c r="EH49" s="229">
        <v>0.51329999999999998</v>
      </c>
      <c r="EI49" s="231">
        <v>135542.07999999999</v>
      </c>
      <c r="EJ49" s="231">
        <v>72532.740000000005</v>
      </c>
      <c r="EK49" s="231">
        <v>28152.799999999999</v>
      </c>
      <c r="EL49" s="231">
        <v>6858</v>
      </c>
      <c r="EM49" s="231">
        <v>236227.62</v>
      </c>
      <c r="EN49" s="231">
        <v>153642.01999999999</v>
      </c>
      <c r="EO49" s="231">
        <v>82585.600000000006</v>
      </c>
      <c r="EP49" s="229">
        <v>0.53749999999999998</v>
      </c>
      <c r="EQ49" s="231">
        <v>124326</v>
      </c>
      <c r="ER49" s="231">
        <v>65162</v>
      </c>
      <c r="ES49" s="231">
        <v>221334</v>
      </c>
      <c r="ET49" s="231">
        <v>33590487</v>
      </c>
      <c r="EU49" s="231">
        <v>410822</v>
      </c>
      <c r="EV49" s="231">
        <v>401419</v>
      </c>
      <c r="EW49" s="231">
        <v>9403</v>
      </c>
      <c r="EX49" s="229">
        <v>2.3400000000000001E-2</v>
      </c>
      <c r="EY49" s="229">
        <v>0.32890000000000003</v>
      </c>
    </row>
    <row r="50" spans="1:155" ht="17.25" thickBot="1" x14ac:dyDescent="0.3">
      <c r="A50" s="226">
        <v>46093</v>
      </c>
      <c r="B50" s="227" t="s">
        <v>157</v>
      </c>
      <c r="C50" s="227" t="s">
        <v>302</v>
      </c>
      <c r="D50" s="231">
        <v>11130</v>
      </c>
      <c r="E50" s="231">
        <v>11472</v>
      </c>
      <c r="F50" s="228">
        <v>-342</v>
      </c>
      <c r="G50" s="229">
        <v>-2.98E-2</v>
      </c>
      <c r="H50" s="231">
        <v>11089</v>
      </c>
      <c r="I50" s="231">
        <v>11462</v>
      </c>
      <c r="J50" s="228">
        <v>-373</v>
      </c>
      <c r="K50" s="229">
        <v>-3.2500000000000001E-2</v>
      </c>
      <c r="L50" s="231">
        <v>11130</v>
      </c>
      <c r="M50" s="231">
        <v>11472</v>
      </c>
      <c r="N50" s="228">
        <v>-342</v>
      </c>
      <c r="O50" s="229">
        <v>-2.98E-2</v>
      </c>
      <c r="P50" s="231">
        <v>11195</v>
      </c>
      <c r="Q50" s="231">
        <v>11550</v>
      </c>
      <c r="R50" s="228">
        <v>-355</v>
      </c>
      <c r="S50" s="229">
        <v>-3.0700000000000002E-2</v>
      </c>
      <c r="T50" s="231">
        <v>11260</v>
      </c>
      <c r="U50" s="231">
        <v>11620</v>
      </c>
      <c r="V50" s="228">
        <v>-360</v>
      </c>
      <c r="W50" s="229">
        <v>-3.1E-2</v>
      </c>
      <c r="X50" s="228">
        <v>41</v>
      </c>
      <c r="Y50" s="228">
        <v>10</v>
      </c>
      <c r="Z50" s="228">
        <v>31</v>
      </c>
      <c r="AA50" s="229">
        <v>3.7000000000000002E-3</v>
      </c>
      <c r="AB50" s="228">
        <v>41</v>
      </c>
      <c r="AC50" s="228">
        <v>10</v>
      </c>
      <c r="AD50" s="228">
        <v>31</v>
      </c>
      <c r="AE50" s="229">
        <v>3.7000000000000002E-3</v>
      </c>
      <c r="AF50" s="228">
        <v>106</v>
      </c>
      <c r="AG50" s="228">
        <v>88</v>
      </c>
      <c r="AH50" s="228">
        <v>18</v>
      </c>
      <c r="AI50" s="229">
        <v>9.5999999999999992E-3</v>
      </c>
      <c r="AJ50" s="228">
        <v>171</v>
      </c>
      <c r="AK50" s="228">
        <v>158</v>
      </c>
      <c r="AL50" s="228">
        <v>13</v>
      </c>
      <c r="AM50" s="229">
        <v>1.54E-2</v>
      </c>
      <c r="AN50" s="231">
        <v>11236.86</v>
      </c>
      <c r="AO50" s="231">
        <v>11321.85</v>
      </c>
      <c r="AP50" s="228">
        <v>0</v>
      </c>
      <c r="AQ50" s="230">
        <v>7081</v>
      </c>
      <c r="AR50" s="230">
        <v>3766</v>
      </c>
      <c r="AS50" s="230">
        <v>3315</v>
      </c>
      <c r="AT50" s="229">
        <v>0.88019999999999998</v>
      </c>
      <c r="AU50" s="230">
        <v>6621</v>
      </c>
      <c r="AV50" s="230">
        <v>3550</v>
      </c>
      <c r="AW50" s="230">
        <v>3071</v>
      </c>
      <c r="AX50" s="229">
        <v>0.86509999999999998</v>
      </c>
      <c r="AY50" s="228">
        <v>411</v>
      </c>
      <c r="AZ50" s="228">
        <v>208</v>
      </c>
      <c r="BA50" s="228">
        <v>203</v>
      </c>
      <c r="BB50" s="229">
        <v>0.97599999999999998</v>
      </c>
      <c r="BC50" s="228">
        <v>49</v>
      </c>
      <c r="BD50" s="228">
        <v>8</v>
      </c>
      <c r="BE50" s="228">
        <v>41</v>
      </c>
      <c r="BF50" s="229">
        <v>5.125</v>
      </c>
      <c r="BG50" s="230">
        <v>18300</v>
      </c>
      <c r="BH50" s="230">
        <v>12306</v>
      </c>
      <c r="BI50" s="230">
        <v>5994</v>
      </c>
      <c r="BJ50" s="229">
        <v>0.48709999999999998</v>
      </c>
      <c r="BK50" s="230">
        <v>7655</v>
      </c>
      <c r="BL50" s="230">
        <v>5416</v>
      </c>
      <c r="BM50" s="230">
        <v>2239</v>
      </c>
      <c r="BN50" s="229">
        <v>0.41339999999999999</v>
      </c>
      <c r="BO50" s="230">
        <v>33036</v>
      </c>
      <c r="BP50" s="230">
        <v>21488</v>
      </c>
      <c r="BQ50" s="230">
        <v>11548</v>
      </c>
      <c r="BR50" s="229">
        <v>0.53739999999999999</v>
      </c>
      <c r="BS50" s="230">
        <v>544321</v>
      </c>
      <c r="BT50" s="230">
        <v>239649</v>
      </c>
      <c r="BU50" s="230">
        <v>304672</v>
      </c>
      <c r="BV50" s="229">
        <v>1.2713000000000001</v>
      </c>
      <c r="BW50" s="230">
        <v>2179350</v>
      </c>
      <c r="BX50" s="230">
        <v>2121250</v>
      </c>
      <c r="BY50" s="230">
        <v>58100</v>
      </c>
      <c r="BZ50" s="229">
        <v>2.7400000000000001E-2</v>
      </c>
      <c r="CA50" s="230">
        <v>2125700</v>
      </c>
      <c r="CB50" s="230">
        <v>2077150</v>
      </c>
      <c r="CC50" s="230">
        <v>48550</v>
      </c>
      <c r="CD50" s="229">
        <v>2.3400000000000001E-2</v>
      </c>
      <c r="CE50" s="230">
        <v>46900</v>
      </c>
      <c r="CF50" s="230">
        <v>38500</v>
      </c>
      <c r="CG50" s="230">
        <v>8400</v>
      </c>
      <c r="CH50" s="229">
        <v>0.21820000000000001</v>
      </c>
      <c r="CI50" s="230">
        <v>6750</v>
      </c>
      <c r="CJ50" s="230">
        <v>5600</v>
      </c>
      <c r="CK50" s="230">
        <v>1150</v>
      </c>
      <c r="CL50" s="229">
        <v>0.2054</v>
      </c>
      <c r="CM50" s="230">
        <v>876150</v>
      </c>
      <c r="CN50" s="230">
        <v>837800</v>
      </c>
      <c r="CO50" s="230">
        <v>38350</v>
      </c>
      <c r="CP50" s="229">
        <v>4.58E-2</v>
      </c>
      <c r="CQ50" s="230">
        <v>395450</v>
      </c>
      <c r="CR50" s="230">
        <v>399300</v>
      </c>
      <c r="CS50" s="230">
        <v>-3850</v>
      </c>
      <c r="CT50" s="229">
        <v>-9.5999999999999992E-3</v>
      </c>
      <c r="CU50" s="230">
        <v>3450950</v>
      </c>
      <c r="CV50" s="230">
        <v>3358350</v>
      </c>
      <c r="CW50" s="230">
        <v>92600</v>
      </c>
      <c r="CX50" s="229">
        <v>2.76E-2</v>
      </c>
      <c r="CY50" s="228">
        <v>33.44</v>
      </c>
      <c r="CZ50" s="228">
        <v>31.68</v>
      </c>
      <c r="DA50" s="228">
        <v>1.76</v>
      </c>
      <c r="DB50" s="228">
        <v>1.76</v>
      </c>
      <c r="DC50" s="228">
        <v>25.84</v>
      </c>
      <c r="DD50" s="228">
        <v>25.51</v>
      </c>
      <c r="DE50" s="228">
        <v>7.6</v>
      </c>
      <c r="DF50" s="228">
        <v>0.33</v>
      </c>
      <c r="DG50" s="228">
        <v>33.049999999999997</v>
      </c>
      <c r="DH50" s="228">
        <v>31.12</v>
      </c>
      <c r="DI50" s="228">
        <v>1.93</v>
      </c>
      <c r="DJ50" s="228">
        <v>1.93</v>
      </c>
      <c r="DK50" s="228">
        <v>34.35</v>
      </c>
      <c r="DL50" s="228">
        <v>32.96</v>
      </c>
      <c r="DM50" s="228">
        <v>1.39</v>
      </c>
      <c r="DN50" s="228">
        <v>1.39</v>
      </c>
      <c r="DO50" s="228">
        <v>0.45</v>
      </c>
      <c r="DP50" s="228">
        <v>0.48</v>
      </c>
      <c r="DQ50" s="228">
        <v>-0.03</v>
      </c>
      <c r="DR50" s="229">
        <v>-6.25E-2</v>
      </c>
      <c r="DS50" s="231">
        <v>13000</v>
      </c>
      <c r="DT50" s="231">
        <v>11000</v>
      </c>
      <c r="DU50" s="228">
        <v>0.42</v>
      </c>
      <c r="DV50" s="228">
        <v>0.44</v>
      </c>
      <c r="DW50" s="228">
        <v>-0.02</v>
      </c>
      <c r="DX50" s="229">
        <v>-4.5499999999999999E-2</v>
      </c>
      <c r="DY50" s="229">
        <v>2.46E-2</v>
      </c>
      <c r="DZ50" s="230">
        <v>44100</v>
      </c>
      <c r="EA50" s="229">
        <v>5.7999999999999996E-3</v>
      </c>
      <c r="EB50" s="229">
        <v>2.46E-2</v>
      </c>
      <c r="EC50" s="228">
        <v>84.99</v>
      </c>
      <c r="ED50" s="229">
        <v>7.6E-3</v>
      </c>
      <c r="EE50" s="230">
        <v>353773</v>
      </c>
      <c r="EF50" s="230">
        <v>142489</v>
      </c>
      <c r="EG50" s="229">
        <v>1.4827999999999999</v>
      </c>
      <c r="EH50" s="229">
        <v>0.64990000000000003</v>
      </c>
      <c r="EI50" s="231">
        <v>112992.59</v>
      </c>
      <c r="EJ50" s="231">
        <v>42974.21</v>
      </c>
      <c r="EK50" s="231">
        <v>39804.699999999997</v>
      </c>
      <c r="EL50" s="231">
        <v>7453</v>
      </c>
      <c r="EM50" s="231">
        <v>195771.5</v>
      </c>
      <c r="EN50" s="231">
        <v>130794.88</v>
      </c>
      <c r="EO50" s="231">
        <v>64976.62</v>
      </c>
      <c r="EP50" s="229">
        <v>0.49680000000000002</v>
      </c>
      <c r="EQ50" s="231">
        <v>111142</v>
      </c>
      <c r="ER50" s="231">
        <v>46494</v>
      </c>
      <c r="ES50" s="231">
        <v>242601</v>
      </c>
      <c r="ET50" s="231">
        <v>11955674</v>
      </c>
      <c r="EU50" s="231">
        <v>400236</v>
      </c>
      <c r="EV50" s="231">
        <v>397597</v>
      </c>
      <c r="EW50" s="231">
        <v>2639</v>
      </c>
      <c r="EX50" s="229">
        <v>6.6E-3</v>
      </c>
      <c r="EY50" s="229">
        <v>0.28860000000000002</v>
      </c>
    </row>
    <row r="51" spans="1:155" ht="17.25" thickBot="1" x14ac:dyDescent="0.3">
      <c r="A51" s="226">
        <v>46093</v>
      </c>
      <c r="B51" s="227" t="s">
        <v>221</v>
      </c>
      <c r="C51" s="227" t="s">
        <v>306</v>
      </c>
      <c r="D51" s="228">
        <v>201.83</v>
      </c>
      <c r="E51" s="228">
        <v>201.68</v>
      </c>
      <c r="F51" s="228">
        <v>0.15</v>
      </c>
      <c r="G51" s="229">
        <v>6.9999999999999999E-4</v>
      </c>
      <c r="H51" s="228">
        <v>202.51</v>
      </c>
      <c r="I51" s="228">
        <v>202.23</v>
      </c>
      <c r="J51" s="228">
        <v>0.28000000000000003</v>
      </c>
      <c r="K51" s="229">
        <v>1.4E-3</v>
      </c>
      <c r="L51" s="228">
        <v>201.83</v>
      </c>
      <c r="M51" s="228">
        <v>201.68</v>
      </c>
      <c r="N51" s="228">
        <v>0.15</v>
      </c>
      <c r="O51" s="229">
        <v>6.9999999999999999E-4</v>
      </c>
      <c r="P51" s="228">
        <v>201.65</v>
      </c>
      <c r="Q51" s="228">
        <v>201.6</v>
      </c>
      <c r="R51" s="228">
        <v>0.05</v>
      </c>
      <c r="S51" s="229">
        <v>2.0000000000000001E-4</v>
      </c>
      <c r="T51" s="228">
        <v>201.62</v>
      </c>
      <c r="U51" s="228">
        <v>201.64</v>
      </c>
      <c r="V51" s="228">
        <v>-0.02</v>
      </c>
      <c r="W51" s="229">
        <v>-1E-4</v>
      </c>
      <c r="X51" s="228">
        <v>-0.68</v>
      </c>
      <c r="Y51" s="228">
        <v>-0.55000000000000004</v>
      </c>
      <c r="Z51" s="228">
        <v>-0.13</v>
      </c>
      <c r="AA51" s="229">
        <v>-3.3999999999999998E-3</v>
      </c>
      <c r="AB51" s="228">
        <v>-0.68</v>
      </c>
      <c r="AC51" s="228">
        <v>-0.55000000000000004</v>
      </c>
      <c r="AD51" s="228">
        <v>-0.13</v>
      </c>
      <c r="AE51" s="229">
        <v>-3.3999999999999998E-3</v>
      </c>
      <c r="AF51" s="228">
        <v>-0.86</v>
      </c>
      <c r="AG51" s="228">
        <v>-0.63</v>
      </c>
      <c r="AH51" s="228">
        <v>-0.23</v>
      </c>
      <c r="AI51" s="229">
        <v>-4.1999999999999997E-3</v>
      </c>
      <c r="AJ51" s="228">
        <v>-0.89</v>
      </c>
      <c r="AK51" s="228">
        <v>-0.59</v>
      </c>
      <c r="AL51" s="228">
        <v>-0.3</v>
      </c>
      <c r="AM51" s="229">
        <v>-4.4000000000000003E-3</v>
      </c>
      <c r="AN51" s="228">
        <v>201.47</v>
      </c>
      <c r="AO51" s="228">
        <v>201.48</v>
      </c>
      <c r="AP51" s="228">
        <v>0</v>
      </c>
      <c r="AQ51" s="230">
        <v>12680</v>
      </c>
      <c r="AR51" s="230">
        <v>17201</v>
      </c>
      <c r="AS51" s="230">
        <v>-4521</v>
      </c>
      <c r="AT51" s="229">
        <v>-0.26279999999999998</v>
      </c>
      <c r="AU51" s="230">
        <v>9308</v>
      </c>
      <c r="AV51" s="230">
        <v>13639</v>
      </c>
      <c r="AW51" s="230">
        <v>-4331</v>
      </c>
      <c r="AX51" s="229">
        <v>-0.3175</v>
      </c>
      <c r="AY51" s="230">
        <v>3288</v>
      </c>
      <c r="AZ51" s="230">
        <v>3381</v>
      </c>
      <c r="BA51" s="228">
        <v>-93</v>
      </c>
      <c r="BB51" s="229">
        <v>-2.75E-2</v>
      </c>
      <c r="BC51" s="228">
        <v>84</v>
      </c>
      <c r="BD51" s="228">
        <v>181</v>
      </c>
      <c r="BE51" s="228">
        <v>-97</v>
      </c>
      <c r="BF51" s="229">
        <v>-0.53590000000000004</v>
      </c>
      <c r="BG51" s="230">
        <v>19256</v>
      </c>
      <c r="BH51" s="230">
        <v>33234</v>
      </c>
      <c r="BI51" s="230">
        <v>-13978</v>
      </c>
      <c r="BJ51" s="229">
        <v>-0.42059999999999997</v>
      </c>
      <c r="BK51" s="230">
        <v>8562</v>
      </c>
      <c r="BL51" s="230">
        <v>10096</v>
      </c>
      <c r="BM51" s="230">
        <v>-1534</v>
      </c>
      <c r="BN51" s="229">
        <v>-0.15190000000000001</v>
      </c>
      <c r="BO51" s="230">
        <v>40498</v>
      </c>
      <c r="BP51" s="230">
        <v>60531</v>
      </c>
      <c r="BQ51" s="230">
        <v>-20033</v>
      </c>
      <c r="BR51" s="229">
        <v>-0.33100000000000002</v>
      </c>
      <c r="BS51" s="230">
        <v>19392079</v>
      </c>
      <c r="BT51" s="230">
        <v>29603867</v>
      </c>
      <c r="BU51" s="230">
        <v>-10211788</v>
      </c>
      <c r="BV51" s="229">
        <v>-0.34489999999999998</v>
      </c>
      <c r="BW51" s="230">
        <v>190272000</v>
      </c>
      <c r="BX51" s="230">
        <v>179163000</v>
      </c>
      <c r="BY51" s="230">
        <v>11109000</v>
      </c>
      <c r="BZ51" s="229">
        <v>6.2E-2</v>
      </c>
      <c r="CA51" s="230">
        <v>157800000</v>
      </c>
      <c r="CB51" s="230">
        <v>153294000</v>
      </c>
      <c r="CC51" s="230">
        <v>4506000</v>
      </c>
      <c r="CD51" s="229">
        <v>2.9399999999999999E-2</v>
      </c>
      <c r="CE51" s="230">
        <v>30864000</v>
      </c>
      <c r="CF51" s="230">
        <v>24324000</v>
      </c>
      <c r="CG51" s="230">
        <v>6540000</v>
      </c>
      <c r="CH51" s="229">
        <v>0.26889999999999997</v>
      </c>
      <c r="CI51" s="230">
        <v>1608000</v>
      </c>
      <c r="CJ51" s="230">
        <v>1545000</v>
      </c>
      <c r="CK51" s="230">
        <v>63000</v>
      </c>
      <c r="CL51" s="229">
        <v>4.0800000000000003E-2</v>
      </c>
      <c r="CM51" s="230">
        <v>87879000</v>
      </c>
      <c r="CN51" s="230">
        <v>87315000</v>
      </c>
      <c r="CO51" s="230">
        <v>564000</v>
      </c>
      <c r="CP51" s="229">
        <v>6.4999999999999997E-3</v>
      </c>
      <c r="CQ51" s="230">
        <v>46653000</v>
      </c>
      <c r="CR51" s="230">
        <v>46950000</v>
      </c>
      <c r="CS51" s="230">
        <v>-297000</v>
      </c>
      <c r="CT51" s="229">
        <v>-6.3E-3</v>
      </c>
      <c r="CU51" s="230">
        <v>324804000</v>
      </c>
      <c r="CV51" s="230">
        <v>313428000</v>
      </c>
      <c r="CW51" s="230">
        <v>11376000</v>
      </c>
      <c r="CX51" s="229">
        <v>3.6299999999999999E-2</v>
      </c>
      <c r="CY51" s="228">
        <v>33.19</v>
      </c>
      <c r="CZ51" s="228">
        <v>33.97</v>
      </c>
      <c r="DA51" s="228">
        <v>-0.78</v>
      </c>
      <c r="DB51" s="228">
        <v>-0.78</v>
      </c>
      <c r="DC51" s="228">
        <v>30.9</v>
      </c>
      <c r="DD51" s="228">
        <v>30.98</v>
      </c>
      <c r="DE51" s="228">
        <v>2.29</v>
      </c>
      <c r="DF51" s="228">
        <v>-0.08</v>
      </c>
      <c r="DG51" s="228">
        <v>32.049999999999997</v>
      </c>
      <c r="DH51" s="228">
        <v>33.200000000000003</v>
      </c>
      <c r="DI51" s="228">
        <v>-1.1499999999999999</v>
      </c>
      <c r="DJ51" s="228">
        <v>-1.1499999999999999</v>
      </c>
      <c r="DK51" s="228">
        <v>35.75</v>
      </c>
      <c r="DL51" s="228">
        <v>36.520000000000003</v>
      </c>
      <c r="DM51" s="228">
        <v>-0.77</v>
      </c>
      <c r="DN51" s="228">
        <v>-0.77</v>
      </c>
      <c r="DO51" s="228">
        <v>0.53</v>
      </c>
      <c r="DP51" s="228">
        <v>0.54</v>
      </c>
      <c r="DQ51" s="228">
        <v>-0.01</v>
      </c>
      <c r="DR51" s="229">
        <v>-1.8499999999999999E-2</v>
      </c>
      <c r="DS51" s="228">
        <v>210</v>
      </c>
      <c r="DT51" s="228">
        <v>190</v>
      </c>
      <c r="DU51" s="228">
        <v>0.44</v>
      </c>
      <c r="DV51" s="228">
        <v>0.3</v>
      </c>
      <c r="DW51" s="228">
        <v>0.14000000000000001</v>
      </c>
      <c r="DX51" s="229">
        <v>0.4667</v>
      </c>
      <c r="DY51" s="229">
        <v>0.17069999999999999</v>
      </c>
      <c r="DZ51" s="230">
        <v>25869000</v>
      </c>
      <c r="EA51" s="229">
        <v>-8.9999999999999998E-4</v>
      </c>
      <c r="EB51" s="229">
        <v>0.17069999999999999</v>
      </c>
      <c r="EC51" s="228">
        <v>0.01</v>
      </c>
      <c r="ED51" s="229">
        <v>0</v>
      </c>
      <c r="EE51" s="230">
        <v>11392272</v>
      </c>
      <c r="EF51" s="230">
        <v>16752708</v>
      </c>
      <c r="EG51" s="229">
        <v>-0.32</v>
      </c>
      <c r="EH51" s="229">
        <v>0.58750000000000002</v>
      </c>
      <c r="EI51" s="231">
        <v>123687.98</v>
      </c>
      <c r="EJ51" s="231">
        <v>50565.95</v>
      </c>
      <c r="EK51" s="231">
        <v>76640.08</v>
      </c>
      <c r="EL51" s="231">
        <v>11447</v>
      </c>
      <c r="EM51" s="231">
        <v>250894.01</v>
      </c>
      <c r="EN51" s="231">
        <v>378779.73</v>
      </c>
      <c r="EO51" s="231">
        <v>-127885.72</v>
      </c>
      <c r="EP51" s="229">
        <v>-0.33760000000000001</v>
      </c>
      <c r="EQ51" s="231">
        <v>194400</v>
      </c>
      <c r="ER51" s="231">
        <v>94158</v>
      </c>
      <c r="ES51" s="231">
        <v>383967</v>
      </c>
      <c r="ET51" s="231">
        <v>358423198</v>
      </c>
      <c r="EU51" s="231">
        <v>672524</v>
      </c>
      <c r="EV51" s="231">
        <v>649414</v>
      </c>
      <c r="EW51" s="231">
        <v>23110</v>
      </c>
      <c r="EX51" s="229">
        <v>3.56E-2</v>
      </c>
      <c r="EY51" s="229">
        <v>0.90620000000000001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zoomScale="86" zoomScaleNormal="86" workbookViewId="0">
      <selection activeCell="O154" sqref="O154"/>
    </sheetView>
  </sheetViews>
  <sheetFormatPr defaultRowHeight="15" x14ac:dyDescent="0.25"/>
  <cols>
    <col min="1" max="1" width="12.710937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0.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57031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3.285156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hidden="1" thickBot="1" x14ac:dyDescent="0.3">
      <c r="A2" s="226">
        <v>46093</v>
      </c>
      <c r="B2" s="227" t="s">
        <v>175</v>
      </c>
      <c r="C2" s="227" t="s">
        <v>681</v>
      </c>
      <c r="D2" s="228">
        <v>500</v>
      </c>
      <c r="E2" s="228">
        <v>18</v>
      </c>
      <c r="F2" s="231">
        <v>1044.2</v>
      </c>
      <c r="G2" s="231">
        <v>1047.7</v>
      </c>
      <c r="H2" s="228">
        <v>-3.5</v>
      </c>
      <c r="I2" s="229">
        <v>-3.3E-3</v>
      </c>
      <c r="J2" s="231">
        <v>1043.4000000000001</v>
      </c>
      <c r="K2" s="231">
        <v>1048.0999999999999</v>
      </c>
      <c r="L2" s="228">
        <v>-4.7</v>
      </c>
      <c r="M2" s="229">
        <v>-4.4999999999999997E-3</v>
      </c>
      <c r="N2" s="231">
        <v>1044.2</v>
      </c>
      <c r="O2" s="231">
        <v>1047.7</v>
      </c>
      <c r="P2" s="228">
        <v>-3.5</v>
      </c>
      <c r="Q2" s="229">
        <v>-3.3E-3</v>
      </c>
      <c r="R2" s="231">
        <v>1045.5</v>
      </c>
      <c r="S2" s="231">
        <v>1045.2</v>
      </c>
      <c r="T2" s="228">
        <v>0.3</v>
      </c>
      <c r="U2" s="229">
        <v>2.9999999999999997E-4</v>
      </c>
      <c r="V2" s="231">
        <v>1047</v>
      </c>
      <c r="W2" s="231">
        <v>1039.9000000000001</v>
      </c>
      <c r="X2" s="228">
        <v>7.1</v>
      </c>
      <c r="Y2" s="229">
        <v>6.7999999999999996E-3</v>
      </c>
      <c r="Z2" s="228">
        <v>0.8</v>
      </c>
      <c r="AA2" s="228">
        <v>-0.4</v>
      </c>
      <c r="AB2" s="228">
        <v>1.2</v>
      </c>
      <c r="AC2" s="229">
        <v>8.0000000000000004E-4</v>
      </c>
      <c r="AD2" s="228">
        <v>0.8</v>
      </c>
      <c r="AE2" s="228">
        <v>-0.4</v>
      </c>
      <c r="AF2" s="228">
        <v>1.2</v>
      </c>
      <c r="AG2" s="229">
        <v>8.0000000000000004E-4</v>
      </c>
      <c r="AH2" s="228">
        <v>2.1</v>
      </c>
      <c r="AI2" s="228">
        <v>-2.9</v>
      </c>
      <c r="AJ2" s="228">
        <v>5</v>
      </c>
      <c r="AK2" s="229">
        <v>2E-3</v>
      </c>
      <c r="AL2" s="228">
        <v>3.6</v>
      </c>
      <c r="AM2" s="228">
        <v>-8.1999999999999993</v>
      </c>
      <c r="AN2" s="228">
        <v>11.8</v>
      </c>
      <c r="AO2" s="229">
        <v>3.5000000000000001E-3</v>
      </c>
      <c r="AP2" s="231">
        <v>1039.6600000000001</v>
      </c>
      <c r="AQ2" s="231">
        <v>1041.29</v>
      </c>
      <c r="AR2" s="228">
        <v>0</v>
      </c>
      <c r="AS2" s="228">
        <v>83</v>
      </c>
      <c r="AT2" s="228">
        <v>75</v>
      </c>
      <c r="AU2" s="228">
        <v>8</v>
      </c>
      <c r="AV2" s="229">
        <v>0.1017</v>
      </c>
      <c r="AW2" s="228">
        <v>79</v>
      </c>
      <c r="AX2" s="228">
        <v>70</v>
      </c>
      <c r="AY2" s="228">
        <v>8</v>
      </c>
      <c r="AZ2" s="229">
        <v>0.11799999999999999</v>
      </c>
      <c r="BA2" s="228">
        <v>3</v>
      </c>
      <c r="BB2" s="228">
        <v>3</v>
      </c>
      <c r="BC2" s="228">
        <v>-1</v>
      </c>
      <c r="BD2" s="229">
        <v>-0.1905</v>
      </c>
      <c r="BE2" s="228">
        <v>1</v>
      </c>
      <c r="BF2" s="228">
        <v>1</v>
      </c>
      <c r="BG2" s="228">
        <v>0</v>
      </c>
      <c r="BH2" s="229">
        <v>-3.85E-2</v>
      </c>
      <c r="BI2" s="228">
        <v>103</v>
      </c>
      <c r="BJ2" s="228">
        <v>68</v>
      </c>
      <c r="BK2" s="228">
        <v>35</v>
      </c>
      <c r="BL2" s="229">
        <v>0.51349999999999996</v>
      </c>
      <c r="BM2" s="228">
        <v>46</v>
      </c>
      <c r="BN2" s="228">
        <v>22</v>
      </c>
      <c r="BO2" s="228">
        <v>24</v>
      </c>
      <c r="BP2" s="229">
        <v>1.0749</v>
      </c>
      <c r="BQ2" s="228">
        <v>232</v>
      </c>
      <c r="BR2" s="228">
        <v>165</v>
      </c>
      <c r="BS2" s="228">
        <v>66</v>
      </c>
      <c r="BT2" s="229">
        <v>0.40229999999999999</v>
      </c>
      <c r="BU2" s="230">
        <v>945991</v>
      </c>
      <c r="BV2" s="230">
        <v>754923</v>
      </c>
      <c r="BW2" s="230">
        <v>191068</v>
      </c>
      <c r="BX2" s="229">
        <v>0.25309999999999999</v>
      </c>
      <c r="BY2" s="228">
        <v>319</v>
      </c>
      <c r="BZ2" s="228">
        <v>318</v>
      </c>
      <c r="CA2" s="228">
        <v>0</v>
      </c>
      <c r="CB2" s="229">
        <v>8.0000000000000004E-4</v>
      </c>
      <c r="CC2" s="228">
        <v>312</v>
      </c>
      <c r="CD2" s="228">
        <v>312</v>
      </c>
      <c r="CE2" s="228">
        <v>0</v>
      </c>
      <c r="CF2" s="229">
        <v>-5.0000000000000001E-4</v>
      </c>
      <c r="CG2" s="228">
        <v>6</v>
      </c>
      <c r="CH2" s="228">
        <v>5</v>
      </c>
      <c r="CI2" s="228">
        <v>1</v>
      </c>
      <c r="CJ2" s="229">
        <v>0.1368</v>
      </c>
      <c r="CK2" s="228">
        <v>1</v>
      </c>
      <c r="CL2" s="228">
        <v>1</v>
      </c>
      <c r="CM2" s="228">
        <v>0</v>
      </c>
      <c r="CN2" s="229">
        <v>-0.25</v>
      </c>
      <c r="CO2" s="228">
        <v>124</v>
      </c>
      <c r="CP2" s="228">
        <v>117</v>
      </c>
      <c r="CQ2" s="228">
        <v>7</v>
      </c>
      <c r="CR2" s="229">
        <v>5.6399999999999999E-2</v>
      </c>
      <c r="CS2" s="228">
        <v>50</v>
      </c>
      <c r="CT2" s="228">
        <v>49</v>
      </c>
      <c r="CU2" s="228">
        <v>1</v>
      </c>
      <c r="CV2" s="229">
        <v>2.5600000000000001E-2</v>
      </c>
      <c r="CW2" s="228">
        <v>493</v>
      </c>
      <c r="CX2" s="228">
        <v>485</v>
      </c>
      <c r="CY2" s="228">
        <v>8</v>
      </c>
      <c r="CZ2" s="229">
        <v>1.6799999999999999E-2</v>
      </c>
      <c r="DA2" s="228">
        <v>34.36</v>
      </c>
      <c r="DB2" s="228">
        <v>33.409999999999997</v>
      </c>
      <c r="DC2" s="228">
        <v>0.95</v>
      </c>
      <c r="DD2" s="228">
        <v>0.95</v>
      </c>
      <c r="DE2" s="228">
        <v>41.44</v>
      </c>
      <c r="DF2" s="228">
        <v>41.54</v>
      </c>
      <c r="DG2" s="228">
        <v>-7.08</v>
      </c>
      <c r="DH2" s="228">
        <v>-0.1</v>
      </c>
      <c r="DI2" s="228">
        <v>32.68</v>
      </c>
      <c r="DJ2" s="228">
        <v>32.42</v>
      </c>
      <c r="DK2" s="228">
        <v>0.26</v>
      </c>
      <c r="DL2" s="228">
        <v>0.26</v>
      </c>
      <c r="DM2" s="228">
        <v>38.07</v>
      </c>
      <c r="DN2" s="228">
        <v>36.43</v>
      </c>
      <c r="DO2" s="228">
        <v>1.64</v>
      </c>
      <c r="DP2" s="228">
        <v>1.64</v>
      </c>
      <c r="DQ2" s="228">
        <v>0.4</v>
      </c>
      <c r="DR2" s="228">
        <v>0.42</v>
      </c>
      <c r="DS2" s="228">
        <v>-0.02</v>
      </c>
      <c r="DT2" s="229">
        <v>-4.7600000000000003E-2</v>
      </c>
      <c r="DU2" s="231">
        <v>1140</v>
      </c>
      <c r="DV2" s="231">
        <v>1060</v>
      </c>
      <c r="DW2" s="228">
        <v>0.45</v>
      </c>
      <c r="DX2" s="228">
        <v>0.33</v>
      </c>
      <c r="DY2" s="228">
        <v>0.12</v>
      </c>
      <c r="DZ2" s="229">
        <v>0.36359999999999998</v>
      </c>
      <c r="EA2" s="229">
        <v>2.0199999999999999E-2</v>
      </c>
      <c r="EB2" s="230">
        <v>57500</v>
      </c>
      <c r="EC2" s="229">
        <v>1.1999999999999999E-3</v>
      </c>
      <c r="ED2" s="229">
        <v>2.0199999999999999E-2</v>
      </c>
      <c r="EE2" s="228">
        <v>1.63</v>
      </c>
      <c r="EF2" s="229">
        <v>1.6000000000000001E-3</v>
      </c>
      <c r="EG2" s="230">
        <v>494348</v>
      </c>
      <c r="EH2" s="230">
        <v>447231</v>
      </c>
      <c r="EI2" s="229">
        <v>0.10539999999999999</v>
      </c>
      <c r="EJ2" s="229">
        <v>0.52259999999999995</v>
      </c>
      <c r="EK2" s="228">
        <v>110.13</v>
      </c>
      <c r="EL2" s="228">
        <v>44.62</v>
      </c>
      <c r="EM2" s="228">
        <v>82.25</v>
      </c>
      <c r="EN2" s="228">
        <v>12.68</v>
      </c>
      <c r="EO2" s="228">
        <v>237</v>
      </c>
      <c r="EP2" s="228">
        <v>170.23</v>
      </c>
      <c r="EQ2" s="228">
        <v>66.77</v>
      </c>
      <c r="ER2" s="229">
        <v>0.39219999999999999</v>
      </c>
      <c r="ES2" s="228">
        <v>136.01</v>
      </c>
      <c r="ET2" s="228">
        <v>50.42</v>
      </c>
      <c r="EU2" s="228">
        <v>318.7</v>
      </c>
      <c r="EV2" s="231">
        <v>36943219</v>
      </c>
      <c r="EW2" s="228">
        <v>505.13</v>
      </c>
      <c r="EX2" s="228">
        <v>498.2</v>
      </c>
      <c r="EY2" s="228">
        <v>6.93</v>
      </c>
      <c r="EZ2" s="229">
        <v>1.3899999999999999E-2</v>
      </c>
      <c r="FA2" s="229">
        <v>0.1278</v>
      </c>
      <c r="FB2" s="227" t="s">
        <v>567</v>
      </c>
      <c r="FC2">
        <f>BY2-CC2</f>
        <v>7</v>
      </c>
    </row>
    <row r="3" spans="1:159" ht="17.25" hidden="1" thickBot="1" x14ac:dyDescent="0.3">
      <c r="A3" s="226">
        <v>46093</v>
      </c>
      <c r="B3" s="227" t="s">
        <v>184</v>
      </c>
      <c r="C3" s="227" t="s">
        <v>553</v>
      </c>
      <c r="D3" s="228">
        <v>125</v>
      </c>
      <c r="E3" s="228">
        <v>18</v>
      </c>
      <c r="F3" s="231">
        <v>6403.5</v>
      </c>
      <c r="G3" s="231">
        <v>6277.5</v>
      </c>
      <c r="H3" s="228">
        <v>126</v>
      </c>
      <c r="I3" s="229">
        <v>2.01E-2</v>
      </c>
      <c r="J3" s="231">
        <v>6409</v>
      </c>
      <c r="K3" s="231">
        <v>6280</v>
      </c>
      <c r="L3" s="228">
        <v>129</v>
      </c>
      <c r="M3" s="229">
        <v>2.0500000000000001E-2</v>
      </c>
      <c r="N3" s="231">
        <v>6403.5</v>
      </c>
      <c r="O3" s="231">
        <v>6277.5</v>
      </c>
      <c r="P3" s="228">
        <v>126</v>
      </c>
      <c r="Q3" s="229">
        <v>2.01E-2</v>
      </c>
      <c r="R3" s="231">
        <v>6418</v>
      </c>
      <c r="S3" s="231">
        <v>6296</v>
      </c>
      <c r="T3" s="228">
        <v>122</v>
      </c>
      <c r="U3" s="229">
        <v>1.9400000000000001E-2</v>
      </c>
      <c r="V3" s="231">
        <v>6414.5</v>
      </c>
      <c r="W3" s="231">
        <v>6289</v>
      </c>
      <c r="X3" s="228">
        <v>125.5</v>
      </c>
      <c r="Y3" s="229">
        <v>0.02</v>
      </c>
      <c r="Z3" s="228">
        <v>-5.5</v>
      </c>
      <c r="AA3" s="228">
        <v>-2.5</v>
      </c>
      <c r="AB3" s="228">
        <v>-3</v>
      </c>
      <c r="AC3" s="229">
        <v>-8.9999999999999998E-4</v>
      </c>
      <c r="AD3" s="228">
        <v>-5.5</v>
      </c>
      <c r="AE3" s="228">
        <v>-2.5</v>
      </c>
      <c r="AF3" s="228">
        <v>-3</v>
      </c>
      <c r="AG3" s="229">
        <v>-8.9999999999999998E-4</v>
      </c>
      <c r="AH3" s="228">
        <v>9</v>
      </c>
      <c r="AI3" s="228">
        <v>16</v>
      </c>
      <c r="AJ3" s="228">
        <v>-7</v>
      </c>
      <c r="AK3" s="229">
        <v>1.4E-3</v>
      </c>
      <c r="AL3" s="228">
        <v>5.5</v>
      </c>
      <c r="AM3" s="228">
        <v>9</v>
      </c>
      <c r="AN3" s="228">
        <v>-3.5</v>
      </c>
      <c r="AO3" s="229">
        <v>8.9999999999999998E-4</v>
      </c>
      <c r="AP3" s="231">
        <v>6316.1</v>
      </c>
      <c r="AQ3" s="231">
        <v>6334.8</v>
      </c>
      <c r="AR3" s="228">
        <v>0</v>
      </c>
      <c r="AS3" s="228">
        <v>546</v>
      </c>
      <c r="AT3" s="228">
        <v>473</v>
      </c>
      <c r="AU3" s="228">
        <v>73</v>
      </c>
      <c r="AV3" s="229">
        <v>0.1532</v>
      </c>
      <c r="AW3" s="228">
        <v>495</v>
      </c>
      <c r="AX3" s="228">
        <v>436</v>
      </c>
      <c r="AY3" s="228">
        <v>59</v>
      </c>
      <c r="AZ3" s="229">
        <v>0.1356</v>
      </c>
      <c r="BA3" s="228">
        <v>45</v>
      </c>
      <c r="BB3" s="228">
        <v>32</v>
      </c>
      <c r="BC3" s="228">
        <v>12</v>
      </c>
      <c r="BD3" s="229">
        <v>0.3871</v>
      </c>
      <c r="BE3" s="228">
        <v>6</v>
      </c>
      <c r="BF3" s="228">
        <v>5</v>
      </c>
      <c r="BG3" s="228">
        <v>1</v>
      </c>
      <c r="BH3" s="229">
        <v>0.18329999999999999</v>
      </c>
      <c r="BI3" s="230">
        <v>3048</v>
      </c>
      <c r="BJ3" s="230">
        <v>3342</v>
      </c>
      <c r="BK3" s="228">
        <v>-294</v>
      </c>
      <c r="BL3" s="229">
        <v>-8.7900000000000006E-2</v>
      </c>
      <c r="BM3" s="230">
        <v>1325</v>
      </c>
      <c r="BN3" s="230">
        <v>1000</v>
      </c>
      <c r="BO3" s="228">
        <v>325</v>
      </c>
      <c r="BP3" s="229">
        <v>0.32540000000000002</v>
      </c>
      <c r="BQ3" s="230">
        <v>4919</v>
      </c>
      <c r="BR3" s="230">
        <v>4815</v>
      </c>
      <c r="BS3" s="228">
        <v>104</v>
      </c>
      <c r="BT3" s="229">
        <v>2.1600000000000001E-2</v>
      </c>
      <c r="BU3" s="230">
        <v>703499</v>
      </c>
      <c r="BV3" s="230">
        <v>620297</v>
      </c>
      <c r="BW3" s="230">
        <v>83202</v>
      </c>
      <c r="BX3" s="229">
        <v>0.1341</v>
      </c>
      <c r="BY3" s="230">
        <v>1351</v>
      </c>
      <c r="BZ3" s="230">
        <v>1331</v>
      </c>
      <c r="CA3" s="228">
        <v>20</v>
      </c>
      <c r="CB3" s="229">
        <v>1.52E-2</v>
      </c>
      <c r="CC3" s="230">
        <v>1307</v>
      </c>
      <c r="CD3" s="230">
        <v>1291</v>
      </c>
      <c r="CE3" s="228">
        <v>16</v>
      </c>
      <c r="CF3" s="229">
        <v>1.2E-2</v>
      </c>
      <c r="CG3" s="228">
        <v>40</v>
      </c>
      <c r="CH3" s="228">
        <v>35</v>
      </c>
      <c r="CI3" s="228">
        <v>5</v>
      </c>
      <c r="CJ3" s="229">
        <v>0.12870000000000001</v>
      </c>
      <c r="CK3" s="228">
        <v>4</v>
      </c>
      <c r="CL3" s="228">
        <v>4</v>
      </c>
      <c r="CM3" s="228">
        <v>0</v>
      </c>
      <c r="CN3" s="229">
        <v>1.89E-2</v>
      </c>
      <c r="CO3" s="228">
        <v>740</v>
      </c>
      <c r="CP3" s="228">
        <v>724</v>
      </c>
      <c r="CQ3" s="228">
        <v>16</v>
      </c>
      <c r="CR3" s="229">
        <v>2.2800000000000001E-2</v>
      </c>
      <c r="CS3" s="228">
        <v>640</v>
      </c>
      <c r="CT3" s="228">
        <v>613</v>
      </c>
      <c r="CU3" s="228">
        <v>27</v>
      </c>
      <c r="CV3" s="229">
        <v>4.48E-2</v>
      </c>
      <c r="CW3" s="230">
        <v>2731</v>
      </c>
      <c r="CX3" s="230">
        <v>2667</v>
      </c>
      <c r="CY3" s="228">
        <v>64</v>
      </c>
      <c r="CZ3" s="229">
        <v>2.4E-2</v>
      </c>
      <c r="DA3" s="228">
        <v>34.56</v>
      </c>
      <c r="DB3" s="228">
        <v>34</v>
      </c>
      <c r="DC3" s="228">
        <v>0.56000000000000005</v>
      </c>
      <c r="DD3" s="228">
        <v>0.56000000000000005</v>
      </c>
      <c r="DE3" s="228">
        <v>36.76</v>
      </c>
      <c r="DF3" s="228">
        <v>36.75</v>
      </c>
      <c r="DG3" s="228">
        <v>-2.2000000000000002</v>
      </c>
      <c r="DH3" s="228">
        <v>0.01</v>
      </c>
      <c r="DI3" s="228">
        <v>33.159999999999997</v>
      </c>
      <c r="DJ3" s="228">
        <v>33.26</v>
      </c>
      <c r="DK3" s="228">
        <v>-0.1</v>
      </c>
      <c r="DL3" s="228">
        <v>-0.1</v>
      </c>
      <c r="DM3" s="228">
        <v>37.79</v>
      </c>
      <c r="DN3" s="228">
        <v>36.5</v>
      </c>
      <c r="DO3" s="228">
        <v>1.29</v>
      </c>
      <c r="DP3" s="228">
        <v>1.29</v>
      </c>
      <c r="DQ3" s="228">
        <v>0.87</v>
      </c>
      <c r="DR3" s="228">
        <v>0.85</v>
      </c>
      <c r="DS3" s="228">
        <v>0.02</v>
      </c>
      <c r="DT3" s="229">
        <v>2.35E-2</v>
      </c>
      <c r="DU3" s="231">
        <v>6500</v>
      </c>
      <c r="DV3" s="231">
        <v>5500</v>
      </c>
      <c r="DW3" s="228">
        <v>0.43</v>
      </c>
      <c r="DX3" s="228">
        <v>0.3</v>
      </c>
      <c r="DY3" s="228">
        <v>0.13</v>
      </c>
      <c r="DZ3" s="229">
        <v>0.43330000000000002</v>
      </c>
      <c r="EA3" s="229">
        <v>3.2800000000000003E-2</v>
      </c>
      <c r="EB3" s="230">
        <v>62000</v>
      </c>
      <c r="EC3" s="229">
        <v>2.3E-3</v>
      </c>
      <c r="ED3" s="229">
        <v>3.2800000000000003E-2</v>
      </c>
      <c r="EE3" s="228">
        <v>18.7</v>
      </c>
      <c r="EF3" s="229">
        <v>3.0000000000000001E-3</v>
      </c>
      <c r="EG3" s="230">
        <v>361440</v>
      </c>
      <c r="EH3" s="230">
        <v>315962</v>
      </c>
      <c r="EI3" s="229">
        <v>0.1439</v>
      </c>
      <c r="EJ3" s="229">
        <v>0.51380000000000003</v>
      </c>
      <c r="EK3" s="231">
        <v>3168.08</v>
      </c>
      <c r="EL3" s="231">
        <v>1249.4000000000001</v>
      </c>
      <c r="EM3" s="228">
        <v>538.44000000000005</v>
      </c>
      <c r="EN3" s="228">
        <v>50.71</v>
      </c>
      <c r="EO3" s="231">
        <v>4955.92</v>
      </c>
      <c r="EP3" s="231">
        <v>4845.9799999999996</v>
      </c>
      <c r="EQ3" s="228">
        <v>109.94</v>
      </c>
      <c r="ER3" s="229">
        <v>2.2700000000000001E-2</v>
      </c>
      <c r="ES3" s="228">
        <v>744.12</v>
      </c>
      <c r="ET3" s="228">
        <v>581.98</v>
      </c>
      <c r="EU3" s="231">
        <v>1351</v>
      </c>
      <c r="EV3" s="231">
        <v>7946564</v>
      </c>
      <c r="EW3" s="231">
        <v>2677.1</v>
      </c>
      <c r="EX3" s="231">
        <v>2579.58</v>
      </c>
      <c r="EY3" s="228">
        <v>97.52</v>
      </c>
      <c r="EZ3" s="229">
        <v>3.78E-2</v>
      </c>
      <c r="FA3" s="229">
        <v>0.53680000000000005</v>
      </c>
      <c r="FB3" s="227" t="s">
        <v>555</v>
      </c>
      <c r="FC3">
        <f t="shared" ref="FC3:FC66" si="0">BY3-CC3</f>
        <v>44</v>
      </c>
    </row>
    <row r="4" spans="1:159" ht="17.25" hidden="1" thickBot="1" x14ac:dyDescent="0.3">
      <c r="A4" s="226">
        <v>46093</v>
      </c>
      <c r="B4" s="227" t="s">
        <v>175</v>
      </c>
      <c r="C4" s="227" t="s">
        <v>544</v>
      </c>
      <c r="D4" s="228">
        <v>3100</v>
      </c>
      <c r="E4" s="228">
        <v>18</v>
      </c>
      <c r="F4" s="228">
        <v>321.39999999999998</v>
      </c>
      <c r="G4" s="228">
        <v>324.2</v>
      </c>
      <c r="H4" s="228">
        <v>-2.8</v>
      </c>
      <c r="I4" s="229">
        <v>-8.6E-3</v>
      </c>
      <c r="J4" s="228">
        <v>319.95</v>
      </c>
      <c r="K4" s="228">
        <v>323.8</v>
      </c>
      <c r="L4" s="228">
        <v>-3.85</v>
      </c>
      <c r="M4" s="229">
        <v>-1.1900000000000001E-2</v>
      </c>
      <c r="N4" s="228">
        <v>321.39999999999998</v>
      </c>
      <c r="O4" s="228">
        <v>324.2</v>
      </c>
      <c r="P4" s="228">
        <v>-2.8</v>
      </c>
      <c r="Q4" s="229">
        <v>-8.6E-3</v>
      </c>
      <c r="R4" s="228">
        <v>323.10000000000002</v>
      </c>
      <c r="S4" s="228">
        <v>326.7</v>
      </c>
      <c r="T4" s="228">
        <v>-3.6</v>
      </c>
      <c r="U4" s="229">
        <v>-1.0999999999999999E-2</v>
      </c>
      <c r="V4" s="228">
        <v>326.55</v>
      </c>
      <c r="W4" s="228">
        <v>327.35000000000002</v>
      </c>
      <c r="X4" s="228">
        <v>-0.8</v>
      </c>
      <c r="Y4" s="229">
        <v>-2.3999999999999998E-3</v>
      </c>
      <c r="Z4" s="228">
        <v>1.45</v>
      </c>
      <c r="AA4" s="228">
        <v>0.4</v>
      </c>
      <c r="AB4" s="228">
        <v>1.05</v>
      </c>
      <c r="AC4" s="229">
        <v>4.4999999999999997E-3</v>
      </c>
      <c r="AD4" s="228">
        <v>1.45</v>
      </c>
      <c r="AE4" s="228">
        <v>0.4</v>
      </c>
      <c r="AF4" s="228">
        <v>1.05</v>
      </c>
      <c r="AG4" s="229">
        <v>4.4999999999999997E-3</v>
      </c>
      <c r="AH4" s="228">
        <v>3.15</v>
      </c>
      <c r="AI4" s="228">
        <v>2.9</v>
      </c>
      <c r="AJ4" s="228">
        <v>0.25</v>
      </c>
      <c r="AK4" s="229">
        <v>9.7999999999999997E-3</v>
      </c>
      <c r="AL4" s="228">
        <v>6.6</v>
      </c>
      <c r="AM4" s="228">
        <v>3.55</v>
      </c>
      <c r="AN4" s="228">
        <v>3.05</v>
      </c>
      <c r="AO4" s="229">
        <v>2.06E-2</v>
      </c>
      <c r="AP4" s="228">
        <v>321.55</v>
      </c>
      <c r="AQ4" s="228">
        <v>322.87</v>
      </c>
      <c r="AR4" s="228">
        <v>0</v>
      </c>
      <c r="AS4" s="228">
        <v>253</v>
      </c>
      <c r="AT4" s="228">
        <v>263</v>
      </c>
      <c r="AU4" s="228">
        <v>-10</v>
      </c>
      <c r="AV4" s="229">
        <v>-3.9699999999999999E-2</v>
      </c>
      <c r="AW4" s="228">
        <v>240</v>
      </c>
      <c r="AX4" s="228">
        <v>252</v>
      </c>
      <c r="AY4" s="228">
        <v>-12</v>
      </c>
      <c r="AZ4" s="229">
        <v>-4.9399999999999999E-2</v>
      </c>
      <c r="BA4" s="228">
        <v>13</v>
      </c>
      <c r="BB4" s="228">
        <v>10</v>
      </c>
      <c r="BC4" s="228">
        <v>2</v>
      </c>
      <c r="BD4" s="229">
        <v>0.24510000000000001</v>
      </c>
      <c r="BE4" s="228">
        <v>0</v>
      </c>
      <c r="BF4" s="228">
        <v>1</v>
      </c>
      <c r="BG4" s="228">
        <v>0</v>
      </c>
      <c r="BH4" s="229">
        <v>-0.55559999999999998</v>
      </c>
      <c r="BI4" s="228">
        <v>490</v>
      </c>
      <c r="BJ4" s="228">
        <v>455</v>
      </c>
      <c r="BK4" s="228">
        <v>34</v>
      </c>
      <c r="BL4" s="229">
        <v>7.51E-2</v>
      </c>
      <c r="BM4" s="228">
        <v>252</v>
      </c>
      <c r="BN4" s="228">
        <v>357</v>
      </c>
      <c r="BO4" s="228">
        <v>-104</v>
      </c>
      <c r="BP4" s="229">
        <v>-0.29270000000000002</v>
      </c>
      <c r="BQ4" s="228">
        <v>995</v>
      </c>
      <c r="BR4" s="230">
        <v>1075</v>
      </c>
      <c r="BS4" s="228">
        <v>-81</v>
      </c>
      <c r="BT4" s="229">
        <v>-7.51E-2</v>
      </c>
      <c r="BU4" s="230">
        <v>3112327</v>
      </c>
      <c r="BV4" s="230">
        <v>3120210</v>
      </c>
      <c r="BW4" s="230">
        <v>-7883</v>
      </c>
      <c r="BX4" s="229">
        <v>-2.5000000000000001E-3</v>
      </c>
      <c r="BY4" s="230">
        <v>1521</v>
      </c>
      <c r="BZ4" s="230">
        <v>1537</v>
      </c>
      <c r="CA4" s="228">
        <v>-16</v>
      </c>
      <c r="CB4" s="229">
        <v>-1.06E-2</v>
      </c>
      <c r="CC4" s="230">
        <v>1491</v>
      </c>
      <c r="CD4" s="230">
        <v>1509</v>
      </c>
      <c r="CE4" s="228">
        <v>-18</v>
      </c>
      <c r="CF4" s="229">
        <v>-1.17E-2</v>
      </c>
      <c r="CG4" s="228">
        <v>28</v>
      </c>
      <c r="CH4" s="228">
        <v>27</v>
      </c>
      <c r="CI4" s="228">
        <v>1</v>
      </c>
      <c r="CJ4" s="229">
        <v>4.8000000000000001E-2</v>
      </c>
      <c r="CK4" s="228">
        <v>2</v>
      </c>
      <c r="CL4" s="228">
        <v>2</v>
      </c>
      <c r="CM4" s="228">
        <v>0</v>
      </c>
      <c r="CN4" s="229">
        <v>0</v>
      </c>
      <c r="CO4" s="228">
        <v>500</v>
      </c>
      <c r="CP4" s="228">
        <v>503</v>
      </c>
      <c r="CQ4" s="228">
        <v>-2</v>
      </c>
      <c r="CR4" s="229">
        <v>-5.0000000000000001E-3</v>
      </c>
      <c r="CS4" s="228">
        <v>314</v>
      </c>
      <c r="CT4" s="228">
        <v>332</v>
      </c>
      <c r="CU4" s="228">
        <v>-18</v>
      </c>
      <c r="CV4" s="229">
        <v>-5.5500000000000001E-2</v>
      </c>
      <c r="CW4" s="230">
        <v>2335</v>
      </c>
      <c r="CX4" s="230">
        <v>2372</v>
      </c>
      <c r="CY4" s="228">
        <v>-37</v>
      </c>
      <c r="CZ4" s="229">
        <v>-1.5699999999999999E-2</v>
      </c>
      <c r="DA4" s="228">
        <v>38.15</v>
      </c>
      <c r="DB4" s="228">
        <v>37.840000000000003</v>
      </c>
      <c r="DC4" s="228">
        <v>0.31</v>
      </c>
      <c r="DD4" s="228">
        <v>0.31</v>
      </c>
      <c r="DE4" s="228">
        <v>37.520000000000003</v>
      </c>
      <c r="DF4" s="228">
        <v>37.6</v>
      </c>
      <c r="DG4" s="228">
        <v>0.63</v>
      </c>
      <c r="DH4" s="228">
        <v>-0.08</v>
      </c>
      <c r="DI4" s="228">
        <v>37.700000000000003</v>
      </c>
      <c r="DJ4" s="228">
        <v>37.69</v>
      </c>
      <c r="DK4" s="228">
        <v>0.01</v>
      </c>
      <c r="DL4" s="228">
        <v>0.01</v>
      </c>
      <c r="DM4" s="228">
        <v>39.020000000000003</v>
      </c>
      <c r="DN4" s="228">
        <v>38.04</v>
      </c>
      <c r="DO4" s="228">
        <v>0.98</v>
      </c>
      <c r="DP4" s="228">
        <v>0.98</v>
      </c>
      <c r="DQ4" s="228">
        <v>0.63</v>
      </c>
      <c r="DR4" s="228">
        <v>0.66</v>
      </c>
      <c r="DS4" s="228">
        <v>-0.03</v>
      </c>
      <c r="DT4" s="229">
        <v>-4.5499999999999999E-2</v>
      </c>
      <c r="DU4" s="228">
        <v>360</v>
      </c>
      <c r="DV4" s="228">
        <v>320</v>
      </c>
      <c r="DW4" s="228">
        <v>0.52</v>
      </c>
      <c r="DX4" s="228">
        <v>0.78</v>
      </c>
      <c r="DY4" s="228">
        <v>-0.26</v>
      </c>
      <c r="DZ4" s="229">
        <v>-0.33329999999999999</v>
      </c>
      <c r="EA4" s="229">
        <v>1.9800000000000002E-2</v>
      </c>
      <c r="EB4" s="230">
        <v>895900</v>
      </c>
      <c r="EC4" s="229">
        <v>5.3E-3</v>
      </c>
      <c r="ED4" s="229">
        <v>1.9800000000000002E-2</v>
      </c>
      <c r="EE4" s="228">
        <v>1.32</v>
      </c>
      <c r="EF4" s="229">
        <v>4.1000000000000003E-3</v>
      </c>
      <c r="EG4" s="230">
        <v>1029861</v>
      </c>
      <c r="EH4" s="230">
        <v>1306208</v>
      </c>
      <c r="EI4" s="229">
        <v>-0.21160000000000001</v>
      </c>
      <c r="EJ4" s="229">
        <v>0.33090000000000003</v>
      </c>
      <c r="EK4" s="228">
        <v>525.46</v>
      </c>
      <c r="EL4" s="228">
        <v>250.25</v>
      </c>
      <c r="EM4" s="228">
        <v>252.95</v>
      </c>
      <c r="EN4" s="228">
        <v>29.55</v>
      </c>
      <c r="EO4" s="231">
        <v>1028.6500000000001</v>
      </c>
      <c r="EP4" s="231">
        <v>1130.75</v>
      </c>
      <c r="EQ4" s="228">
        <v>-102.1</v>
      </c>
      <c r="ER4" s="229">
        <v>-9.0300000000000005E-2</v>
      </c>
      <c r="ES4" s="228">
        <v>550.71</v>
      </c>
      <c r="ET4" s="228">
        <v>319.25</v>
      </c>
      <c r="EU4" s="231">
        <v>1521.19</v>
      </c>
      <c r="EV4" s="231">
        <v>122657000</v>
      </c>
      <c r="EW4" s="231">
        <v>2391.15</v>
      </c>
      <c r="EX4" s="231">
        <v>2442.46</v>
      </c>
      <c r="EY4" s="228">
        <v>-51.31</v>
      </c>
      <c r="EZ4" s="229">
        <v>-2.1000000000000001E-2</v>
      </c>
      <c r="FA4" s="229">
        <v>0.59230000000000005</v>
      </c>
      <c r="FB4" s="227" t="s">
        <v>568</v>
      </c>
      <c r="FC4">
        <f t="shared" si="0"/>
        <v>30</v>
      </c>
    </row>
    <row r="5" spans="1:159" ht="17.25" hidden="1" thickBot="1" x14ac:dyDescent="0.3">
      <c r="A5" s="226">
        <v>46093</v>
      </c>
      <c r="B5" s="227" t="s">
        <v>161</v>
      </c>
      <c r="C5" s="227" t="s">
        <v>579</v>
      </c>
      <c r="D5" s="228">
        <v>675</v>
      </c>
      <c r="E5" s="228">
        <v>18</v>
      </c>
      <c r="F5" s="231">
        <v>1007.5</v>
      </c>
      <c r="G5" s="228">
        <v>995.4</v>
      </c>
      <c r="H5" s="228">
        <v>12.1</v>
      </c>
      <c r="I5" s="229">
        <v>1.2200000000000001E-2</v>
      </c>
      <c r="J5" s="231">
        <v>1004.4</v>
      </c>
      <c r="K5" s="228">
        <v>992</v>
      </c>
      <c r="L5" s="228">
        <v>12.4</v>
      </c>
      <c r="M5" s="229">
        <v>1.2500000000000001E-2</v>
      </c>
      <c r="N5" s="231">
        <v>1007.5</v>
      </c>
      <c r="O5" s="228">
        <v>995.4</v>
      </c>
      <c r="P5" s="228">
        <v>12.1</v>
      </c>
      <c r="Q5" s="229">
        <v>1.2200000000000001E-2</v>
      </c>
      <c r="R5" s="231">
        <v>1012.7</v>
      </c>
      <c r="S5" s="231">
        <v>1001.4</v>
      </c>
      <c r="T5" s="228">
        <v>11.3</v>
      </c>
      <c r="U5" s="229">
        <v>1.1299999999999999E-2</v>
      </c>
      <c r="V5" s="231">
        <v>1028</v>
      </c>
      <c r="W5" s="231">
        <v>1010</v>
      </c>
      <c r="X5" s="228">
        <v>18</v>
      </c>
      <c r="Y5" s="229">
        <v>1.78E-2</v>
      </c>
      <c r="Z5" s="228">
        <v>3.1</v>
      </c>
      <c r="AA5" s="228">
        <v>3.4</v>
      </c>
      <c r="AB5" s="228">
        <v>-0.3</v>
      </c>
      <c r="AC5" s="229">
        <v>3.0999999999999999E-3</v>
      </c>
      <c r="AD5" s="228">
        <v>3.1</v>
      </c>
      <c r="AE5" s="228">
        <v>3.4</v>
      </c>
      <c r="AF5" s="228">
        <v>-0.3</v>
      </c>
      <c r="AG5" s="229">
        <v>3.0999999999999999E-3</v>
      </c>
      <c r="AH5" s="228">
        <v>8.3000000000000007</v>
      </c>
      <c r="AI5" s="228">
        <v>9.4</v>
      </c>
      <c r="AJ5" s="228">
        <v>-1.1000000000000001</v>
      </c>
      <c r="AK5" s="229">
        <v>8.3000000000000001E-3</v>
      </c>
      <c r="AL5" s="228">
        <v>23.6</v>
      </c>
      <c r="AM5" s="228">
        <v>18</v>
      </c>
      <c r="AN5" s="228">
        <v>5.6</v>
      </c>
      <c r="AO5" s="229">
        <v>2.35E-2</v>
      </c>
      <c r="AP5" s="231">
        <v>1003.3</v>
      </c>
      <c r="AQ5" s="231">
        <v>1010.09</v>
      </c>
      <c r="AR5" s="228">
        <v>0</v>
      </c>
      <c r="AS5" s="228">
        <v>174</v>
      </c>
      <c r="AT5" s="228">
        <v>158</v>
      </c>
      <c r="AU5" s="228">
        <v>15</v>
      </c>
      <c r="AV5" s="229">
        <v>9.6600000000000005E-2</v>
      </c>
      <c r="AW5" s="228">
        <v>170</v>
      </c>
      <c r="AX5" s="228">
        <v>150</v>
      </c>
      <c r="AY5" s="228">
        <v>20</v>
      </c>
      <c r="AZ5" s="229">
        <v>0.12970000000000001</v>
      </c>
      <c r="BA5" s="228">
        <v>4</v>
      </c>
      <c r="BB5" s="228">
        <v>8</v>
      </c>
      <c r="BC5" s="228">
        <v>-4</v>
      </c>
      <c r="BD5" s="229">
        <v>-0.53569999999999995</v>
      </c>
      <c r="BE5" s="228">
        <v>0</v>
      </c>
      <c r="BF5" s="228">
        <v>0</v>
      </c>
      <c r="BG5" s="228">
        <v>0</v>
      </c>
      <c r="BH5" s="229">
        <v>-0.66669999999999996</v>
      </c>
      <c r="BI5" s="228">
        <v>519</v>
      </c>
      <c r="BJ5" s="228">
        <v>934</v>
      </c>
      <c r="BK5" s="228">
        <v>-415</v>
      </c>
      <c r="BL5" s="229">
        <v>-0.44419999999999998</v>
      </c>
      <c r="BM5" s="228">
        <v>134</v>
      </c>
      <c r="BN5" s="228">
        <v>252</v>
      </c>
      <c r="BO5" s="228">
        <v>-118</v>
      </c>
      <c r="BP5" s="229">
        <v>-0.46839999999999998</v>
      </c>
      <c r="BQ5" s="228">
        <v>827</v>
      </c>
      <c r="BR5" s="230">
        <v>1345</v>
      </c>
      <c r="BS5" s="228">
        <v>-518</v>
      </c>
      <c r="BT5" s="229">
        <v>-0.3851</v>
      </c>
      <c r="BU5" s="230">
        <v>1190381</v>
      </c>
      <c r="BV5" s="230">
        <v>894666</v>
      </c>
      <c r="BW5" s="230">
        <v>295715</v>
      </c>
      <c r="BX5" s="229">
        <v>0.33050000000000002</v>
      </c>
      <c r="BY5" s="230">
        <v>2139</v>
      </c>
      <c r="BZ5" s="230">
        <v>2157</v>
      </c>
      <c r="CA5" s="228">
        <v>-18</v>
      </c>
      <c r="CB5" s="229">
        <v>-8.3000000000000001E-3</v>
      </c>
      <c r="CC5" s="230">
        <v>1875</v>
      </c>
      <c r="CD5" s="230">
        <v>1893</v>
      </c>
      <c r="CE5" s="228">
        <v>-18</v>
      </c>
      <c r="CF5" s="229">
        <v>-9.4000000000000004E-3</v>
      </c>
      <c r="CG5" s="228">
        <v>240</v>
      </c>
      <c r="CH5" s="228">
        <v>240</v>
      </c>
      <c r="CI5" s="228">
        <v>0</v>
      </c>
      <c r="CJ5" s="229">
        <v>-2.9999999999999997E-4</v>
      </c>
      <c r="CK5" s="228">
        <v>24</v>
      </c>
      <c r="CL5" s="228">
        <v>24</v>
      </c>
      <c r="CM5" s="228">
        <v>0</v>
      </c>
      <c r="CN5" s="229">
        <v>-2.8E-3</v>
      </c>
      <c r="CO5" s="228">
        <v>336</v>
      </c>
      <c r="CP5" s="228">
        <v>396</v>
      </c>
      <c r="CQ5" s="228">
        <v>-61</v>
      </c>
      <c r="CR5" s="229">
        <v>-0.15329999999999999</v>
      </c>
      <c r="CS5" s="228">
        <v>215</v>
      </c>
      <c r="CT5" s="228">
        <v>221</v>
      </c>
      <c r="CU5" s="228">
        <v>-6</v>
      </c>
      <c r="CV5" s="229">
        <v>-2.86E-2</v>
      </c>
      <c r="CW5" s="230">
        <v>2689</v>
      </c>
      <c r="CX5" s="230">
        <v>2774</v>
      </c>
      <c r="CY5" s="228">
        <v>-85</v>
      </c>
      <c r="CZ5" s="229">
        <v>-3.0599999999999999E-2</v>
      </c>
      <c r="DA5" s="228">
        <v>44.12</v>
      </c>
      <c r="DB5" s="228">
        <v>46.91</v>
      </c>
      <c r="DC5" s="228">
        <v>-2.79</v>
      </c>
      <c r="DD5" s="228">
        <v>-2.79</v>
      </c>
      <c r="DE5" s="228">
        <v>53.9</v>
      </c>
      <c r="DF5" s="228">
        <v>54.01</v>
      </c>
      <c r="DG5" s="228">
        <v>-9.7799999999999994</v>
      </c>
      <c r="DH5" s="228">
        <v>-0.11</v>
      </c>
      <c r="DI5" s="228">
        <v>43.91</v>
      </c>
      <c r="DJ5" s="228">
        <v>46.9</v>
      </c>
      <c r="DK5" s="228">
        <v>-2.99</v>
      </c>
      <c r="DL5" s="228">
        <v>-2.99</v>
      </c>
      <c r="DM5" s="228">
        <v>44.91</v>
      </c>
      <c r="DN5" s="228">
        <v>46.92</v>
      </c>
      <c r="DO5" s="228">
        <v>-2.0099999999999998</v>
      </c>
      <c r="DP5" s="228">
        <v>-2.0099999999999998</v>
      </c>
      <c r="DQ5" s="228">
        <v>0.64</v>
      </c>
      <c r="DR5" s="228">
        <v>0.56000000000000005</v>
      </c>
      <c r="DS5" s="228">
        <v>0.08</v>
      </c>
      <c r="DT5" s="229">
        <v>0.1429</v>
      </c>
      <c r="DU5" s="231">
        <v>1040</v>
      </c>
      <c r="DV5" s="231">
        <v>1020</v>
      </c>
      <c r="DW5" s="228">
        <v>0.26</v>
      </c>
      <c r="DX5" s="228">
        <v>0.27</v>
      </c>
      <c r="DY5" s="228">
        <v>-0.01</v>
      </c>
      <c r="DZ5" s="229">
        <v>-3.6999999999999998E-2</v>
      </c>
      <c r="EA5" s="229">
        <v>0.1235</v>
      </c>
      <c r="EB5" s="230">
        <v>2624400</v>
      </c>
      <c r="EC5" s="229">
        <v>5.1999999999999998E-3</v>
      </c>
      <c r="ED5" s="229">
        <v>0.1235</v>
      </c>
      <c r="EE5" s="228">
        <v>6.79</v>
      </c>
      <c r="EF5" s="229">
        <v>6.7999999999999996E-3</v>
      </c>
      <c r="EG5" s="230">
        <v>385236</v>
      </c>
      <c r="EH5" s="230">
        <v>216955</v>
      </c>
      <c r="EI5" s="229">
        <v>0.77559999999999996</v>
      </c>
      <c r="EJ5" s="229">
        <v>0.3236</v>
      </c>
      <c r="EK5" s="228">
        <v>549.9</v>
      </c>
      <c r="EL5" s="228">
        <v>132.78</v>
      </c>
      <c r="EM5" s="228">
        <v>172.92</v>
      </c>
      <c r="EN5" s="228">
        <v>39.78</v>
      </c>
      <c r="EO5" s="228">
        <v>855.6</v>
      </c>
      <c r="EP5" s="231">
        <v>1408.51</v>
      </c>
      <c r="EQ5" s="228">
        <v>-552.91</v>
      </c>
      <c r="ER5" s="229">
        <v>-0.3926</v>
      </c>
      <c r="ES5" s="228">
        <v>352.24</v>
      </c>
      <c r="ET5" s="228">
        <v>205.96</v>
      </c>
      <c r="EU5" s="231">
        <v>2141</v>
      </c>
      <c r="EV5" s="231">
        <v>43791427</v>
      </c>
      <c r="EW5" s="231">
        <v>2699.19</v>
      </c>
      <c r="EX5" s="231">
        <v>2759.25</v>
      </c>
      <c r="EY5" s="228">
        <v>-60.06</v>
      </c>
      <c r="EZ5" s="229">
        <v>-2.18E-2</v>
      </c>
      <c r="FA5" s="229">
        <v>0.60960000000000003</v>
      </c>
      <c r="FB5" s="227" t="s">
        <v>556</v>
      </c>
      <c r="FC5">
        <f t="shared" si="0"/>
        <v>264</v>
      </c>
    </row>
    <row r="6" spans="1:159" ht="17.25" hidden="1" thickBot="1" x14ac:dyDescent="0.3">
      <c r="A6" s="226">
        <v>46093</v>
      </c>
      <c r="B6" s="227" t="s">
        <v>215</v>
      </c>
      <c r="C6" s="227" t="s">
        <v>159</v>
      </c>
      <c r="D6" s="228">
        <v>309</v>
      </c>
      <c r="E6" s="228">
        <v>18</v>
      </c>
      <c r="F6" s="231">
        <v>1998.9</v>
      </c>
      <c r="G6" s="231">
        <v>1975.3</v>
      </c>
      <c r="H6" s="228">
        <v>23.6</v>
      </c>
      <c r="I6" s="229">
        <v>1.1900000000000001E-2</v>
      </c>
      <c r="J6" s="231">
        <v>2002</v>
      </c>
      <c r="K6" s="231">
        <v>1974.7</v>
      </c>
      <c r="L6" s="228">
        <v>27.3</v>
      </c>
      <c r="M6" s="229">
        <v>1.38E-2</v>
      </c>
      <c r="N6" s="231">
        <v>1998.9</v>
      </c>
      <c r="O6" s="231">
        <v>1975.3</v>
      </c>
      <c r="P6" s="228">
        <v>23.6</v>
      </c>
      <c r="Q6" s="229">
        <v>1.1900000000000001E-2</v>
      </c>
      <c r="R6" s="231">
        <v>2002.8</v>
      </c>
      <c r="S6" s="231">
        <v>1979.1</v>
      </c>
      <c r="T6" s="228">
        <v>23.7</v>
      </c>
      <c r="U6" s="229">
        <v>1.2E-2</v>
      </c>
      <c r="V6" s="231">
        <v>2011</v>
      </c>
      <c r="W6" s="231">
        <v>1988.6</v>
      </c>
      <c r="X6" s="228">
        <v>22.4</v>
      </c>
      <c r="Y6" s="229">
        <v>1.1299999999999999E-2</v>
      </c>
      <c r="Z6" s="228">
        <v>-3.1</v>
      </c>
      <c r="AA6" s="228">
        <v>0.6</v>
      </c>
      <c r="AB6" s="228">
        <v>-3.7</v>
      </c>
      <c r="AC6" s="229">
        <v>-1.5E-3</v>
      </c>
      <c r="AD6" s="228">
        <v>-3.1</v>
      </c>
      <c r="AE6" s="228">
        <v>0.6</v>
      </c>
      <c r="AF6" s="228">
        <v>-3.7</v>
      </c>
      <c r="AG6" s="229">
        <v>-1.5E-3</v>
      </c>
      <c r="AH6" s="228">
        <v>0.8</v>
      </c>
      <c r="AI6" s="228">
        <v>4.4000000000000004</v>
      </c>
      <c r="AJ6" s="228">
        <v>-3.6</v>
      </c>
      <c r="AK6" s="229">
        <v>4.0000000000000002E-4</v>
      </c>
      <c r="AL6" s="228">
        <v>9</v>
      </c>
      <c r="AM6" s="228">
        <v>13.9</v>
      </c>
      <c r="AN6" s="228">
        <v>-4.9000000000000004</v>
      </c>
      <c r="AO6" s="229">
        <v>4.4999999999999997E-3</v>
      </c>
      <c r="AP6" s="231">
        <v>1995.37</v>
      </c>
      <c r="AQ6" s="231">
        <v>1983.09</v>
      </c>
      <c r="AR6" s="228">
        <v>0</v>
      </c>
      <c r="AS6" s="228">
        <v>828</v>
      </c>
      <c r="AT6" s="228">
        <v>345</v>
      </c>
      <c r="AU6" s="228">
        <v>483</v>
      </c>
      <c r="AV6" s="229">
        <v>1.4032</v>
      </c>
      <c r="AW6" s="228">
        <v>433</v>
      </c>
      <c r="AX6" s="228">
        <v>295</v>
      </c>
      <c r="AY6" s="228">
        <v>137</v>
      </c>
      <c r="AZ6" s="229">
        <v>0.4657</v>
      </c>
      <c r="BA6" s="228">
        <v>386</v>
      </c>
      <c r="BB6" s="228">
        <v>45</v>
      </c>
      <c r="BC6" s="228">
        <v>340</v>
      </c>
      <c r="BD6" s="229">
        <v>7.5095000000000001</v>
      </c>
      <c r="BE6" s="228">
        <v>9</v>
      </c>
      <c r="BF6" s="228">
        <v>4</v>
      </c>
      <c r="BG6" s="228">
        <v>5</v>
      </c>
      <c r="BH6" s="229">
        <v>1.3906000000000001</v>
      </c>
      <c r="BI6" s="230">
        <v>1745</v>
      </c>
      <c r="BJ6" s="228">
        <v>982</v>
      </c>
      <c r="BK6" s="228">
        <v>763</v>
      </c>
      <c r="BL6" s="229">
        <v>0.77700000000000002</v>
      </c>
      <c r="BM6" s="228">
        <v>876</v>
      </c>
      <c r="BN6" s="228">
        <v>555</v>
      </c>
      <c r="BO6" s="228">
        <v>321</v>
      </c>
      <c r="BP6" s="229">
        <v>0.57750000000000001</v>
      </c>
      <c r="BQ6" s="230">
        <v>3449</v>
      </c>
      <c r="BR6" s="230">
        <v>1882</v>
      </c>
      <c r="BS6" s="230">
        <v>1567</v>
      </c>
      <c r="BT6" s="229">
        <v>0.83279999999999998</v>
      </c>
      <c r="BU6" s="230">
        <v>1573388</v>
      </c>
      <c r="BV6" s="230">
        <v>2473315</v>
      </c>
      <c r="BW6" s="230">
        <v>-899927</v>
      </c>
      <c r="BX6" s="229">
        <v>-0.3639</v>
      </c>
      <c r="BY6" s="230">
        <v>3768</v>
      </c>
      <c r="BZ6" s="230">
        <v>3809</v>
      </c>
      <c r="CA6" s="228">
        <v>-41</v>
      </c>
      <c r="CB6" s="229">
        <v>-1.06E-2</v>
      </c>
      <c r="CC6" s="230">
        <v>3113</v>
      </c>
      <c r="CD6" s="230">
        <v>3228</v>
      </c>
      <c r="CE6" s="228">
        <v>-115</v>
      </c>
      <c r="CF6" s="229">
        <v>-3.5499999999999997E-2</v>
      </c>
      <c r="CG6" s="228">
        <v>441</v>
      </c>
      <c r="CH6" s="228">
        <v>367</v>
      </c>
      <c r="CI6" s="228">
        <v>74</v>
      </c>
      <c r="CJ6" s="229">
        <v>0.20280000000000001</v>
      </c>
      <c r="CK6" s="228">
        <v>214</v>
      </c>
      <c r="CL6" s="228">
        <v>214</v>
      </c>
      <c r="CM6" s="228">
        <v>0</v>
      </c>
      <c r="CN6" s="229">
        <v>-1.6999999999999999E-3</v>
      </c>
      <c r="CO6" s="230">
        <v>1364</v>
      </c>
      <c r="CP6" s="230">
        <v>1321</v>
      </c>
      <c r="CQ6" s="228">
        <v>43</v>
      </c>
      <c r="CR6" s="229">
        <v>3.2800000000000003E-2</v>
      </c>
      <c r="CS6" s="230">
        <v>1130</v>
      </c>
      <c r="CT6" s="230">
        <v>1121</v>
      </c>
      <c r="CU6" s="228">
        <v>10</v>
      </c>
      <c r="CV6" s="229">
        <v>8.5000000000000006E-3</v>
      </c>
      <c r="CW6" s="230">
        <v>6263</v>
      </c>
      <c r="CX6" s="230">
        <v>6251</v>
      </c>
      <c r="CY6" s="228">
        <v>12</v>
      </c>
      <c r="CZ6" s="229">
        <v>2E-3</v>
      </c>
      <c r="DA6" s="228">
        <v>41.05</v>
      </c>
      <c r="DB6" s="228">
        <v>42.76</v>
      </c>
      <c r="DC6" s="228">
        <v>-1.71</v>
      </c>
      <c r="DD6" s="228">
        <v>-1.71</v>
      </c>
      <c r="DE6" s="228">
        <v>48.16</v>
      </c>
      <c r="DF6" s="228">
        <v>48.26</v>
      </c>
      <c r="DG6" s="228">
        <v>-7.11</v>
      </c>
      <c r="DH6" s="228">
        <v>-0.1</v>
      </c>
      <c r="DI6" s="228">
        <v>40.159999999999997</v>
      </c>
      <c r="DJ6" s="228">
        <v>42.57</v>
      </c>
      <c r="DK6" s="228">
        <v>-2.41</v>
      </c>
      <c r="DL6" s="228">
        <v>-2.41</v>
      </c>
      <c r="DM6" s="228">
        <v>42.83</v>
      </c>
      <c r="DN6" s="228">
        <v>43.08</v>
      </c>
      <c r="DO6" s="228">
        <v>-0.25</v>
      </c>
      <c r="DP6" s="228">
        <v>-0.25</v>
      </c>
      <c r="DQ6" s="228">
        <v>0.83</v>
      </c>
      <c r="DR6" s="228">
        <v>0.85</v>
      </c>
      <c r="DS6" s="228">
        <v>-0.02</v>
      </c>
      <c r="DT6" s="229">
        <v>-2.35E-2</v>
      </c>
      <c r="DU6" s="231">
        <v>2200</v>
      </c>
      <c r="DV6" s="231">
        <v>2200</v>
      </c>
      <c r="DW6" s="228">
        <v>0.5</v>
      </c>
      <c r="DX6" s="228">
        <v>0.56999999999999995</v>
      </c>
      <c r="DY6" s="228">
        <v>-7.0000000000000007E-2</v>
      </c>
      <c r="DZ6" s="229">
        <v>-0.12280000000000001</v>
      </c>
      <c r="EA6" s="229">
        <v>0.1739</v>
      </c>
      <c r="EB6" s="230">
        <v>2907381</v>
      </c>
      <c r="EC6" s="229">
        <v>2E-3</v>
      </c>
      <c r="ED6" s="229">
        <v>0.1739</v>
      </c>
      <c r="EE6" s="228">
        <v>-12.28</v>
      </c>
      <c r="EF6" s="229">
        <v>-6.1999999999999998E-3</v>
      </c>
      <c r="EG6" s="230">
        <v>415118</v>
      </c>
      <c r="EH6" s="230">
        <v>1678682</v>
      </c>
      <c r="EI6" s="229">
        <v>-0.75270000000000004</v>
      </c>
      <c r="EJ6" s="229">
        <v>0.26379999999999998</v>
      </c>
      <c r="EK6" s="231">
        <v>1863.94</v>
      </c>
      <c r="EL6" s="228">
        <v>879.76</v>
      </c>
      <c r="EM6" s="228">
        <v>824.19</v>
      </c>
      <c r="EN6" s="228">
        <v>78.97</v>
      </c>
      <c r="EO6" s="231">
        <v>3567.89</v>
      </c>
      <c r="EP6" s="231">
        <v>1954.63</v>
      </c>
      <c r="EQ6" s="231">
        <v>1613.26</v>
      </c>
      <c r="ER6" s="229">
        <v>0.82540000000000002</v>
      </c>
      <c r="ES6" s="231">
        <v>1489.42</v>
      </c>
      <c r="ET6" s="231">
        <v>1190.03</v>
      </c>
      <c r="EU6" s="231">
        <v>3770.56</v>
      </c>
      <c r="EV6" s="231">
        <v>49117354</v>
      </c>
      <c r="EW6" s="231">
        <v>6450.02</v>
      </c>
      <c r="EX6" s="231">
        <v>6391.89</v>
      </c>
      <c r="EY6" s="228">
        <v>58.13</v>
      </c>
      <c r="EZ6" s="229">
        <v>9.1000000000000004E-3</v>
      </c>
      <c r="FA6" s="229">
        <v>0.63790000000000002</v>
      </c>
      <c r="FB6" s="227" t="s">
        <v>556</v>
      </c>
      <c r="FC6">
        <f t="shared" si="0"/>
        <v>655</v>
      </c>
    </row>
    <row r="7" spans="1:159" ht="17.25" hidden="1" thickBot="1" x14ac:dyDescent="0.3">
      <c r="A7" s="226">
        <v>46093</v>
      </c>
      <c r="B7" s="227" t="s">
        <v>161</v>
      </c>
      <c r="C7" s="227" t="s">
        <v>606</v>
      </c>
      <c r="D7" s="228">
        <v>600</v>
      </c>
      <c r="E7" s="228">
        <v>18</v>
      </c>
      <c r="F7" s="228">
        <v>869.95</v>
      </c>
      <c r="G7" s="228">
        <v>851.8</v>
      </c>
      <c r="H7" s="228">
        <v>18.149999999999999</v>
      </c>
      <c r="I7" s="229">
        <v>2.1299999999999999E-2</v>
      </c>
      <c r="J7" s="228">
        <v>866.55</v>
      </c>
      <c r="K7" s="228">
        <v>849.65</v>
      </c>
      <c r="L7" s="228">
        <v>16.899999999999999</v>
      </c>
      <c r="M7" s="229">
        <v>1.9900000000000001E-2</v>
      </c>
      <c r="N7" s="228">
        <v>869.95</v>
      </c>
      <c r="O7" s="228">
        <v>851.8</v>
      </c>
      <c r="P7" s="228">
        <v>18.149999999999999</v>
      </c>
      <c r="Q7" s="229">
        <v>2.1299999999999999E-2</v>
      </c>
      <c r="R7" s="228">
        <v>876.2</v>
      </c>
      <c r="S7" s="228">
        <v>857.8</v>
      </c>
      <c r="T7" s="228">
        <v>18.399999999999999</v>
      </c>
      <c r="U7" s="229">
        <v>2.1499999999999998E-2</v>
      </c>
      <c r="V7" s="228">
        <v>880.15</v>
      </c>
      <c r="W7" s="228">
        <v>862.15</v>
      </c>
      <c r="X7" s="228">
        <v>18</v>
      </c>
      <c r="Y7" s="229">
        <v>2.0899999999999998E-2</v>
      </c>
      <c r="Z7" s="228">
        <v>3.4</v>
      </c>
      <c r="AA7" s="228">
        <v>2.15</v>
      </c>
      <c r="AB7" s="228">
        <v>1.25</v>
      </c>
      <c r="AC7" s="229">
        <v>3.8999999999999998E-3</v>
      </c>
      <c r="AD7" s="228">
        <v>3.4</v>
      </c>
      <c r="AE7" s="228">
        <v>2.15</v>
      </c>
      <c r="AF7" s="228">
        <v>1.25</v>
      </c>
      <c r="AG7" s="229">
        <v>3.8999999999999998E-3</v>
      </c>
      <c r="AH7" s="228">
        <v>9.65</v>
      </c>
      <c r="AI7" s="228">
        <v>8.15</v>
      </c>
      <c r="AJ7" s="228">
        <v>1.5</v>
      </c>
      <c r="AK7" s="229">
        <v>1.11E-2</v>
      </c>
      <c r="AL7" s="228">
        <v>13.6</v>
      </c>
      <c r="AM7" s="228">
        <v>12.5</v>
      </c>
      <c r="AN7" s="228">
        <v>1.1000000000000001</v>
      </c>
      <c r="AO7" s="229">
        <v>1.5699999999999999E-2</v>
      </c>
      <c r="AP7" s="228">
        <v>866.87</v>
      </c>
      <c r="AQ7" s="228">
        <v>871.85</v>
      </c>
      <c r="AR7" s="228">
        <v>0</v>
      </c>
      <c r="AS7" s="228">
        <v>476</v>
      </c>
      <c r="AT7" s="228">
        <v>217</v>
      </c>
      <c r="AU7" s="228">
        <v>259</v>
      </c>
      <c r="AV7" s="229">
        <v>1.1949000000000001</v>
      </c>
      <c r="AW7" s="228">
        <v>435</v>
      </c>
      <c r="AX7" s="228">
        <v>198</v>
      </c>
      <c r="AY7" s="228">
        <v>237</v>
      </c>
      <c r="AZ7" s="229">
        <v>1.1956</v>
      </c>
      <c r="BA7" s="228">
        <v>39</v>
      </c>
      <c r="BB7" s="228">
        <v>16</v>
      </c>
      <c r="BC7" s="228">
        <v>23</v>
      </c>
      <c r="BD7" s="229">
        <v>1.4137</v>
      </c>
      <c r="BE7" s="228">
        <v>2</v>
      </c>
      <c r="BF7" s="228">
        <v>3</v>
      </c>
      <c r="BG7" s="228">
        <v>0</v>
      </c>
      <c r="BH7" s="229">
        <v>-0.17649999999999999</v>
      </c>
      <c r="BI7" s="230">
        <v>1187</v>
      </c>
      <c r="BJ7" s="228">
        <v>552</v>
      </c>
      <c r="BK7" s="228">
        <v>635</v>
      </c>
      <c r="BL7" s="229">
        <v>1.1494</v>
      </c>
      <c r="BM7" s="228">
        <v>333</v>
      </c>
      <c r="BN7" s="228">
        <v>199</v>
      </c>
      <c r="BO7" s="228">
        <v>134</v>
      </c>
      <c r="BP7" s="229">
        <v>0.67579999999999996</v>
      </c>
      <c r="BQ7" s="230">
        <v>1996</v>
      </c>
      <c r="BR7" s="228">
        <v>968</v>
      </c>
      <c r="BS7" s="230">
        <v>1028</v>
      </c>
      <c r="BT7" s="229">
        <v>1.0624</v>
      </c>
      <c r="BU7" s="230">
        <v>6882094</v>
      </c>
      <c r="BV7" s="230">
        <v>3641409</v>
      </c>
      <c r="BW7" s="230">
        <v>3240685</v>
      </c>
      <c r="BX7" s="229">
        <v>0.89</v>
      </c>
      <c r="BY7" s="230">
        <v>2052</v>
      </c>
      <c r="BZ7" s="230">
        <v>1986</v>
      </c>
      <c r="CA7" s="228">
        <v>66</v>
      </c>
      <c r="CB7" s="229">
        <v>3.3099999999999997E-2</v>
      </c>
      <c r="CC7" s="230">
        <v>1698</v>
      </c>
      <c r="CD7" s="230">
        <v>1652</v>
      </c>
      <c r="CE7" s="228">
        <v>46</v>
      </c>
      <c r="CF7" s="229">
        <v>2.7799999999999998E-2</v>
      </c>
      <c r="CG7" s="228">
        <v>346</v>
      </c>
      <c r="CH7" s="228">
        <v>327</v>
      </c>
      <c r="CI7" s="228">
        <v>19</v>
      </c>
      <c r="CJ7" s="229">
        <v>5.9200000000000003E-2</v>
      </c>
      <c r="CK7" s="228">
        <v>8</v>
      </c>
      <c r="CL7" s="228">
        <v>8</v>
      </c>
      <c r="CM7" s="228">
        <v>0</v>
      </c>
      <c r="CN7" s="229">
        <v>4.1099999999999998E-2</v>
      </c>
      <c r="CO7" s="228">
        <v>843</v>
      </c>
      <c r="CP7" s="228">
        <v>772</v>
      </c>
      <c r="CQ7" s="228">
        <v>71</v>
      </c>
      <c r="CR7" s="229">
        <v>9.1999999999999998E-2</v>
      </c>
      <c r="CS7" s="228">
        <v>466</v>
      </c>
      <c r="CT7" s="228">
        <v>447</v>
      </c>
      <c r="CU7" s="228">
        <v>18</v>
      </c>
      <c r="CV7" s="229">
        <v>4.1200000000000001E-2</v>
      </c>
      <c r="CW7" s="230">
        <v>3360</v>
      </c>
      <c r="CX7" s="230">
        <v>3205</v>
      </c>
      <c r="CY7" s="228">
        <v>155</v>
      </c>
      <c r="CZ7" s="229">
        <v>4.8399999999999999E-2</v>
      </c>
      <c r="DA7" s="228">
        <v>47.12</v>
      </c>
      <c r="DB7" s="228">
        <v>49.02</v>
      </c>
      <c r="DC7" s="228">
        <v>-1.9</v>
      </c>
      <c r="DD7" s="228">
        <v>-1.9</v>
      </c>
      <c r="DE7" s="228">
        <v>57.75</v>
      </c>
      <c r="DF7" s="228">
        <v>57.83</v>
      </c>
      <c r="DG7" s="228">
        <v>-10.63</v>
      </c>
      <c r="DH7" s="228">
        <v>-0.08</v>
      </c>
      <c r="DI7" s="228">
        <v>46.75</v>
      </c>
      <c r="DJ7" s="228">
        <v>48.62</v>
      </c>
      <c r="DK7" s="228">
        <v>-1.87</v>
      </c>
      <c r="DL7" s="228">
        <v>-1.87</v>
      </c>
      <c r="DM7" s="228">
        <v>48.44</v>
      </c>
      <c r="DN7" s="228">
        <v>50.13</v>
      </c>
      <c r="DO7" s="228">
        <v>-1.69</v>
      </c>
      <c r="DP7" s="228">
        <v>-1.69</v>
      </c>
      <c r="DQ7" s="228">
        <v>0.55000000000000004</v>
      </c>
      <c r="DR7" s="228">
        <v>0.57999999999999996</v>
      </c>
      <c r="DS7" s="228">
        <v>-0.03</v>
      </c>
      <c r="DT7" s="229">
        <v>-5.1700000000000003E-2</v>
      </c>
      <c r="DU7" s="231">
        <v>1000</v>
      </c>
      <c r="DV7" s="228">
        <v>860</v>
      </c>
      <c r="DW7" s="228">
        <v>0.28000000000000003</v>
      </c>
      <c r="DX7" s="228">
        <v>0.36</v>
      </c>
      <c r="DY7" s="228">
        <v>-0.08</v>
      </c>
      <c r="DZ7" s="229">
        <v>-0.22220000000000001</v>
      </c>
      <c r="EA7" s="229">
        <v>0.17269999999999999</v>
      </c>
      <c r="EB7" s="230">
        <v>3846000</v>
      </c>
      <c r="EC7" s="229">
        <v>7.1999999999999998E-3</v>
      </c>
      <c r="ED7" s="229">
        <v>0.17269999999999999</v>
      </c>
      <c r="EE7" s="228">
        <v>4.9800000000000004</v>
      </c>
      <c r="EF7" s="229">
        <v>5.7000000000000002E-3</v>
      </c>
      <c r="EG7" s="230">
        <v>3064033</v>
      </c>
      <c r="EH7" s="230">
        <v>1592957</v>
      </c>
      <c r="EI7" s="229">
        <v>0.92349999999999999</v>
      </c>
      <c r="EJ7" s="229">
        <v>0.44519999999999998</v>
      </c>
      <c r="EK7" s="231">
        <v>1271.96</v>
      </c>
      <c r="EL7" s="228">
        <v>334.69</v>
      </c>
      <c r="EM7" s="228">
        <v>474.7</v>
      </c>
      <c r="EN7" s="228">
        <v>66.03</v>
      </c>
      <c r="EO7" s="231">
        <v>2081.35</v>
      </c>
      <c r="EP7" s="231">
        <v>1011.21</v>
      </c>
      <c r="EQ7" s="231">
        <v>1070.1400000000001</v>
      </c>
      <c r="ER7" s="229">
        <v>1.0583</v>
      </c>
      <c r="ES7" s="228">
        <v>930.65</v>
      </c>
      <c r="ET7" s="228">
        <v>478.91</v>
      </c>
      <c r="EU7" s="231">
        <v>2054.39</v>
      </c>
      <c r="EV7" s="231">
        <v>92816927</v>
      </c>
      <c r="EW7" s="231">
        <v>3463.95</v>
      </c>
      <c r="EX7" s="231">
        <v>3264.72</v>
      </c>
      <c r="EY7" s="228">
        <v>199.23</v>
      </c>
      <c r="EZ7" s="229">
        <v>6.0999999999999999E-2</v>
      </c>
      <c r="FA7" s="229">
        <v>0.41620000000000001</v>
      </c>
      <c r="FB7" s="227" t="s">
        <v>555</v>
      </c>
      <c r="FC7">
        <f t="shared" si="0"/>
        <v>354</v>
      </c>
    </row>
    <row r="8" spans="1:159" ht="17.25" hidden="1" thickBot="1" x14ac:dyDescent="0.3">
      <c r="A8" s="226">
        <v>46093</v>
      </c>
      <c r="B8" s="227" t="s">
        <v>215</v>
      </c>
      <c r="C8" s="227" t="s">
        <v>160</v>
      </c>
      <c r="D8" s="228">
        <v>475</v>
      </c>
      <c r="E8" s="228">
        <v>18</v>
      </c>
      <c r="F8" s="231">
        <v>1397</v>
      </c>
      <c r="G8" s="231">
        <v>1415.5</v>
      </c>
      <c r="H8" s="228">
        <v>-18.5</v>
      </c>
      <c r="I8" s="229">
        <v>-1.3100000000000001E-2</v>
      </c>
      <c r="J8" s="231">
        <v>1391.5</v>
      </c>
      <c r="K8" s="231">
        <v>1410.8</v>
      </c>
      <c r="L8" s="228">
        <v>-19.3</v>
      </c>
      <c r="M8" s="229">
        <v>-1.37E-2</v>
      </c>
      <c r="N8" s="231">
        <v>1397</v>
      </c>
      <c r="O8" s="231">
        <v>1415.5</v>
      </c>
      <c r="P8" s="228">
        <v>-18.5</v>
      </c>
      <c r="Q8" s="229">
        <v>-1.3100000000000001E-2</v>
      </c>
      <c r="R8" s="231">
        <v>1405.8</v>
      </c>
      <c r="S8" s="231">
        <v>1424.7</v>
      </c>
      <c r="T8" s="228">
        <v>-18.899999999999999</v>
      </c>
      <c r="U8" s="229">
        <v>-1.3299999999999999E-2</v>
      </c>
      <c r="V8" s="231">
        <v>1411.8</v>
      </c>
      <c r="W8" s="231">
        <v>1431</v>
      </c>
      <c r="X8" s="228">
        <v>-19.2</v>
      </c>
      <c r="Y8" s="229">
        <v>-1.34E-2</v>
      </c>
      <c r="Z8" s="228">
        <v>5.5</v>
      </c>
      <c r="AA8" s="228">
        <v>4.7</v>
      </c>
      <c r="AB8" s="228">
        <v>0.8</v>
      </c>
      <c r="AC8" s="229">
        <v>4.0000000000000001E-3</v>
      </c>
      <c r="AD8" s="228">
        <v>5.5</v>
      </c>
      <c r="AE8" s="228">
        <v>4.7</v>
      </c>
      <c r="AF8" s="228">
        <v>0.8</v>
      </c>
      <c r="AG8" s="229">
        <v>4.0000000000000001E-3</v>
      </c>
      <c r="AH8" s="228">
        <v>14.3</v>
      </c>
      <c r="AI8" s="228">
        <v>13.9</v>
      </c>
      <c r="AJ8" s="228">
        <v>0.4</v>
      </c>
      <c r="AK8" s="229">
        <v>1.03E-2</v>
      </c>
      <c r="AL8" s="228">
        <v>20.3</v>
      </c>
      <c r="AM8" s="228">
        <v>20.2</v>
      </c>
      <c r="AN8" s="228">
        <v>0.1</v>
      </c>
      <c r="AO8" s="229">
        <v>1.46E-2</v>
      </c>
      <c r="AP8" s="231">
        <v>1402.47</v>
      </c>
      <c r="AQ8" s="231">
        <v>1409.55</v>
      </c>
      <c r="AR8" s="228">
        <v>0</v>
      </c>
      <c r="AS8" s="228">
        <v>393</v>
      </c>
      <c r="AT8" s="228">
        <v>485</v>
      </c>
      <c r="AU8" s="228">
        <v>-91</v>
      </c>
      <c r="AV8" s="229">
        <v>-0.1885</v>
      </c>
      <c r="AW8" s="228">
        <v>362</v>
      </c>
      <c r="AX8" s="228">
        <v>449</v>
      </c>
      <c r="AY8" s="228">
        <v>-87</v>
      </c>
      <c r="AZ8" s="229">
        <v>-0.19389999999999999</v>
      </c>
      <c r="BA8" s="228">
        <v>27</v>
      </c>
      <c r="BB8" s="228">
        <v>32</v>
      </c>
      <c r="BC8" s="228">
        <v>-5</v>
      </c>
      <c r="BD8" s="229">
        <v>-0.14410000000000001</v>
      </c>
      <c r="BE8" s="228">
        <v>4</v>
      </c>
      <c r="BF8" s="228">
        <v>4</v>
      </c>
      <c r="BG8" s="228">
        <v>0</v>
      </c>
      <c r="BH8" s="229">
        <v>9.2600000000000002E-2</v>
      </c>
      <c r="BI8" s="230">
        <v>1299</v>
      </c>
      <c r="BJ8" s="230">
        <v>1313</v>
      </c>
      <c r="BK8" s="228">
        <v>-14</v>
      </c>
      <c r="BL8" s="229">
        <v>-1.09E-2</v>
      </c>
      <c r="BM8" s="230">
        <v>1219</v>
      </c>
      <c r="BN8" s="230">
        <v>1188</v>
      </c>
      <c r="BO8" s="228">
        <v>30</v>
      </c>
      <c r="BP8" s="229">
        <v>2.5499999999999998E-2</v>
      </c>
      <c r="BQ8" s="230">
        <v>2911</v>
      </c>
      <c r="BR8" s="230">
        <v>2986</v>
      </c>
      <c r="BS8" s="228">
        <v>-75</v>
      </c>
      <c r="BT8" s="229">
        <v>-2.53E-2</v>
      </c>
      <c r="BU8" s="230">
        <v>2862980</v>
      </c>
      <c r="BV8" s="230">
        <v>2315752</v>
      </c>
      <c r="BW8" s="230">
        <v>547228</v>
      </c>
      <c r="BX8" s="229">
        <v>0.23630000000000001</v>
      </c>
      <c r="BY8" s="230">
        <v>3071</v>
      </c>
      <c r="BZ8" s="230">
        <v>3041</v>
      </c>
      <c r="CA8" s="228">
        <v>30</v>
      </c>
      <c r="CB8" s="229">
        <v>9.7000000000000003E-3</v>
      </c>
      <c r="CC8" s="230">
        <v>2932</v>
      </c>
      <c r="CD8" s="230">
        <v>2906</v>
      </c>
      <c r="CE8" s="228">
        <v>26</v>
      </c>
      <c r="CF8" s="229">
        <v>8.9999999999999993E-3</v>
      </c>
      <c r="CG8" s="228">
        <v>113</v>
      </c>
      <c r="CH8" s="228">
        <v>110</v>
      </c>
      <c r="CI8" s="228">
        <v>3</v>
      </c>
      <c r="CJ8" s="229">
        <v>2.7799999999999998E-2</v>
      </c>
      <c r="CK8" s="228">
        <v>25</v>
      </c>
      <c r="CL8" s="228">
        <v>25</v>
      </c>
      <c r="CM8" s="228">
        <v>1</v>
      </c>
      <c r="CN8" s="229">
        <v>2.1399999999999999E-2</v>
      </c>
      <c r="CO8" s="230">
        <v>1237</v>
      </c>
      <c r="CP8" s="230">
        <v>1189</v>
      </c>
      <c r="CQ8" s="228">
        <v>47</v>
      </c>
      <c r="CR8" s="229">
        <v>3.9600000000000003E-2</v>
      </c>
      <c r="CS8" s="228">
        <v>979</v>
      </c>
      <c r="CT8" s="230">
        <v>1013</v>
      </c>
      <c r="CU8" s="228">
        <v>-34</v>
      </c>
      <c r="CV8" s="229">
        <v>-3.32E-2</v>
      </c>
      <c r="CW8" s="230">
        <v>5286</v>
      </c>
      <c r="CX8" s="230">
        <v>5243</v>
      </c>
      <c r="CY8" s="228">
        <v>43</v>
      </c>
      <c r="CZ8" s="229">
        <v>8.2000000000000007E-3</v>
      </c>
      <c r="DA8" s="228">
        <v>39.36</v>
      </c>
      <c r="DB8" s="228">
        <v>39.729999999999997</v>
      </c>
      <c r="DC8" s="228">
        <v>-0.37</v>
      </c>
      <c r="DD8" s="228">
        <v>-0.37</v>
      </c>
      <c r="DE8" s="228">
        <v>39.020000000000003</v>
      </c>
      <c r="DF8" s="228">
        <v>39.07</v>
      </c>
      <c r="DG8" s="228">
        <v>0.34</v>
      </c>
      <c r="DH8" s="228">
        <v>-0.05</v>
      </c>
      <c r="DI8" s="228">
        <v>38.200000000000003</v>
      </c>
      <c r="DJ8" s="228">
        <v>38.520000000000003</v>
      </c>
      <c r="DK8" s="228">
        <v>-0.32</v>
      </c>
      <c r="DL8" s="228">
        <v>-0.32</v>
      </c>
      <c r="DM8" s="228">
        <v>40.61</v>
      </c>
      <c r="DN8" s="228">
        <v>41.07</v>
      </c>
      <c r="DO8" s="228">
        <v>-0.46</v>
      </c>
      <c r="DP8" s="228">
        <v>-0.46</v>
      </c>
      <c r="DQ8" s="228">
        <v>0.79</v>
      </c>
      <c r="DR8" s="228">
        <v>0.85</v>
      </c>
      <c r="DS8" s="228">
        <v>-0.06</v>
      </c>
      <c r="DT8" s="229">
        <v>-7.0599999999999996E-2</v>
      </c>
      <c r="DU8" s="231">
        <v>1600</v>
      </c>
      <c r="DV8" s="231">
        <v>1500</v>
      </c>
      <c r="DW8" s="228">
        <v>0.94</v>
      </c>
      <c r="DX8" s="228">
        <v>0.91</v>
      </c>
      <c r="DY8" s="228">
        <v>0.03</v>
      </c>
      <c r="DZ8" s="229">
        <v>3.3000000000000002E-2</v>
      </c>
      <c r="EA8" s="229">
        <v>4.5100000000000001E-2</v>
      </c>
      <c r="EB8" s="230">
        <v>964725</v>
      </c>
      <c r="EC8" s="229">
        <v>6.3E-3</v>
      </c>
      <c r="ED8" s="229">
        <v>4.5100000000000001E-2</v>
      </c>
      <c r="EE8" s="228">
        <v>7.08</v>
      </c>
      <c r="EF8" s="229">
        <v>5.0000000000000001E-3</v>
      </c>
      <c r="EG8" s="230">
        <v>1256343</v>
      </c>
      <c r="EH8" s="230">
        <v>1016503</v>
      </c>
      <c r="EI8" s="229">
        <v>0.2359</v>
      </c>
      <c r="EJ8" s="229">
        <v>0.43880000000000002</v>
      </c>
      <c r="EK8" s="231">
        <v>1400.97</v>
      </c>
      <c r="EL8" s="231">
        <v>1218.9000000000001</v>
      </c>
      <c r="EM8" s="228">
        <v>395.02</v>
      </c>
      <c r="EN8" s="228">
        <v>78.3</v>
      </c>
      <c r="EO8" s="231">
        <v>3014.89</v>
      </c>
      <c r="EP8" s="231">
        <v>3145.93</v>
      </c>
      <c r="EQ8" s="228">
        <v>-131.04</v>
      </c>
      <c r="ER8" s="229">
        <v>-4.1700000000000001E-2</v>
      </c>
      <c r="ES8" s="231">
        <v>1371.45</v>
      </c>
      <c r="ET8" s="228">
        <v>990.69</v>
      </c>
      <c r="EU8" s="231">
        <v>3071.61</v>
      </c>
      <c r="EV8" s="231">
        <v>84394936</v>
      </c>
      <c r="EW8" s="231">
        <v>5433.75</v>
      </c>
      <c r="EX8" s="231">
        <v>5435.4</v>
      </c>
      <c r="EY8" s="228">
        <v>-1.65</v>
      </c>
      <c r="EZ8" s="229">
        <v>-2.9999999999999997E-4</v>
      </c>
      <c r="FA8" s="229">
        <v>0.44840000000000002</v>
      </c>
      <c r="FB8" s="227" t="s">
        <v>567</v>
      </c>
      <c r="FC8">
        <f t="shared" si="0"/>
        <v>139</v>
      </c>
    </row>
    <row r="9" spans="1:159" ht="17.25" hidden="1" thickBot="1" x14ac:dyDescent="0.3">
      <c r="A9" s="226">
        <v>46093</v>
      </c>
      <c r="B9" s="227" t="s">
        <v>170</v>
      </c>
      <c r="C9" s="227" t="s">
        <v>497</v>
      </c>
      <c r="D9" s="228">
        <v>125</v>
      </c>
      <c r="E9" s="228">
        <v>18</v>
      </c>
      <c r="F9" s="231">
        <v>5466</v>
      </c>
      <c r="G9" s="231">
        <v>5560.5</v>
      </c>
      <c r="H9" s="228">
        <v>-94.5</v>
      </c>
      <c r="I9" s="229">
        <v>-1.7000000000000001E-2</v>
      </c>
      <c r="J9" s="231">
        <v>5444</v>
      </c>
      <c r="K9" s="231">
        <v>5544.5</v>
      </c>
      <c r="L9" s="228">
        <v>-100.5</v>
      </c>
      <c r="M9" s="229">
        <v>-1.8100000000000002E-2</v>
      </c>
      <c r="N9" s="231">
        <v>5466</v>
      </c>
      <c r="O9" s="231">
        <v>5560.5</v>
      </c>
      <c r="P9" s="228">
        <v>-94.5</v>
      </c>
      <c r="Q9" s="229">
        <v>-1.7000000000000001E-2</v>
      </c>
      <c r="R9" s="231">
        <v>5500.5</v>
      </c>
      <c r="S9" s="231">
        <v>5590.5</v>
      </c>
      <c r="T9" s="228">
        <v>-90</v>
      </c>
      <c r="U9" s="229">
        <v>-1.61E-2</v>
      </c>
      <c r="V9" s="231">
        <v>5534</v>
      </c>
      <c r="W9" s="231">
        <v>5630</v>
      </c>
      <c r="X9" s="228">
        <v>-96</v>
      </c>
      <c r="Y9" s="229">
        <v>-1.7100000000000001E-2</v>
      </c>
      <c r="Z9" s="228">
        <v>22</v>
      </c>
      <c r="AA9" s="228">
        <v>16</v>
      </c>
      <c r="AB9" s="228">
        <v>6</v>
      </c>
      <c r="AC9" s="229">
        <v>4.0000000000000001E-3</v>
      </c>
      <c r="AD9" s="228">
        <v>22</v>
      </c>
      <c r="AE9" s="228">
        <v>16</v>
      </c>
      <c r="AF9" s="228">
        <v>6</v>
      </c>
      <c r="AG9" s="229">
        <v>4.0000000000000001E-3</v>
      </c>
      <c r="AH9" s="228">
        <v>56.5</v>
      </c>
      <c r="AI9" s="228">
        <v>46</v>
      </c>
      <c r="AJ9" s="228">
        <v>10.5</v>
      </c>
      <c r="AK9" s="229">
        <v>1.04E-2</v>
      </c>
      <c r="AL9" s="228">
        <v>90</v>
      </c>
      <c r="AM9" s="228">
        <v>85.5</v>
      </c>
      <c r="AN9" s="228">
        <v>4.5</v>
      </c>
      <c r="AO9" s="229">
        <v>1.6500000000000001E-2</v>
      </c>
      <c r="AP9" s="231">
        <v>5476.95</v>
      </c>
      <c r="AQ9" s="231">
        <v>5504.71</v>
      </c>
      <c r="AR9" s="228">
        <v>0</v>
      </c>
      <c r="AS9" s="228">
        <v>87</v>
      </c>
      <c r="AT9" s="228">
        <v>63</v>
      </c>
      <c r="AU9" s="228">
        <v>24</v>
      </c>
      <c r="AV9" s="229">
        <v>0.39079999999999998</v>
      </c>
      <c r="AW9" s="228">
        <v>82</v>
      </c>
      <c r="AX9" s="228">
        <v>60</v>
      </c>
      <c r="AY9" s="228">
        <v>22</v>
      </c>
      <c r="AZ9" s="229">
        <v>0.36930000000000002</v>
      </c>
      <c r="BA9" s="228">
        <v>5</v>
      </c>
      <c r="BB9" s="228">
        <v>2</v>
      </c>
      <c r="BC9" s="228">
        <v>2</v>
      </c>
      <c r="BD9" s="229">
        <v>1.0606</v>
      </c>
      <c r="BE9" s="228">
        <v>0</v>
      </c>
      <c r="BF9" s="228">
        <v>0</v>
      </c>
      <c r="BG9" s="228">
        <v>0</v>
      </c>
      <c r="BH9" s="229">
        <v>-0.66669999999999996</v>
      </c>
      <c r="BI9" s="228">
        <v>115</v>
      </c>
      <c r="BJ9" s="228">
        <v>174</v>
      </c>
      <c r="BK9" s="228">
        <v>-59</v>
      </c>
      <c r="BL9" s="229">
        <v>-0.33910000000000001</v>
      </c>
      <c r="BM9" s="228">
        <v>54</v>
      </c>
      <c r="BN9" s="228">
        <v>44</v>
      </c>
      <c r="BO9" s="228">
        <v>10</v>
      </c>
      <c r="BP9" s="229">
        <v>0.23089999999999999</v>
      </c>
      <c r="BQ9" s="228">
        <v>256</v>
      </c>
      <c r="BR9" s="228">
        <v>280</v>
      </c>
      <c r="BS9" s="228">
        <v>-24</v>
      </c>
      <c r="BT9" s="229">
        <v>-8.6999999999999994E-2</v>
      </c>
      <c r="BU9" s="230">
        <v>126575</v>
      </c>
      <c r="BV9" s="230">
        <v>170147</v>
      </c>
      <c r="BW9" s="230">
        <v>-43572</v>
      </c>
      <c r="BX9" s="229">
        <v>-0.25609999999999999</v>
      </c>
      <c r="BY9" s="228">
        <v>691</v>
      </c>
      <c r="BZ9" s="228">
        <v>682</v>
      </c>
      <c r="CA9" s="228">
        <v>9</v>
      </c>
      <c r="CB9" s="229">
        <v>1.3599999999999999E-2</v>
      </c>
      <c r="CC9" s="228">
        <v>687</v>
      </c>
      <c r="CD9" s="228">
        <v>678</v>
      </c>
      <c r="CE9" s="228">
        <v>9</v>
      </c>
      <c r="CF9" s="229">
        <v>1.2699999999999999E-2</v>
      </c>
      <c r="CG9" s="228">
        <v>4</v>
      </c>
      <c r="CH9" s="228">
        <v>4</v>
      </c>
      <c r="CI9" s="228">
        <v>1</v>
      </c>
      <c r="CJ9" s="229">
        <v>0.20369999999999999</v>
      </c>
      <c r="CK9" s="228">
        <v>0</v>
      </c>
      <c r="CL9" s="228">
        <v>0</v>
      </c>
      <c r="CM9" s="228">
        <v>0</v>
      </c>
      <c r="CN9" s="229">
        <v>-0.33329999999999999</v>
      </c>
      <c r="CO9" s="228">
        <v>129</v>
      </c>
      <c r="CP9" s="228">
        <v>127</v>
      </c>
      <c r="CQ9" s="228">
        <v>2</v>
      </c>
      <c r="CR9" s="229">
        <v>1.29E-2</v>
      </c>
      <c r="CS9" s="228">
        <v>90</v>
      </c>
      <c r="CT9" s="228">
        <v>81</v>
      </c>
      <c r="CU9" s="228">
        <v>9</v>
      </c>
      <c r="CV9" s="229">
        <v>0.1089</v>
      </c>
      <c r="CW9" s="228">
        <v>910</v>
      </c>
      <c r="CX9" s="228">
        <v>890</v>
      </c>
      <c r="CY9" s="228">
        <v>20</v>
      </c>
      <c r="CZ9" s="229">
        <v>2.2200000000000001E-2</v>
      </c>
      <c r="DA9" s="228">
        <v>26.29</v>
      </c>
      <c r="DB9" s="228">
        <v>25.95</v>
      </c>
      <c r="DC9" s="228">
        <v>0.34</v>
      </c>
      <c r="DD9" s="228">
        <v>0.34</v>
      </c>
      <c r="DE9" s="228">
        <v>28.18</v>
      </c>
      <c r="DF9" s="228">
        <v>28.15</v>
      </c>
      <c r="DG9" s="228">
        <v>-1.89</v>
      </c>
      <c r="DH9" s="228">
        <v>0.03</v>
      </c>
      <c r="DI9" s="228">
        <v>25.67</v>
      </c>
      <c r="DJ9" s="228">
        <v>25.7</v>
      </c>
      <c r="DK9" s="228">
        <v>-0.03</v>
      </c>
      <c r="DL9" s="228">
        <v>-0.03</v>
      </c>
      <c r="DM9" s="228">
        <v>27.6</v>
      </c>
      <c r="DN9" s="228">
        <v>26.9</v>
      </c>
      <c r="DO9" s="228">
        <v>0.7</v>
      </c>
      <c r="DP9" s="228">
        <v>0.7</v>
      </c>
      <c r="DQ9" s="228">
        <v>0.7</v>
      </c>
      <c r="DR9" s="228">
        <v>0.64</v>
      </c>
      <c r="DS9" s="228">
        <v>0.06</v>
      </c>
      <c r="DT9" s="229">
        <v>9.3700000000000006E-2</v>
      </c>
      <c r="DU9" s="231">
        <v>6000</v>
      </c>
      <c r="DV9" s="231">
        <v>5500</v>
      </c>
      <c r="DW9" s="228">
        <v>0.47</v>
      </c>
      <c r="DX9" s="228">
        <v>0.25</v>
      </c>
      <c r="DY9" s="228">
        <v>0.22</v>
      </c>
      <c r="DZ9" s="229">
        <v>0.88</v>
      </c>
      <c r="EA9" s="229">
        <v>6.6E-3</v>
      </c>
      <c r="EB9" s="230">
        <v>7125</v>
      </c>
      <c r="EC9" s="229">
        <v>6.3E-3</v>
      </c>
      <c r="ED9" s="229">
        <v>6.6E-3</v>
      </c>
      <c r="EE9" s="228">
        <v>27.76</v>
      </c>
      <c r="EF9" s="229">
        <v>5.1000000000000004E-3</v>
      </c>
      <c r="EG9" s="230">
        <v>70806</v>
      </c>
      <c r="EH9" s="230">
        <v>106667</v>
      </c>
      <c r="EI9" s="229">
        <v>-0.3362</v>
      </c>
      <c r="EJ9" s="229">
        <v>0.55940000000000001</v>
      </c>
      <c r="EK9" s="228">
        <v>122.17</v>
      </c>
      <c r="EL9" s="228">
        <v>54.22</v>
      </c>
      <c r="EM9" s="228">
        <v>87.24</v>
      </c>
      <c r="EN9" s="228">
        <v>9.5399999999999991</v>
      </c>
      <c r="EO9" s="228">
        <v>263.64</v>
      </c>
      <c r="EP9" s="228">
        <v>293.35000000000002</v>
      </c>
      <c r="EQ9" s="228">
        <v>-29.71</v>
      </c>
      <c r="ER9" s="229">
        <v>-0.1013</v>
      </c>
      <c r="ES9" s="228">
        <v>136.65</v>
      </c>
      <c r="ET9" s="228">
        <v>89.32</v>
      </c>
      <c r="EU9" s="228">
        <v>691.27</v>
      </c>
      <c r="EV9" s="231">
        <v>7334235</v>
      </c>
      <c r="EW9" s="228">
        <v>917.24</v>
      </c>
      <c r="EX9" s="228">
        <v>909.26</v>
      </c>
      <c r="EY9" s="228">
        <v>7.98</v>
      </c>
      <c r="EZ9" s="229">
        <v>8.8000000000000005E-3</v>
      </c>
      <c r="FA9" s="229">
        <v>0.22689999999999999</v>
      </c>
      <c r="FB9" s="227" t="s">
        <v>567</v>
      </c>
      <c r="FC9">
        <f t="shared" si="0"/>
        <v>4</v>
      </c>
    </row>
    <row r="10" spans="1:159" ht="17.25" hidden="1" thickBot="1" x14ac:dyDescent="0.3">
      <c r="A10" s="226">
        <v>46093</v>
      </c>
      <c r="B10" s="227" t="s">
        <v>184</v>
      </c>
      <c r="C10" s="227" t="s">
        <v>680</v>
      </c>
      <c r="D10" s="228">
        <v>100</v>
      </c>
      <c r="E10" s="228">
        <v>18</v>
      </c>
      <c r="F10" s="231">
        <v>6953.5</v>
      </c>
      <c r="G10" s="231">
        <v>7297</v>
      </c>
      <c r="H10" s="228">
        <v>-343.5</v>
      </c>
      <c r="I10" s="229">
        <v>-4.7100000000000003E-2</v>
      </c>
      <c r="J10" s="231">
        <v>6929.5</v>
      </c>
      <c r="K10" s="231">
        <v>7308</v>
      </c>
      <c r="L10" s="228">
        <v>-378.5</v>
      </c>
      <c r="M10" s="229">
        <v>-5.1799999999999999E-2</v>
      </c>
      <c r="N10" s="231">
        <v>6953.5</v>
      </c>
      <c r="O10" s="231">
        <v>7297</v>
      </c>
      <c r="P10" s="228">
        <v>-343.5</v>
      </c>
      <c r="Q10" s="229">
        <v>-4.7100000000000003E-2</v>
      </c>
      <c r="R10" s="231">
        <v>6937</v>
      </c>
      <c r="S10" s="231">
        <v>7258</v>
      </c>
      <c r="T10" s="228">
        <v>-321</v>
      </c>
      <c r="U10" s="229">
        <v>-4.4200000000000003E-2</v>
      </c>
      <c r="V10" s="231">
        <v>6939</v>
      </c>
      <c r="W10" s="231">
        <v>7374</v>
      </c>
      <c r="X10" s="228">
        <v>-435</v>
      </c>
      <c r="Y10" s="229">
        <v>-5.8999999999999997E-2</v>
      </c>
      <c r="Z10" s="228">
        <v>24</v>
      </c>
      <c r="AA10" s="228">
        <v>-11</v>
      </c>
      <c r="AB10" s="228">
        <v>35</v>
      </c>
      <c r="AC10" s="229">
        <v>3.5000000000000001E-3</v>
      </c>
      <c r="AD10" s="228">
        <v>24</v>
      </c>
      <c r="AE10" s="228">
        <v>-11</v>
      </c>
      <c r="AF10" s="228">
        <v>35</v>
      </c>
      <c r="AG10" s="229">
        <v>3.5000000000000001E-3</v>
      </c>
      <c r="AH10" s="228">
        <v>7.5</v>
      </c>
      <c r="AI10" s="228">
        <v>-50</v>
      </c>
      <c r="AJ10" s="228">
        <v>57.5</v>
      </c>
      <c r="AK10" s="229">
        <v>1.1000000000000001E-3</v>
      </c>
      <c r="AL10" s="228">
        <v>9.5</v>
      </c>
      <c r="AM10" s="228">
        <v>66</v>
      </c>
      <c r="AN10" s="228">
        <v>-56.5</v>
      </c>
      <c r="AO10" s="229">
        <v>1.4E-3</v>
      </c>
      <c r="AP10" s="231">
        <v>7017.22</v>
      </c>
      <c r="AQ10" s="231">
        <v>6979.75</v>
      </c>
      <c r="AR10" s="228">
        <v>0</v>
      </c>
      <c r="AS10" s="228">
        <v>555</v>
      </c>
      <c r="AT10" s="228">
        <v>243</v>
      </c>
      <c r="AU10" s="228">
        <v>313</v>
      </c>
      <c r="AV10" s="229">
        <v>1.2875000000000001</v>
      </c>
      <c r="AW10" s="228">
        <v>521</v>
      </c>
      <c r="AX10" s="228">
        <v>232</v>
      </c>
      <c r="AY10" s="228">
        <v>290</v>
      </c>
      <c r="AZ10" s="229">
        <v>1.2496</v>
      </c>
      <c r="BA10" s="228">
        <v>33</v>
      </c>
      <c r="BB10" s="228">
        <v>11</v>
      </c>
      <c r="BC10" s="228">
        <v>22</v>
      </c>
      <c r="BD10" s="229">
        <v>2.0190000000000001</v>
      </c>
      <c r="BE10" s="228">
        <v>1</v>
      </c>
      <c r="BF10" s="228">
        <v>0</v>
      </c>
      <c r="BG10" s="228">
        <v>1</v>
      </c>
      <c r="BH10" s="229">
        <v>12</v>
      </c>
      <c r="BI10" s="230">
        <v>1524</v>
      </c>
      <c r="BJ10" s="228">
        <v>983</v>
      </c>
      <c r="BK10" s="228">
        <v>540</v>
      </c>
      <c r="BL10" s="229">
        <v>0.54959999999999998</v>
      </c>
      <c r="BM10" s="230">
        <v>1227</v>
      </c>
      <c r="BN10" s="228">
        <v>382</v>
      </c>
      <c r="BO10" s="228">
        <v>845</v>
      </c>
      <c r="BP10" s="229">
        <v>2.2136</v>
      </c>
      <c r="BQ10" s="230">
        <v>3306</v>
      </c>
      <c r="BR10" s="230">
        <v>1608</v>
      </c>
      <c r="BS10" s="230">
        <v>1698</v>
      </c>
      <c r="BT10" s="229">
        <v>1.0562</v>
      </c>
      <c r="BU10" s="230">
        <v>803550</v>
      </c>
      <c r="BV10" s="230">
        <v>256873</v>
      </c>
      <c r="BW10" s="230">
        <v>546677</v>
      </c>
      <c r="BX10" s="229">
        <v>2.1282000000000001</v>
      </c>
      <c r="BY10" s="228">
        <v>860</v>
      </c>
      <c r="BZ10" s="228">
        <v>772</v>
      </c>
      <c r="CA10" s="228">
        <v>88</v>
      </c>
      <c r="CB10" s="229">
        <v>0.1137</v>
      </c>
      <c r="CC10" s="228">
        <v>815</v>
      </c>
      <c r="CD10" s="228">
        <v>734</v>
      </c>
      <c r="CE10" s="228">
        <v>82</v>
      </c>
      <c r="CF10" s="229">
        <v>0.1114</v>
      </c>
      <c r="CG10" s="228">
        <v>43</v>
      </c>
      <c r="CH10" s="228">
        <v>37</v>
      </c>
      <c r="CI10" s="228">
        <v>6</v>
      </c>
      <c r="CJ10" s="229">
        <v>0.14979999999999999</v>
      </c>
      <c r="CK10" s="228">
        <v>2</v>
      </c>
      <c r="CL10" s="228">
        <v>1</v>
      </c>
      <c r="CM10" s="228">
        <v>1</v>
      </c>
      <c r="CN10" s="229">
        <v>0.4</v>
      </c>
      <c r="CO10" s="228">
        <v>816</v>
      </c>
      <c r="CP10" s="228">
        <v>688</v>
      </c>
      <c r="CQ10" s="228">
        <v>128</v>
      </c>
      <c r="CR10" s="229">
        <v>0.18559999999999999</v>
      </c>
      <c r="CS10" s="228">
        <v>432</v>
      </c>
      <c r="CT10" s="228">
        <v>400</v>
      </c>
      <c r="CU10" s="228">
        <v>32</v>
      </c>
      <c r="CV10" s="229">
        <v>7.9899999999999999E-2</v>
      </c>
      <c r="CW10" s="230">
        <v>2108</v>
      </c>
      <c r="CX10" s="230">
        <v>1861</v>
      </c>
      <c r="CY10" s="228">
        <v>248</v>
      </c>
      <c r="CZ10" s="229">
        <v>0.13300000000000001</v>
      </c>
      <c r="DA10" s="228">
        <v>50.13</v>
      </c>
      <c r="DB10" s="228">
        <v>48.17</v>
      </c>
      <c r="DC10" s="228">
        <v>1.96</v>
      </c>
      <c r="DD10" s="228">
        <v>1.96</v>
      </c>
      <c r="DE10" s="228">
        <v>51.72</v>
      </c>
      <c r="DF10" s="228">
        <v>51.37</v>
      </c>
      <c r="DG10" s="228">
        <v>-1.59</v>
      </c>
      <c r="DH10" s="228">
        <v>0.35</v>
      </c>
      <c r="DI10" s="228">
        <v>49.34</v>
      </c>
      <c r="DJ10" s="228">
        <v>46.71</v>
      </c>
      <c r="DK10" s="228">
        <v>2.63</v>
      </c>
      <c r="DL10" s="228">
        <v>2.63</v>
      </c>
      <c r="DM10" s="228">
        <v>51.1</v>
      </c>
      <c r="DN10" s="228">
        <v>51.93</v>
      </c>
      <c r="DO10" s="228">
        <v>-0.83</v>
      </c>
      <c r="DP10" s="228">
        <v>-0.83</v>
      </c>
      <c r="DQ10" s="228">
        <v>0.53</v>
      </c>
      <c r="DR10" s="228">
        <v>0.57999999999999996</v>
      </c>
      <c r="DS10" s="228">
        <v>-0.05</v>
      </c>
      <c r="DT10" s="229">
        <v>-8.6199999999999999E-2</v>
      </c>
      <c r="DU10" s="231">
        <v>8500</v>
      </c>
      <c r="DV10" s="231">
        <v>7500</v>
      </c>
      <c r="DW10" s="228">
        <v>0.81</v>
      </c>
      <c r="DX10" s="228">
        <v>0.39</v>
      </c>
      <c r="DY10" s="228">
        <v>0.42</v>
      </c>
      <c r="DZ10" s="229">
        <v>1.0769</v>
      </c>
      <c r="EA10" s="229">
        <v>5.1900000000000002E-2</v>
      </c>
      <c r="EB10" s="230">
        <v>55400</v>
      </c>
      <c r="EC10" s="229">
        <v>-2.3999999999999998E-3</v>
      </c>
      <c r="ED10" s="229">
        <v>5.1900000000000002E-2</v>
      </c>
      <c r="EE10" s="228">
        <v>-37.47</v>
      </c>
      <c r="EF10" s="229">
        <v>-5.3E-3</v>
      </c>
      <c r="EG10" s="230">
        <v>289349</v>
      </c>
      <c r="EH10" s="230">
        <v>68244</v>
      </c>
      <c r="EI10" s="229">
        <v>3.2399</v>
      </c>
      <c r="EJ10" s="229">
        <v>0.36009999999999998</v>
      </c>
      <c r="EK10" s="231">
        <v>1735.51</v>
      </c>
      <c r="EL10" s="231">
        <v>1234.74</v>
      </c>
      <c r="EM10" s="228">
        <v>560.35</v>
      </c>
      <c r="EN10" s="228">
        <v>60.76</v>
      </c>
      <c r="EO10" s="231">
        <v>3530.6</v>
      </c>
      <c r="EP10" s="231">
        <v>1792.75</v>
      </c>
      <c r="EQ10" s="231">
        <v>1737.85</v>
      </c>
      <c r="ER10" s="229">
        <v>0.96940000000000004</v>
      </c>
      <c r="ES10" s="228">
        <v>933.72</v>
      </c>
      <c r="ET10" s="228">
        <v>442.18</v>
      </c>
      <c r="EU10" s="228">
        <v>859.97</v>
      </c>
      <c r="EV10" s="231">
        <v>3257355</v>
      </c>
      <c r="EW10" s="231">
        <v>2235.87</v>
      </c>
      <c r="EX10" s="231">
        <v>2025.42</v>
      </c>
      <c r="EY10" s="228">
        <v>210.45</v>
      </c>
      <c r="EZ10" s="229">
        <v>0.10390000000000001</v>
      </c>
      <c r="FA10" s="229">
        <v>0.93079999999999996</v>
      </c>
      <c r="FB10" s="227" t="s">
        <v>567</v>
      </c>
      <c r="FC10">
        <f t="shared" si="0"/>
        <v>45</v>
      </c>
    </row>
    <row r="11" spans="1:159" ht="17.25" hidden="1" thickBot="1" x14ac:dyDescent="0.3">
      <c r="A11" s="226">
        <v>46093</v>
      </c>
      <c r="B11" s="227" t="s">
        <v>157</v>
      </c>
      <c r="C11" s="227" t="s">
        <v>164</v>
      </c>
      <c r="D11" s="228">
        <v>1050</v>
      </c>
      <c r="E11" s="228">
        <v>18</v>
      </c>
      <c r="F11" s="228">
        <v>448.4</v>
      </c>
      <c r="G11" s="228">
        <v>458.45</v>
      </c>
      <c r="H11" s="228">
        <v>-10.050000000000001</v>
      </c>
      <c r="I11" s="229">
        <v>-2.1899999999999999E-2</v>
      </c>
      <c r="J11" s="228">
        <v>446.45</v>
      </c>
      <c r="K11" s="228">
        <v>457.8</v>
      </c>
      <c r="L11" s="228">
        <v>-11.35</v>
      </c>
      <c r="M11" s="229">
        <v>-2.4799999999999999E-2</v>
      </c>
      <c r="N11" s="228">
        <v>448.4</v>
      </c>
      <c r="O11" s="228">
        <v>458.45</v>
      </c>
      <c r="P11" s="228">
        <v>-10.050000000000001</v>
      </c>
      <c r="Q11" s="229">
        <v>-2.1899999999999999E-2</v>
      </c>
      <c r="R11" s="228">
        <v>451.15</v>
      </c>
      <c r="S11" s="228">
        <v>461.3</v>
      </c>
      <c r="T11" s="228">
        <v>-10.15</v>
      </c>
      <c r="U11" s="229">
        <v>-2.1999999999999999E-2</v>
      </c>
      <c r="V11" s="228">
        <v>453</v>
      </c>
      <c r="W11" s="228">
        <v>462.9</v>
      </c>
      <c r="X11" s="228">
        <v>-9.9</v>
      </c>
      <c r="Y11" s="229">
        <v>-2.1399999999999999E-2</v>
      </c>
      <c r="Z11" s="228">
        <v>1.95</v>
      </c>
      <c r="AA11" s="228">
        <v>0.65</v>
      </c>
      <c r="AB11" s="228">
        <v>1.3</v>
      </c>
      <c r="AC11" s="229">
        <v>4.4000000000000003E-3</v>
      </c>
      <c r="AD11" s="228">
        <v>1.95</v>
      </c>
      <c r="AE11" s="228">
        <v>0.65</v>
      </c>
      <c r="AF11" s="228">
        <v>1.3</v>
      </c>
      <c r="AG11" s="229">
        <v>4.4000000000000003E-3</v>
      </c>
      <c r="AH11" s="228">
        <v>4.7</v>
      </c>
      <c r="AI11" s="228">
        <v>3.5</v>
      </c>
      <c r="AJ11" s="228">
        <v>1.2</v>
      </c>
      <c r="AK11" s="229">
        <v>1.0500000000000001E-2</v>
      </c>
      <c r="AL11" s="228">
        <v>6.55</v>
      </c>
      <c r="AM11" s="228">
        <v>5.0999999999999996</v>
      </c>
      <c r="AN11" s="228">
        <v>1.45</v>
      </c>
      <c r="AO11" s="229">
        <v>1.47E-2</v>
      </c>
      <c r="AP11" s="228">
        <v>452.24</v>
      </c>
      <c r="AQ11" s="228">
        <v>455.46</v>
      </c>
      <c r="AR11" s="228">
        <v>0</v>
      </c>
      <c r="AS11" s="228">
        <v>330</v>
      </c>
      <c r="AT11" s="228">
        <v>182</v>
      </c>
      <c r="AU11" s="228">
        <v>148</v>
      </c>
      <c r="AV11" s="229">
        <v>0.81520000000000004</v>
      </c>
      <c r="AW11" s="228">
        <v>271</v>
      </c>
      <c r="AX11" s="228">
        <v>165</v>
      </c>
      <c r="AY11" s="228">
        <v>106</v>
      </c>
      <c r="AZ11" s="229">
        <v>0.64129999999999998</v>
      </c>
      <c r="BA11" s="228">
        <v>57</v>
      </c>
      <c r="BB11" s="228">
        <v>14</v>
      </c>
      <c r="BC11" s="228">
        <v>43</v>
      </c>
      <c r="BD11" s="229">
        <v>2.9510999999999998</v>
      </c>
      <c r="BE11" s="228">
        <v>2</v>
      </c>
      <c r="BF11" s="228">
        <v>2</v>
      </c>
      <c r="BG11" s="228">
        <v>0</v>
      </c>
      <c r="BH11" s="229">
        <v>-0.20449999999999999</v>
      </c>
      <c r="BI11" s="228">
        <v>304</v>
      </c>
      <c r="BJ11" s="228">
        <v>325</v>
      </c>
      <c r="BK11" s="228">
        <v>-21</v>
      </c>
      <c r="BL11" s="229">
        <v>-6.4100000000000004E-2</v>
      </c>
      <c r="BM11" s="228">
        <v>140</v>
      </c>
      <c r="BN11" s="228">
        <v>148</v>
      </c>
      <c r="BO11" s="228">
        <v>-8</v>
      </c>
      <c r="BP11" s="229">
        <v>-5.3699999999999998E-2</v>
      </c>
      <c r="BQ11" s="228">
        <v>774</v>
      </c>
      <c r="BR11" s="228">
        <v>655</v>
      </c>
      <c r="BS11" s="228">
        <v>120</v>
      </c>
      <c r="BT11" s="229">
        <v>0.18260000000000001</v>
      </c>
      <c r="BU11" s="230">
        <v>5683694</v>
      </c>
      <c r="BV11" s="230">
        <v>1959869</v>
      </c>
      <c r="BW11" s="230">
        <v>3723825</v>
      </c>
      <c r="BX11" s="229">
        <v>1.9</v>
      </c>
      <c r="BY11" s="230">
        <v>2510</v>
      </c>
      <c r="BZ11" s="230">
        <v>2445</v>
      </c>
      <c r="CA11" s="228">
        <v>64</v>
      </c>
      <c r="CB11" s="229">
        <v>2.6200000000000001E-2</v>
      </c>
      <c r="CC11" s="230">
        <v>2220</v>
      </c>
      <c r="CD11" s="230">
        <v>2195</v>
      </c>
      <c r="CE11" s="228">
        <v>26</v>
      </c>
      <c r="CF11" s="229">
        <v>1.18E-2</v>
      </c>
      <c r="CG11" s="228">
        <v>279</v>
      </c>
      <c r="CH11" s="228">
        <v>241</v>
      </c>
      <c r="CI11" s="228">
        <v>38</v>
      </c>
      <c r="CJ11" s="229">
        <v>0.15679999999999999</v>
      </c>
      <c r="CK11" s="228">
        <v>10</v>
      </c>
      <c r="CL11" s="228">
        <v>10</v>
      </c>
      <c r="CM11" s="228">
        <v>0</v>
      </c>
      <c r="CN11" s="229">
        <v>3.8800000000000001E-2</v>
      </c>
      <c r="CO11" s="228">
        <v>744</v>
      </c>
      <c r="CP11" s="228">
        <v>705</v>
      </c>
      <c r="CQ11" s="228">
        <v>39</v>
      </c>
      <c r="CR11" s="229">
        <v>5.4699999999999999E-2</v>
      </c>
      <c r="CS11" s="228">
        <v>490</v>
      </c>
      <c r="CT11" s="228">
        <v>481</v>
      </c>
      <c r="CU11" s="228">
        <v>9</v>
      </c>
      <c r="CV11" s="229">
        <v>1.9099999999999999E-2</v>
      </c>
      <c r="CW11" s="230">
        <v>3743</v>
      </c>
      <c r="CX11" s="230">
        <v>3631</v>
      </c>
      <c r="CY11" s="228">
        <v>112</v>
      </c>
      <c r="CZ11" s="229">
        <v>3.0800000000000001E-2</v>
      </c>
      <c r="DA11" s="228">
        <v>35.659999999999997</v>
      </c>
      <c r="DB11" s="228">
        <v>34.57</v>
      </c>
      <c r="DC11" s="228">
        <v>1.0900000000000001</v>
      </c>
      <c r="DD11" s="228">
        <v>1.0900000000000001</v>
      </c>
      <c r="DE11" s="228">
        <v>32.89</v>
      </c>
      <c r="DF11" s="228">
        <v>32.840000000000003</v>
      </c>
      <c r="DG11" s="228">
        <v>2.77</v>
      </c>
      <c r="DH11" s="228">
        <v>0.05</v>
      </c>
      <c r="DI11" s="228">
        <v>35.18</v>
      </c>
      <c r="DJ11" s="228">
        <v>34</v>
      </c>
      <c r="DK11" s="228">
        <v>1.18</v>
      </c>
      <c r="DL11" s="228">
        <v>1.18</v>
      </c>
      <c r="DM11" s="228">
        <v>36.700000000000003</v>
      </c>
      <c r="DN11" s="228">
        <v>35.840000000000003</v>
      </c>
      <c r="DO11" s="228">
        <v>0.86</v>
      </c>
      <c r="DP11" s="228">
        <v>0.86</v>
      </c>
      <c r="DQ11" s="228">
        <v>0.66</v>
      </c>
      <c r="DR11" s="228">
        <v>0.68</v>
      </c>
      <c r="DS11" s="228">
        <v>-0.02</v>
      </c>
      <c r="DT11" s="229">
        <v>-2.9399999999999999E-2</v>
      </c>
      <c r="DU11" s="228">
        <v>600</v>
      </c>
      <c r="DV11" s="228">
        <v>600</v>
      </c>
      <c r="DW11" s="228">
        <v>0.46</v>
      </c>
      <c r="DX11" s="228">
        <v>0.46</v>
      </c>
      <c r="DY11" s="228">
        <v>0</v>
      </c>
      <c r="DZ11" s="229">
        <v>0</v>
      </c>
      <c r="EA11" s="229">
        <v>0.1152</v>
      </c>
      <c r="EB11" s="230">
        <v>5594400</v>
      </c>
      <c r="EC11" s="229">
        <v>6.1000000000000004E-3</v>
      </c>
      <c r="ED11" s="229">
        <v>0.1152</v>
      </c>
      <c r="EE11" s="228">
        <v>3.22</v>
      </c>
      <c r="EF11" s="229">
        <v>7.1000000000000004E-3</v>
      </c>
      <c r="EG11" s="230">
        <v>3939062</v>
      </c>
      <c r="EH11" s="230">
        <v>823232</v>
      </c>
      <c r="EI11" s="229">
        <v>3.7848999999999999</v>
      </c>
      <c r="EJ11" s="229">
        <v>0.69299999999999995</v>
      </c>
      <c r="EK11" s="228">
        <v>328.6</v>
      </c>
      <c r="EL11" s="228">
        <v>144.54</v>
      </c>
      <c r="EM11" s="228">
        <v>333.49</v>
      </c>
      <c r="EN11" s="228">
        <v>62.89</v>
      </c>
      <c r="EO11" s="228">
        <v>806.62</v>
      </c>
      <c r="EP11" s="228">
        <v>697.78</v>
      </c>
      <c r="EQ11" s="228">
        <v>108.84</v>
      </c>
      <c r="ER11" s="229">
        <v>0.156</v>
      </c>
      <c r="ES11" s="228">
        <v>866.1</v>
      </c>
      <c r="ET11" s="228">
        <v>558.84</v>
      </c>
      <c r="EU11" s="231">
        <v>2511.33</v>
      </c>
      <c r="EV11" s="231">
        <v>79841849</v>
      </c>
      <c r="EW11" s="231">
        <v>3936.27</v>
      </c>
      <c r="EX11" s="231">
        <v>3880.97</v>
      </c>
      <c r="EY11" s="228">
        <v>55.3</v>
      </c>
      <c r="EZ11" s="229">
        <v>1.4200000000000001E-2</v>
      </c>
      <c r="FA11" s="229">
        <v>1.0455000000000001</v>
      </c>
      <c r="FB11" s="227" t="s">
        <v>567</v>
      </c>
      <c r="FC11">
        <f t="shared" si="0"/>
        <v>290</v>
      </c>
    </row>
    <row r="12" spans="1:159" ht="17.25" hidden="1" thickBot="1" x14ac:dyDescent="0.3">
      <c r="A12" s="226">
        <v>46093</v>
      </c>
      <c r="B12" s="227" t="s">
        <v>175</v>
      </c>
      <c r="C12" s="227" t="s">
        <v>609</v>
      </c>
      <c r="D12" s="228">
        <v>2500</v>
      </c>
      <c r="E12" s="228">
        <v>18</v>
      </c>
      <c r="F12" s="228">
        <v>213.78</v>
      </c>
      <c r="G12" s="228">
        <v>218.06</v>
      </c>
      <c r="H12" s="228">
        <v>-4.28</v>
      </c>
      <c r="I12" s="229">
        <v>-1.9599999999999999E-2</v>
      </c>
      <c r="J12" s="228">
        <v>213.07</v>
      </c>
      <c r="K12" s="228">
        <v>218.53</v>
      </c>
      <c r="L12" s="228">
        <v>-5.46</v>
      </c>
      <c r="M12" s="229">
        <v>-2.5000000000000001E-2</v>
      </c>
      <c r="N12" s="228">
        <v>213.78</v>
      </c>
      <c r="O12" s="228">
        <v>218.06</v>
      </c>
      <c r="P12" s="228">
        <v>-4.28</v>
      </c>
      <c r="Q12" s="229">
        <v>-1.9599999999999999E-2</v>
      </c>
      <c r="R12" s="228">
        <v>214.28</v>
      </c>
      <c r="S12" s="228">
        <v>218.61</v>
      </c>
      <c r="T12" s="228">
        <v>-4.33</v>
      </c>
      <c r="U12" s="229">
        <v>-1.9800000000000002E-2</v>
      </c>
      <c r="V12" s="228">
        <v>214.67</v>
      </c>
      <c r="W12" s="228">
        <v>219.42</v>
      </c>
      <c r="X12" s="228">
        <v>-4.75</v>
      </c>
      <c r="Y12" s="229">
        <v>-2.1600000000000001E-2</v>
      </c>
      <c r="Z12" s="228">
        <v>0.71</v>
      </c>
      <c r="AA12" s="228">
        <v>-0.47</v>
      </c>
      <c r="AB12" s="228">
        <v>1.18</v>
      </c>
      <c r="AC12" s="229">
        <v>3.3E-3</v>
      </c>
      <c r="AD12" s="228">
        <v>0.71</v>
      </c>
      <c r="AE12" s="228">
        <v>-0.47</v>
      </c>
      <c r="AF12" s="228">
        <v>1.18</v>
      </c>
      <c r="AG12" s="229">
        <v>3.3E-3</v>
      </c>
      <c r="AH12" s="228">
        <v>1.21</v>
      </c>
      <c r="AI12" s="228">
        <v>0.08</v>
      </c>
      <c r="AJ12" s="228">
        <v>1.1299999999999999</v>
      </c>
      <c r="AK12" s="229">
        <v>5.7000000000000002E-3</v>
      </c>
      <c r="AL12" s="228">
        <v>1.6</v>
      </c>
      <c r="AM12" s="228">
        <v>0.89</v>
      </c>
      <c r="AN12" s="228">
        <v>0.71</v>
      </c>
      <c r="AO12" s="229">
        <v>7.4999999999999997E-3</v>
      </c>
      <c r="AP12" s="228">
        <v>215.12</v>
      </c>
      <c r="AQ12" s="228">
        <v>215.39</v>
      </c>
      <c r="AR12" s="228">
        <v>0</v>
      </c>
      <c r="AS12" s="228">
        <v>240</v>
      </c>
      <c r="AT12" s="228">
        <v>153</v>
      </c>
      <c r="AU12" s="228">
        <v>87</v>
      </c>
      <c r="AV12" s="229">
        <v>0.56620000000000004</v>
      </c>
      <c r="AW12" s="228">
        <v>209</v>
      </c>
      <c r="AX12" s="228">
        <v>138</v>
      </c>
      <c r="AY12" s="228">
        <v>71</v>
      </c>
      <c r="AZ12" s="229">
        <v>0.51180000000000003</v>
      </c>
      <c r="BA12" s="228">
        <v>29</v>
      </c>
      <c r="BB12" s="228">
        <v>14</v>
      </c>
      <c r="BC12" s="228">
        <v>15</v>
      </c>
      <c r="BD12" s="229">
        <v>1.0599000000000001</v>
      </c>
      <c r="BE12" s="228">
        <v>2</v>
      </c>
      <c r="BF12" s="228">
        <v>1</v>
      </c>
      <c r="BG12" s="228">
        <v>1</v>
      </c>
      <c r="BH12" s="229">
        <v>1</v>
      </c>
      <c r="BI12" s="228">
        <v>324</v>
      </c>
      <c r="BJ12" s="228">
        <v>300</v>
      </c>
      <c r="BK12" s="228">
        <v>23</v>
      </c>
      <c r="BL12" s="229">
        <v>7.8100000000000003E-2</v>
      </c>
      <c r="BM12" s="228">
        <v>180</v>
      </c>
      <c r="BN12" s="228">
        <v>147</v>
      </c>
      <c r="BO12" s="228">
        <v>33</v>
      </c>
      <c r="BP12" s="229">
        <v>0.22370000000000001</v>
      </c>
      <c r="BQ12" s="228">
        <v>744</v>
      </c>
      <c r="BR12" s="228">
        <v>600</v>
      </c>
      <c r="BS12" s="228">
        <v>143</v>
      </c>
      <c r="BT12" s="229">
        <v>0.2384</v>
      </c>
      <c r="BU12" s="230">
        <v>11234882</v>
      </c>
      <c r="BV12" s="230">
        <v>4626475</v>
      </c>
      <c r="BW12" s="230">
        <v>6608407</v>
      </c>
      <c r="BX12" s="229">
        <v>1.4283999999999999</v>
      </c>
      <c r="BY12" s="228">
        <v>854</v>
      </c>
      <c r="BZ12" s="228">
        <v>837</v>
      </c>
      <c r="CA12" s="228">
        <v>16</v>
      </c>
      <c r="CB12" s="229">
        <v>1.95E-2</v>
      </c>
      <c r="CC12" s="228">
        <v>686</v>
      </c>
      <c r="CD12" s="228">
        <v>671</v>
      </c>
      <c r="CE12" s="228">
        <v>15</v>
      </c>
      <c r="CF12" s="229">
        <v>2.24E-2</v>
      </c>
      <c r="CG12" s="228">
        <v>104</v>
      </c>
      <c r="CH12" s="228">
        <v>104</v>
      </c>
      <c r="CI12" s="228">
        <v>0</v>
      </c>
      <c r="CJ12" s="229">
        <v>1.5E-3</v>
      </c>
      <c r="CK12" s="228">
        <v>63</v>
      </c>
      <c r="CL12" s="228">
        <v>62</v>
      </c>
      <c r="CM12" s="228">
        <v>1</v>
      </c>
      <c r="CN12" s="229">
        <v>1.7999999999999999E-2</v>
      </c>
      <c r="CO12" s="228">
        <v>568</v>
      </c>
      <c r="CP12" s="228">
        <v>542</v>
      </c>
      <c r="CQ12" s="228">
        <v>26</v>
      </c>
      <c r="CR12" s="229">
        <v>4.8300000000000003E-2</v>
      </c>
      <c r="CS12" s="228">
        <v>306</v>
      </c>
      <c r="CT12" s="228">
        <v>318</v>
      </c>
      <c r="CU12" s="228">
        <v>-12</v>
      </c>
      <c r="CV12" s="229">
        <v>-3.6799999999999999E-2</v>
      </c>
      <c r="CW12" s="230">
        <v>1728</v>
      </c>
      <c r="CX12" s="230">
        <v>1697</v>
      </c>
      <c r="CY12" s="228">
        <v>31</v>
      </c>
      <c r="CZ12" s="229">
        <v>1.8100000000000002E-2</v>
      </c>
      <c r="DA12" s="228">
        <v>47.7</v>
      </c>
      <c r="DB12" s="228">
        <v>46.98</v>
      </c>
      <c r="DC12" s="228">
        <v>0.72</v>
      </c>
      <c r="DD12" s="228">
        <v>0.72</v>
      </c>
      <c r="DE12" s="228">
        <v>53.85</v>
      </c>
      <c r="DF12" s="228">
        <v>53.92</v>
      </c>
      <c r="DG12" s="228">
        <v>-6.15</v>
      </c>
      <c r="DH12" s="228">
        <v>-7.0000000000000007E-2</v>
      </c>
      <c r="DI12" s="228">
        <v>47.26</v>
      </c>
      <c r="DJ12" s="228">
        <v>46.62</v>
      </c>
      <c r="DK12" s="228">
        <v>0.64</v>
      </c>
      <c r="DL12" s="228">
        <v>0.64</v>
      </c>
      <c r="DM12" s="228">
        <v>48.49</v>
      </c>
      <c r="DN12" s="228">
        <v>47.71</v>
      </c>
      <c r="DO12" s="228">
        <v>0.78</v>
      </c>
      <c r="DP12" s="228">
        <v>0.78</v>
      </c>
      <c r="DQ12" s="228">
        <v>0.54</v>
      </c>
      <c r="DR12" s="228">
        <v>0.59</v>
      </c>
      <c r="DS12" s="228">
        <v>-0.05</v>
      </c>
      <c r="DT12" s="229">
        <v>-8.4699999999999998E-2</v>
      </c>
      <c r="DU12" s="228">
        <v>250</v>
      </c>
      <c r="DV12" s="228">
        <v>220</v>
      </c>
      <c r="DW12" s="228">
        <v>0.55000000000000004</v>
      </c>
      <c r="DX12" s="228">
        <v>0.49</v>
      </c>
      <c r="DY12" s="228">
        <v>0.06</v>
      </c>
      <c r="DZ12" s="229">
        <v>0.12239999999999999</v>
      </c>
      <c r="EA12" s="229">
        <v>0.19670000000000001</v>
      </c>
      <c r="EB12" s="230">
        <v>7792500</v>
      </c>
      <c r="EC12" s="229">
        <v>2.3E-3</v>
      </c>
      <c r="ED12" s="229">
        <v>0.19670000000000001</v>
      </c>
      <c r="EE12" s="228">
        <v>0.27</v>
      </c>
      <c r="EF12" s="229">
        <v>1.2999999999999999E-3</v>
      </c>
      <c r="EG12" s="230">
        <v>4722203</v>
      </c>
      <c r="EH12" s="230">
        <v>1752407</v>
      </c>
      <c r="EI12" s="229">
        <v>1.6947000000000001</v>
      </c>
      <c r="EJ12" s="229">
        <v>0.42030000000000001</v>
      </c>
      <c r="EK12" s="228">
        <v>359.04</v>
      </c>
      <c r="EL12" s="228">
        <v>180.3</v>
      </c>
      <c r="EM12" s="228">
        <v>241.78</v>
      </c>
      <c r="EN12" s="228">
        <v>49.57</v>
      </c>
      <c r="EO12" s="228">
        <v>781.12</v>
      </c>
      <c r="EP12" s="228">
        <v>651.78</v>
      </c>
      <c r="EQ12" s="228">
        <v>129.34</v>
      </c>
      <c r="ER12" s="229">
        <v>0.19839999999999999</v>
      </c>
      <c r="ES12" s="228">
        <v>656.9</v>
      </c>
      <c r="ET12" s="228">
        <v>320.20999999999998</v>
      </c>
      <c r="EU12" s="228">
        <v>854.13</v>
      </c>
      <c r="EV12" s="231">
        <v>96733080</v>
      </c>
      <c r="EW12" s="231">
        <v>1831.23</v>
      </c>
      <c r="EX12" s="231">
        <v>1818.09</v>
      </c>
      <c r="EY12" s="228">
        <v>13.14</v>
      </c>
      <c r="EZ12" s="229">
        <v>7.1999999999999998E-3</v>
      </c>
      <c r="FA12" s="229">
        <v>0.83550000000000002</v>
      </c>
      <c r="FB12" s="227" t="s">
        <v>567</v>
      </c>
      <c r="FC12">
        <f t="shared" si="0"/>
        <v>168</v>
      </c>
    </row>
    <row r="13" spans="1:159" ht="17.25" hidden="1" thickBot="1" x14ac:dyDescent="0.3">
      <c r="A13" s="226">
        <v>46093</v>
      </c>
      <c r="B13" s="227" t="s">
        <v>227</v>
      </c>
      <c r="C13" s="227" t="s">
        <v>598</v>
      </c>
      <c r="D13" s="228">
        <v>350</v>
      </c>
      <c r="E13" s="228">
        <v>18</v>
      </c>
      <c r="F13" s="231">
        <v>2010.2</v>
      </c>
      <c r="G13" s="231">
        <v>2019</v>
      </c>
      <c r="H13" s="228">
        <v>-8.8000000000000007</v>
      </c>
      <c r="I13" s="229">
        <v>-4.4000000000000003E-3</v>
      </c>
      <c r="J13" s="231">
        <v>2009.2</v>
      </c>
      <c r="K13" s="231">
        <v>2016.3</v>
      </c>
      <c r="L13" s="228">
        <v>-7.1</v>
      </c>
      <c r="M13" s="229">
        <v>-3.5000000000000001E-3</v>
      </c>
      <c r="N13" s="231">
        <v>2010.2</v>
      </c>
      <c r="O13" s="231">
        <v>2019</v>
      </c>
      <c r="P13" s="228">
        <v>-8.8000000000000007</v>
      </c>
      <c r="Q13" s="229">
        <v>-4.4000000000000003E-3</v>
      </c>
      <c r="R13" s="231">
        <v>2022.8</v>
      </c>
      <c r="S13" s="231">
        <v>2030.1</v>
      </c>
      <c r="T13" s="228">
        <v>-7.3</v>
      </c>
      <c r="U13" s="229">
        <v>-3.5999999999999999E-3</v>
      </c>
      <c r="V13" s="231">
        <v>2037.6</v>
      </c>
      <c r="W13" s="231">
        <v>2041</v>
      </c>
      <c r="X13" s="228">
        <v>-3.4</v>
      </c>
      <c r="Y13" s="229">
        <v>-1.6999999999999999E-3</v>
      </c>
      <c r="Z13" s="228">
        <v>1</v>
      </c>
      <c r="AA13" s="228">
        <v>2.7</v>
      </c>
      <c r="AB13" s="228">
        <v>-1.7</v>
      </c>
      <c r="AC13" s="229">
        <v>5.0000000000000001E-4</v>
      </c>
      <c r="AD13" s="228">
        <v>1</v>
      </c>
      <c r="AE13" s="228">
        <v>2.7</v>
      </c>
      <c r="AF13" s="228">
        <v>-1.7</v>
      </c>
      <c r="AG13" s="229">
        <v>5.0000000000000001E-4</v>
      </c>
      <c r="AH13" s="228">
        <v>13.6</v>
      </c>
      <c r="AI13" s="228">
        <v>13.8</v>
      </c>
      <c r="AJ13" s="228">
        <v>-0.2</v>
      </c>
      <c r="AK13" s="229">
        <v>6.7999999999999996E-3</v>
      </c>
      <c r="AL13" s="228">
        <v>28.4</v>
      </c>
      <c r="AM13" s="228">
        <v>24.7</v>
      </c>
      <c r="AN13" s="228">
        <v>3.7</v>
      </c>
      <c r="AO13" s="229">
        <v>1.41E-2</v>
      </c>
      <c r="AP13" s="231">
        <v>1986.72</v>
      </c>
      <c r="AQ13" s="231">
        <v>2001.77</v>
      </c>
      <c r="AR13" s="228">
        <v>0</v>
      </c>
      <c r="AS13" s="228">
        <v>258</v>
      </c>
      <c r="AT13" s="228">
        <v>376</v>
      </c>
      <c r="AU13" s="228">
        <v>-118</v>
      </c>
      <c r="AV13" s="229">
        <v>-0.3135</v>
      </c>
      <c r="AW13" s="228">
        <v>239</v>
      </c>
      <c r="AX13" s="228">
        <v>364</v>
      </c>
      <c r="AY13" s="228">
        <v>-125</v>
      </c>
      <c r="AZ13" s="229">
        <v>-0.34289999999999998</v>
      </c>
      <c r="BA13" s="228">
        <v>17</v>
      </c>
      <c r="BB13" s="228">
        <v>11</v>
      </c>
      <c r="BC13" s="228">
        <v>6</v>
      </c>
      <c r="BD13" s="229">
        <v>0.49070000000000003</v>
      </c>
      <c r="BE13" s="228">
        <v>2</v>
      </c>
      <c r="BF13" s="228">
        <v>1</v>
      </c>
      <c r="BG13" s="228">
        <v>1</v>
      </c>
      <c r="BH13" s="229">
        <v>1.7273000000000001</v>
      </c>
      <c r="BI13" s="228">
        <v>560</v>
      </c>
      <c r="BJ13" s="228">
        <v>973</v>
      </c>
      <c r="BK13" s="228">
        <v>-413</v>
      </c>
      <c r="BL13" s="229">
        <v>-0.42480000000000001</v>
      </c>
      <c r="BM13" s="228">
        <v>366</v>
      </c>
      <c r="BN13" s="228">
        <v>986</v>
      </c>
      <c r="BO13" s="228">
        <v>-619</v>
      </c>
      <c r="BP13" s="229">
        <v>-0.62839999999999996</v>
      </c>
      <c r="BQ13" s="230">
        <v>1184</v>
      </c>
      <c r="BR13" s="230">
        <v>2335</v>
      </c>
      <c r="BS13" s="230">
        <v>-1151</v>
      </c>
      <c r="BT13" s="229">
        <v>-0.49280000000000002</v>
      </c>
      <c r="BU13" s="230">
        <v>1396748</v>
      </c>
      <c r="BV13" s="230">
        <v>737897</v>
      </c>
      <c r="BW13" s="230">
        <v>658851</v>
      </c>
      <c r="BX13" s="229">
        <v>0.89290000000000003</v>
      </c>
      <c r="BY13" s="228">
        <v>978</v>
      </c>
      <c r="BZ13" s="228">
        <v>962</v>
      </c>
      <c r="CA13" s="228">
        <v>15</v>
      </c>
      <c r="CB13" s="229">
        <v>1.5599999999999999E-2</v>
      </c>
      <c r="CC13" s="228">
        <v>963</v>
      </c>
      <c r="CD13" s="228">
        <v>950</v>
      </c>
      <c r="CE13" s="228">
        <v>13</v>
      </c>
      <c r="CF13" s="229">
        <v>1.3599999999999999E-2</v>
      </c>
      <c r="CG13" s="228">
        <v>12</v>
      </c>
      <c r="CH13" s="228">
        <v>11</v>
      </c>
      <c r="CI13" s="228">
        <v>1</v>
      </c>
      <c r="CJ13" s="229">
        <v>0.1391</v>
      </c>
      <c r="CK13" s="228">
        <v>2</v>
      </c>
      <c r="CL13" s="228">
        <v>2</v>
      </c>
      <c r="CM13" s="228">
        <v>1</v>
      </c>
      <c r="CN13" s="229">
        <v>0.41670000000000001</v>
      </c>
      <c r="CO13" s="228">
        <v>358</v>
      </c>
      <c r="CP13" s="228">
        <v>341</v>
      </c>
      <c r="CQ13" s="228">
        <v>17</v>
      </c>
      <c r="CR13" s="229">
        <v>5.0200000000000002E-2</v>
      </c>
      <c r="CS13" s="228">
        <v>265</v>
      </c>
      <c r="CT13" s="228">
        <v>276</v>
      </c>
      <c r="CU13" s="228">
        <v>-11</v>
      </c>
      <c r="CV13" s="229">
        <v>-4.1500000000000002E-2</v>
      </c>
      <c r="CW13" s="230">
        <v>1600</v>
      </c>
      <c r="CX13" s="230">
        <v>1579</v>
      </c>
      <c r="CY13" s="228">
        <v>21</v>
      </c>
      <c r="CZ13" s="229">
        <v>1.3100000000000001E-2</v>
      </c>
      <c r="DA13" s="228">
        <v>35.93</v>
      </c>
      <c r="DB13" s="228">
        <v>37.03</v>
      </c>
      <c r="DC13" s="228">
        <v>-1.1000000000000001</v>
      </c>
      <c r="DD13" s="228">
        <v>-1.1000000000000001</v>
      </c>
      <c r="DE13" s="228">
        <v>32.35</v>
      </c>
      <c r="DF13" s="228">
        <v>32.43</v>
      </c>
      <c r="DG13" s="228">
        <v>3.58</v>
      </c>
      <c r="DH13" s="228">
        <v>-0.08</v>
      </c>
      <c r="DI13" s="228">
        <v>34.74</v>
      </c>
      <c r="DJ13" s="228">
        <v>35.68</v>
      </c>
      <c r="DK13" s="228">
        <v>-0.94</v>
      </c>
      <c r="DL13" s="228">
        <v>-0.94</v>
      </c>
      <c r="DM13" s="228">
        <v>37.75</v>
      </c>
      <c r="DN13" s="228">
        <v>38.36</v>
      </c>
      <c r="DO13" s="228">
        <v>-0.61</v>
      </c>
      <c r="DP13" s="228">
        <v>-0.61</v>
      </c>
      <c r="DQ13" s="228">
        <v>0.74</v>
      </c>
      <c r="DR13" s="228">
        <v>0.81</v>
      </c>
      <c r="DS13" s="228">
        <v>-7.0000000000000007E-2</v>
      </c>
      <c r="DT13" s="229">
        <v>-8.6400000000000005E-2</v>
      </c>
      <c r="DU13" s="231">
        <v>2200</v>
      </c>
      <c r="DV13" s="231">
        <v>2100</v>
      </c>
      <c r="DW13" s="228">
        <v>0.65</v>
      </c>
      <c r="DX13" s="228">
        <v>1.01</v>
      </c>
      <c r="DY13" s="228">
        <v>-0.36</v>
      </c>
      <c r="DZ13" s="229">
        <v>-0.35639999999999999</v>
      </c>
      <c r="EA13" s="229">
        <v>1.4800000000000001E-2</v>
      </c>
      <c r="EB13" s="230">
        <v>61250</v>
      </c>
      <c r="EC13" s="229">
        <v>6.3E-3</v>
      </c>
      <c r="ED13" s="229">
        <v>1.4800000000000001E-2</v>
      </c>
      <c r="EE13" s="228">
        <v>15.05</v>
      </c>
      <c r="EF13" s="229">
        <v>7.6E-3</v>
      </c>
      <c r="EG13" s="230">
        <v>686324</v>
      </c>
      <c r="EH13" s="230">
        <v>346097</v>
      </c>
      <c r="EI13" s="229">
        <v>0.98299999999999998</v>
      </c>
      <c r="EJ13" s="229">
        <v>0.4914</v>
      </c>
      <c r="EK13" s="228">
        <v>601.24</v>
      </c>
      <c r="EL13" s="228">
        <v>368.3</v>
      </c>
      <c r="EM13" s="228">
        <v>255.08</v>
      </c>
      <c r="EN13" s="228">
        <v>30.89</v>
      </c>
      <c r="EO13" s="231">
        <v>1224.6199999999999</v>
      </c>
      <c r="EP13" s="231">
        <v>2444.7199999999998</v>
      </c>
      <c r="EQ13" s="231">
        <v>-1220.0999999999999</v>
      </c>
      <c r="ER13" s="229">
        <v>-0.49909999999999999</v>
      </c>
      <c r="ES13" s="228">
        <v>386.96</v>
      </c>
      <c r="ET13" s="228">
        <v>275.14</v>
      </c>
      <c r="EU13" s="228">
        <v>977.65</v>
      </c>
      <c r="EV13" s="231">
        <v>23068453</v>
      </c>
      <c r="EW13" s="231">
        <v>1639.74</v>
      </c>
      <c r="EX13" s="231">
        <v>1625.64</v>
      </c>
      <c r="EY13" s="228">
        <v>14.1</v>
      </c>
      <c r="EZ13" s="229">
        <v>8.6999999999999994E-3</v>
      </c>
      <c r="FA13" s="229">
        <v>0.34510000000000002</v>
      </c>
      <c r="FB13" s="227" t="s">
        <v>567</v>
      </c>
      <c r="FC13">
        <f t="shared" si="0"/>
        <v>15</v>
      </c>
    </row>
    <row r="14" spans="1:159" ht="17.25" hidden="1" thickBot="1" x14ac:dyDescent="0.3">
      <c r="A14" s="226">
        <v>46093</v>
      </c>
      <c r="B14" s="227" t="s">
        <v>170</v>
      </c>
      <c r="C14" s="227" t="s">
        <v>165</v>
      </c>
      <c r="D14" s="228">
        <v>125</v>
      </c>
      <c r="E14" s="228">
        <v>18</v>
      </c>
      <c r="F14" s="231">
        <v>7582.5</v>
      </c>
      <c r="G14" s="231">
        <v>7703</v>
      </c>
      <c r="H14" s="228">
        <v>-120.5</v>
      </c>
      <c r="I14" s="229">
        <v>-1.5599999999999999E-2</v>
      </c>
      <c r="J14" s="231">
        <v>7574.5</v>
      </c>
      <c r="K14" s="231">
        <v>7684</v>
      </c>
      <c r="L14" s="228">
        <v>-109.5</v>
      </c>
      <c r="M14" s="229">
        <v>-1.43E-2</v>
      </c>
      <c r="N14" s="231">
        <v>7582.5</v>
      </c>
      <c r="O14" s="231">
        <v>7703</v>
      </c>
      <c r="P14" s="228">
        <v>-120.5</v>
      </c>
      <c r="Q14" s="229">
        <v>-1.5599999999999999E-2</v>
      </c>
      <c r="R14" s="231">
        <v>7636</v>
      </c>
      <c r="S14" s="231">
        <v>7745</v>
      </c>
      <c r="T14" s="228">
        <v>-109</v>
      </c>
      <c r="U14" s="229">
        <v>-1.41E-2</v>
      </c>
      <c r="V14" s="231">
        <v>7668.5</v>
      </c>
      <c r="W14" s="231">
        <v>7795</v>
      </c>
      <c r="X14" s="228">
        <v>-126.5</v>
      </c>
      <c r="Y14" s="229">
        <v>-1.6199999999999999E-2</v>
      </c>
      <c r="Z14" s="228">
        <v>8</v>
      </c>
      <c r="AA14" s="228">
        <v>19</v>
      </c>
      <c r="AB14" s="228">
        <v>-11</v>
      </c>
      <c r="AC14" s="229">
        <v>1.1000000000000001E-3</v>
      </c>
      <c r="AD14" s="228">
        <v>8</v>
      </c>
      <c r="AE14" s="228">
        <v>19</v>
      </c>
      <c r="AF14" s="228">
        <v>-11</v>
      </c>
      <c r="AG14" s="229">
        <v>1.1000000000000001E-3</v>
      </c>
      <c r="AH14" s="228">
        <v>61.5</v>
      </c>
      <c r="AI14" s="228">
        <v>61</v>
      </c>
      <c r="AJ14" s="228">
        <v>0.5</v>
      </c>
      <c r="AK14" s="229">
        <v>8.0999999999999996E-3</v>
      </c>
      <c r="AL14" s="228">
        <v>94</v>
      </c>
      <c r="AM14" s="228">
        <v>111</v>
      </c>
      <c r="AN14" s="228">
        <v>-17</v>
      </c>
      <c r="AO14" s="229">
        <v>1.24E-2</v>
      </c>
      <c r="AP14" s="231">
        <v>7593.1</v>
      </c>
      <c r="AQ14" s="231">
        <v>7643.28</v>
      </c>
      <c r="AR14" s="228">
        <v>0</v>
      </c>
      <c r="AS14" s="228">
        <v>367</v>
      </c>
      <c r="AT14" s="228">
        <v>192</v>
      </c>
      <c r="AU14" s="228">
        <v>175</v>
      </c>
      <c r="AV14" s="229">
        <v>0.91249999999999998</v>
      </c>
      <c r="AW14" s="228">
        <v>336</v>
      </c>
      <c r="AX14" s="228">
        <v>175</v>
      </c>
      <c r="AY14" s="228">
        <v>161</v>
      </c>
      <c r="AZ14" s="229">
        <v>0.92290000000000005</v>
      </c>
      <c r="BA14" s="228">
        <v>24</v>
      </c>
      <c r="BB14" s="228">
        <v>16</v>
      </c>
      <c r="BC14" s="228">
        <v>8</v>
      </c>
      <c r="BD14" s="229">
        <v>0.4854</v>
      </c>
      <c r="BE14" s="228">
        <v>7</v>
      </c>
      <c r="BF14" s="228">
        <v>1</v>
      </c>
      <c r="BG14" s="228">
        <v>6</v>
      </c>
      <c r="BH14" s="229">
        <v>5.8182</v>
      </c>
      <c r="BI14" s="230">
        <v>1008</v>
      </c>
      <c r="BJ14" s="228">
        <v>826</v>
      </c>
      <c r="BK14" s="228">
        <v>182</v>
      </c>
      <c r="BL14" s="229">
        <v>0.22</v>
      </c>
      <c r="BM14" s="228">
        <v>559</v>
      </c>
      <c r="BN14" s="228">
        <v>708</v>
      </c>
      <c r="BO14" s="228">
        <v>-149</v>
      </c>
      <c r="BP14" s="229">
        <v>-0.21049999999999999</v>
      </c>
      <c r="BQ14" s="230">
        <v>1934</v>
      </c>
      <c r="BR14" s="230">
        <v>1726</v>
      </c>
      <c r="BS14" s="228">
        <v>208</v>
      </c>
      <c r="BT14" s="229">
        <v>0.12039999999999999</v>
      </c>
      <c r="BU14" s="230">
        <v>576094</v>
      </c>
      <c r="BV14" s="230">
        <v>339658</v>
      </c>
      <c r="BW14" s="230">
        <v>236436</v>
      </c>
      <c r="BX14" s="229">
        <v>0.69610000000000005</v>
      </c>
      <c r="BY14" s="230">
        <v>1865</v>
      </c>
      <c r="BZ14" s="230">
        <v>1906</v>
      </c>
      <c r="CA14" s="228">
        <v>-42</v>
      </c>
      <c r="CB14" s="229">
        <v>-2.1899999999999999E-2</v>
      </c>
      <c r="CC14" s="230">
        <v>1824</v>
      </c>
      <c r="CD14" s="230">
        <v>1875</v>
      </c>
      <c r="CE14" s="228">
        <v>-51</v>
      </c>
      <c r="CF14" s="229">
        <v>-2.7400000000000001E-2</v>
      </c>
      <c r="CG14" s="228">
        <v>35</v>
      </c>
      <c r="CH14" s="228">
        <v>27</v>
      </c>
      <c r="CI14" s="228">
        <v>8</v>
      </c>
      <c r="CJ14" s="229">
        <v>0.30280000000000001</v>
      </c>
      <c r="CK14" s="228">
        <v>5</v>
      </c>
      <c r="CL14" s="228">
        <v>4</v>
      </c>
      <c r="CM14" s="228">
        <v>1</v>
      </c>
      <c r="CN14" s="229">
        <v>0.3488</v>
      </c>
      <c r="CO14" s="228">
        <v>811</v>
      </c>
      <c r="CP14" s="228">
        <v>797</v>
      </c>
      <c r="CQ14" s="228">
        <v>15</v>
      </c>
      <c r="CR14" s="229">
        <v>1.84E-2</v>
      </c>
      <c r="CS14" s="228">
        <v>581</v>
      </c>
      <c r="CT14" s="228">
        <v>598</v>
      </c>
      <c r="CU14" s="228">
        <v>-17</v>
      </c>
      <c r="CV14" s="229">
        <v>-2.7799999999999998E-2</v>
      </c>
      <c r="CW14" s="230">
        <v>3257</v>
      </c>
      <c r="CX14" s="230">
        <v>3301</v>
      </c>
      <c r="CY14" s="228">
        <v>-44</v>
      </c>
      <c r="CZ14" s="229">
        <v>-1.32E-2</v>
      </c>
      <c r="DA14" s="228">
        <v>23.76</v>
      </c>
      <c r="DB14" s="228">
        <v>24.15</v>
      </c>
      <c r="DC14" s="228">
        <v>-0.39</v>
      </c>
      <c r="DD14" s="228">
        <v>-0.39</v>
      </c>
      <c r="DE14" s="228">
        <v>24.54</v>
      </c>
      <c r="DF14" s="228">
        <v>24.53</v>
      </c>
      <c r="DG14" s="228">
        <v>-0.78</v>
      </c>
      <c r="DH14" s="228">
        <v>0.01</v>
      </c>
      <c r="DI14" s="228">
        <v>23.48</v>
      </c>
      <c r="DJ14" s="228">
        <v>23.34</v>
      </c>
      <c r="DK14" s="228">
        <v>0.14000000000000001</v>
      </c>
      <c r="DL14" s="228">
        <v>0.14000000000000001</v>
      </c>
      <c r="DM14" s="228">
        <v>24.27</v>
      </c>
      <c r="DN14" s="228">
        <v>25.09</v>
      </c>
      <c r="DO14" s="228">
        <v>-0.82</v>
      </c>
      <c r="DP14" s="228">
        <v>-0.82</v>
      </c>
      <c r="DQ14" s="228">
        <v>0.72</v>
      </c>
      <c r="DR14" s="228">
        <v>0.75</v>
      </c>
      <c r="DS14" s="228">
        <v>-0.03</v>
      </c>
      <c r="DT14" s="229">
        <v>-0.04</v>
      </c>
      <c r="DU14" s="231">
        <v>8500</v>
      </c>
      <c r="DV14" s="231">
        <v>7000</v>
      </c>
      <c r="DW14" s="228">
        <v>0.55000000000000004</v>
      </c>
      <c r="DX14" s="228">
        <v>0.86</v>
      </c>
      <c r="DY14" s="228">
        <v>-0.31</v>
      </c>
      <c r="DZ14" s="229">
        <v>-0.36049999999999999</v>
      </c>
      <c r="EA14" s="229">
        <v>2.18E-2</v>
      </c>
      <c r="EB14" s="230">
        <v>40875</v>
      </c>
      <c r="EC14" s="229">
        <v>7.1000000000000004E-3</v>
      </c>
      <c r="ED14" s="229">
        <v>2.18E-2</v>
      </c>
      <c r="EE14" s="228">
        <v>50.18</v>
      </c>
      <c r="EF14" s="229">
        <v>6.6E-3</v>
      </c>
      <c r="EG14" s="230">
        <v>362554</v>
      </c>
      <c r="EH14" s="230">
        <v>200301</v>
      </c>
      <c r="EI14" s="229">
        <v>0.81</v>
      </c>
      <c r="EJ14" s="229">
        <v>0.62929999999999997</v>
      </c>
      <c r="EK14" s="231">
        <v>1063.6600000000001</v>
      </c>
      <c r="EL14" s="228">
        <v>554.47</v>
      </c>
      <c r="EM14" s="228">
        <v>367.66</v>
      </c>
      <c r="EN14" s="228">
        <v>25.51</v>
      </c>
      <c r="EO14" s="231">
        <v>1985.79</v>
      </c>
      <c r="EP14" s="231">
        <v>1786.12</v>
      </c>
      <c r="EQ14" s="228">
        <v>199.67</v>
      </c>
      <c r="ER14" s="229">
        <v>0.1118</v>
      </c>
      <c r="ES14" s="228">
        <v>855.79</v>
      </c>
      <c r="ET14" s="228">
        <v>563.08000000000004</v>
      </c>
      <c r="EU14" s="231">
        <v>1864.85</v>
      </c>
      <c r="EV14" s="231">
        <v>15524629</v>
      </c>
      <c r="EW14" s="231">
        <v>3283.71</v>
      </c>
      <c r="EX14" s="231">
        <v>3358.61</v>
      </c>
      <c r="EY14" s="228">
        <v>-74.900000000000006</v>
      </c>
      <c r="EZ14" s="229">
        <v>-2.23E-2</v>
      </c>
      <c r="FA14" s="229">
        <v>0.2767</v>
      </c>
      <c r="FB14" s="227" t="s">
        <v>568</v>
      </c>
      <c r="FC14">
        <f t="shared" si="0"/>
        <v>41</v>
      </c>
    </row>
    <row r="15" spans="1:159" ht="17.25" hidden="1" thickBot="1" x14ac:dyDescent="0.3">
      <c r="A15" s="226">
        <v>46093</v>
      </c>
      <c r="B15" s="227" t="s">
        <v>162</v>
      </c>
      <c r="C15" s="227" t="s">
        <v>167</v>
      </c>
      <c r="D15" s="228">
        <v>5000</v>
      </c>
      <c r="E15" s="228">
        <v>18</v>
      </c>
      <c r="F15" s="228">
        <v>179.02</v>
      </c>
      <c r="G15" s="228">
        <v>185.47</v>
      </c>
      <c r="H15" s="228">
        <v>-6.45</v>
      </c>
      <c r="I15" s="229">
        <v>-3.4799999999999998E-2</v>
      </c>
      <c r="J15" s="228">
        <v>178.47</v>
      </c>
      <c r="K15" s="228">
        <v>184.66</v>
      </c>
      <c r="L15" s="228">
        <v>-6.19</v>
      </c>
      <c r="M15" s="229">
        <v>-3.3500000000000002E-2</v>
      </c>
      <c r="N15" s="228">
        <v>179.02</v>
      </c>
      <c r="O15" s="228">
        <v>185.47</v>
      </c>
      <c r="P15" s="228">
        <v>-6.45</v>
      </c>
      <c r="Q15" s="229">
        <v>-3.4799999999999998E-2</v>
      </c>
      <c r="R15" s="228">
        <v>178.33</v>
      </c>
      <c r="S15" s="228">
        <v>184.73</v>
      </c>
      <c r="T15" s="228">
        <v>-6.4</v>
      </c>
      <c r="U15" s="229">
        <v>-3.4599999999999999E-2</v>
      </c>
      <c r="V15" s="228">
        <v>178.24</v>
      </c>
      <c r="W15" s="228">
        <v>184.69</v>
      </c>
      <c r="X15" s="228">
        <v>-6.45</v>
      </c>
      <c r="Y15" s="229">
        <v>-3.49E-2</v>
      </c>
      <c r="Z15" s="228">
        <v>0.55000000000000004</v>
      </c>
      <c r="AA15" s="228">
        <v>0.81</v>
      </c>
      <c r="AB15" s="228">
        <v>-0.26</v>
      </c>
      <c r="AC15" s="229">
        <v>3.0999999999999999E-3</v>
      </c>
      <c r="AD15" s="228">
        <v>0.55000000000000004</v>
      </c>
      <c r="AE15" s="228">
        <v>0.81</v>
      </c>
      <c r="AF15" s="228">
        <v>-0.26</v>
      </c>
      <c r="AG15" s="229">
        <v>3.0999999999999999E-3</v>
      </c>
      <c r="AH15" s="228">
        <v>-0.14000000000000001</v>
      </c>
      <c r="AI15" s="228">
        <v>7.0000000000000007E-2</v>
      </c>
      <c r="AJ15" s="228">
        <v>-0.21</v>
      </c>
      <c r="AK15" s="229">
        <v>-8.0000000000000004E-4</v>
      </c>
      <c r="AL15" s="228">
        <v>-0.23</v>
      </c>
      <c r="AM15" s="228">
        <v>0.03</v>
      </c>
      <c r="AN15" s="228">
        <v>-0.26</v>
      </c>
      <c r="AO15" s="229">
        <v>-1.2999999999999999E-3</v>
      </c>
      <c r="AP15" s="228">
        <v>179.67</v>
      </c>
      <c r="AQ15" s="228">
        <v>178.97</v>
      </c>
      <c r="AR15" s="228">
        <v>0</v>
      </c>
      <c r="AS15" s="230">
        <v>1073</v>
      </c>
      <c r="AT15" s="228">
        <v>704</v>
      </c>
      <c r="AU15" s="228">
        <v>369</v>
      </c>
      <c r="AV15" s="229">
        <v>0.52439999999999998</v>
      </c>
      <c r="AW15" s="228">
        <v>977</v>
      </c>
      <c r="AX15" s="228">
        <v>602</v>
      </c>
      <c r="AY15" s="228">
        <v>375</v>
      </c>
      <c r="AZ15" s="229">
        <v>0.62290000000000001</v>
      </c>
      <c r="BA15" s="228">
        <v>85</v>
      </c>
      <c r="BB15" s="228">
        <v>90</v>
      </c>
      <c r="BC15" s="228">
        <v>-5</v>
      </c>
      <c r="BD15" s="229">
        <v>-5.2600000000000001E-2</v>
      </c>
      <c r="BE15" s="228">
        <v>11</v>
      </c>
      <c r="BF15" s="228">
        <v>12</v>
      </c>
      <c r="BG15" s="228">
        <v>-1</v>
      </c>
      <c r="BH15" s="229">
        <v>-8.2699999999999996E-2</v>
      </c>
      <c r="BI15" s="230">
        <v>2366</v>
      </c>
      <c r="BJ15" s="230">
        <v>1441</v>
      </c>
      <c r="BK15" s="228">
        <v>924</v>
      </c>
      <c r="BL15" s="229">
        <v>0.64129999999999998</v>
      </c>
      <c r="BM15" s="230">
        <v>1607</v>
      </c>
      <c r="BN15" s="228">
        <v>899</v>
      </c>
      <c r="BO15" s="228">
        <v>708</v>
      </c>
      <c r="BP15" s="229">
        <v>0.78759999999999997</v>
      </c>
      <c r="BQ15" s="230">
        <v>5046</v>
      </c>
      <c r="BR15" s="230">
        <v>3044</v>
      </c>
      <c r="BS15" s="230">
        <v>2001</v>
      </c>
      <c r="BT15" s="229">
        <v>0.65749999999999997</v>
      </c>
      <c r="BU15" s="230">
        <v>45992659</v>
      </c>
      <c r="BV15" s="230">
        <v>28875193</v>
      </c>
      <c r="BW15" s="230">
        <v>17117466</v>
      </c>
      <c r="BX15" s="229">
        <v>0.59279999999999999</v>
      </c>
      <c r="BY15" s="230">
        <v>2867</v>
      </c>
      <c r="BZ15" s="230">
        <v>2827</v>
      </c>
      <c r="CA15" s="228">
        <v>40</v>
      </c>
      <c r="CB15" s="229">
        <v>1.43E-2</v>
      </c>
      <c r="CC15" s="230">
        <v>2653</v>
      </c>
      <c r="CD15" s="230">
        <v>2646</v>
      </c>
      <c r="CE15" s="228">
        <v>7</v>
      </c>
      <c r="CF15" s="229">
        <v>2.5999999999999999E-3</v>
      </c>
      <c r="CG15" s="228">
        <v>192</v>
      </c>
      <c r="CH15" s="228">
        <v>164</v>
      </c>
      <c r="CI15" s="228">
        <v>28</v>
      </c>
      <c r="CJ15" s="229">
        <v>0.17080000000000001</v>
      </c>
      <c r="CK15" s="228">
        <v>22</v>
      </c>
      <c r="CL15" s="228">
        <v>17</v>
      </c>
      <c r="CM15" s="228">
        <v>5</v>
      </c>
      <c r="CN15" s="229">
        <v>0.32969999999999999</v>
      </c>
      <c r="CO15" s="230">
        <v>1407</v>
      </c>
      <c r="CP15" s="230">
        <v>1307</v>
      </c>
      <c r="CQ15" s="228">
        <v>100</v>
      </c>
      <c r="CR15" s="229">
        <v>7.6799999999999993E-2</v>
      </c>
      <c r="CS15" s="228">
        <v>757</v>
      </c>
      <c r="CT15" s="228">
        <v>650</v>
      </c>
      <c r="CU15" s="228">
        <v>108</v>
      </c>
      <c r="CV15" s="229">
        <v>0.1656</v>
      </c>
      <c r="CW15" s="230">
        <v>5032</v>
      </c>
      <c r="CX15" s="230">
        <v>4783</v>
      </c>
      <c r="CY15" s="228">
        <v>248</v>
      </c>
      <c r="CZ15" s="229">
        <v>5.1900000000000002E-2</v>
      </c>
      <c r="DA15" s="228">
        <v>45.72</v>
      </c>
      <c r="DB15" s="228">
        <v>41.65</v>
      </c>
      <c r="DC15" s="228">
        <v>4.07</v>
      </c>
      <c r="DD15" s="228">
        <v>4.07</v>
      </c>
      <c r="DE15" s="228">
        <v>36.83</v>
      </c>
      <c r="DF15" s="228">
        <v>36.630000000000003</v>
      </c>
      <c r="DG15" s="228">
        <v>8.89</v>
      </c>
      <c r="DH15" s="228">
        <v>0.2</v>
      </c>
      <c r="DI15" s="228">
        <v>44.36</v>
      </c>
      <c r="DJ15" s="228">
        <v>41.53</v>
      </c>
      <c r="DK15" s="228">
        <v>2.83</v>
      </c>
      <c r="DL15" s="228">
        <v>2.83</v>
      </c>
      <c r="DM15" s="228">
        <v>47.73</v>
      </c>
      <c r="DN15" s="228">
        <v>41.85</v>
      </c>
      <c r="DO15" s="228">
        <v>5.88</v>
      </c>
      <c r="DP15" s="228">
        <v>5.88</v>
      </c>
      <c r="DQ15" s="228">
        <v>0.54</v>
      </c>
      <c r="DR15" s="228">
        <v>0.5</v>
      </c>
      <c r="DS15" s="228">
        <v>0.04</v>
      </c>
      <c r="DT15" s="229">
        <v>0.08</v>
      </c>
      <c r="DU15" s="228">
        <v>210</v>
      </c>
      <c r="DV15" s="228">
        <v>170</v>
      </c>
      <c r="DW15" s="228">
        <v>0.68</v>
      </c>
      <c r="DX15" s="228">
        <v>0.62</v>
      </c>
      <c r="DY15" s="228">
        <v>0.06</v>
      </c>
      <c r="DZ15" s="229">
        <v>9.6799999999999997E-2</v>
      </c>
      <c r="EA15" s="229">
        <v>7.4700000000000003E-2</v>
      </c>
      <c r="EB15" s="230">
        <v>10090000</v>
      </c>
      <c r="EC15" s="229">
        <v>-3.8999999999999998E-3</v>
      </c>
      <c r="ED15" s="229">
        <v>7.4700000000000003E-2</v>
      </c>
      <c r="EE15" s="228">
        <v>-0.7</v>
      </c>
      <c r="EF15" s="229">
        <v>-3.8999999999999998E-3</v>
      </c>
      <c r="EG15" s="230">
        <v>26424553</v>
      </c>
      <c r="EH15" s="230">
        <v>17823511</v>
      </c>
      <c r="EI15" s="229">
        <v>0.48259999999999997</v>
      </c>
      <c r="EJ15" s="229">
        <v>0.57450000000000001</v>
      </c>
      <c r="EK15" s="231">
        <v>2635.03</v>
      </c>
      <c r="EL15" s="231">
        <v>1581.07</v>
      </c>
      <c r="EM15" s="231">
        <v>1076.55</v>
      </c>
      <c r="EN15" s="228">
        <v>69.05</v>
      </c>
      <c r="EO15" s="231">
        <v>5292.64</v>
      </c>
      <c r="EP15" s="231">
        <v>3351.41</v>
      </c>
      <c r="EQ15" s="231">
        <v>1941.23</v>
      </c>
      <c r="ER15" s="229">
        <v>0.57920000000000005</v>
      </c>
      <c r="ES15" s="231">
        <v>1648.02</v>
      </c>
      <c r="ET15" s="228">
        <v>785.15</v>
      </c>
      <c r="EU15" s="231">
        <v>2866.35</v>
      </c>
      <c r="EV15" s="231">
        <v>423719104</v>
      </c>
      <c r="EW15" s="231">
        <v>5299.52</v>
      </c>
      <c r="EX15" s="231">
        <v>5170.5</v>
      </c>
      <c r="EY15" s="228">
        <v>129.02000000000001</v>
      </c>
      <c r="EZ15" s="229">
        <v>2.5000000000000001E-2</v>
      </c>
      <c r="FA15" s="229">
        <v>0.66339999999999999</v>
      </c>
      <c r="FB15" s="227" t="s">
        <v>567</v>
      </c>
      <c r="FC15">
        <f t="shared" si="0"/>
        <v>214</v>
      </c>
    </row>
    <row r="16" spans="1:159" ht="17.25" hidden="1" thickBot="1" x14ac:dyDescent="0.3">
      <c r="A16" s="226">
        <v>46093</v>
      </c>
      <c r="B16" s="227" t="s">
        <v>168</v>
      </c>
      <c r="C16" s="227" t="s">
        <v>169</v>
      </c>
      <c r="D16" s="228">
        <v>250</v>
      </c>
      <c r="E16" s="228">
        <v>18</v>
      </c>
      <c r="F16" s="231">
        <v>2226.6</v>
      </c>
      <c r="G16" s="231">
        <v>2234.4</v>
      </c>
      <c r="H16" s="228">
        <v>-7.8</v>
      </c>
      <c r="I16" s="229">
        <v>-3.5000000000000001E-3</v>
      </c>
      <c r="J16" s="231">
        <v>2221.1999999999998</v>
      </c>
      <c r="K16" s="231">
        <v>2232</v>
      </c>
      <c r="L16" s="228">
        <v>-10.8</v>
      </c>
      <c r="M16" s="229">
        <v>-4.7999999999999996E-3</v>
      </c>
      <c r="N16" s="231">
        <v>2226.6</v>
      </c>
      <c r="O16" s="231">
        <v>2234.4</v>
      </c>
      <c r="P16" s="228">
        <v>-7.8</v>
      </c>
      <c r="Q16" s="229">
        <v>-3.5000000000000001E-3</v>
      </c>
      <c r="R16" s="231">
        <v>2241.1</v>
      </c>
      <c r="S16" s="231">
        <v>2249.1999999999998</v>
      </c>
      <c r="T16" s="228">
        <v>-8.1</v>
      </c>
      <c r="U16" s="229">
        <v>-3.5999999999999999E-3</v>
      </c>
      <c r="V16" s="231">
        <v>2253</v>
      </c>
      <c r="W16" s="231">
        <v>2261.6999999999998</v>
      </c>
      <c r="X16" s="228">
        <v>-8.6999999999999993</v>
      </c>
      <c r="Y16" s="229">
        <v>-3.8E-3</v>
      </c>
      <c r="Z16" s="228">
        <v>5.4</v>
      </c>
      <c r="AA16" s="228">
        <v>2.4</v>
      </c>
      <c r="AB16" s="228">
        <v>3</v>
      </c>
      <c r="AC16" s="229">
        <v>2.3999999999999998E-3</v>
      </c>
      <c r="AD16" s="228">
        <v>5.4</v>
      </c>
      <c r="AE16" s="228">
        <v>2.4</v>
      </c>
      <c r="AF16" s="228">
        <v>3</v>
      </c>
      <c r="AG16" s="229">
        <v>2.3999999999999998E-3</v>
      </c>
      <c r="AH16" s="228">
        <v>19.899999999999999</v>
      </c>
      <c r="AI16" s="228">
        <v>17.2</v>
      </c>
      <c r="AJ16" s="228">
        <v>2.7</v>
      </c>
      <c r="AK16" s="229">
        <v>8.9999999999999993E-3</v>
      </c>
      <c r="AL16" s="228">
        <v>31.8</v>
      </c>
      <c r="AM16" s="228">
        <v>29.7</v>
      </c>
      <c r="AN16" s="228">
        <v>2.1</v>
      </c>
      <c r="AO16" s="229">
        <v>1.43E-2</v>
      </c>
      <c r="AP16" s="231">
        <v>2232.75</v>
      </c>
      <c r="AQ16" s="231">
        <v>2244.27</v>
      </c>
      <c r="AR16" s="228">
        <v>0</v>
      </c>
      <c r="AS16" s="228">
        <v>275</v>
      </c>
      <c r="AT16" s="228">
        <v>258</v>
      </c>
      <c r="AU16" s="228">
        <v>17</v>
      </c>
      <c r="AV16" s="229">
        <v>6.7199999999999996E-2</v>
      </c>
      <c r="AW16" s="228">
        <v>256</v>
      </c>
      <c r="AX16" s="228">
        <v>237</v>
      </c>
      <c r="AY16" s="228">
        <v>19</v>
      </c>
      <c r="AZ16" s="229">
        <v>7.8899999999999998E-2</v>
      </c>
      <c r="BA16" s="228">
        <v>18</v>
      </c>
      <c r="BB16" s="228">
        <v>18</v>
      </c>
      <c r="BC16" s="228">
        <v>0</v>
      </c>
      <c r="BD16" s="229">
        <v>1.9E-2</v>
      </c>
      <c r="BE16" s="228">
        <v>1</v>
      </c>
      <c r="BF16" s="228">
        <v>3</v>
      </c>
      <c r="BG16" s="228">
        <v>-2</v>
      </c>
      <c r="BH16" s="229">
        <v>-0.57410000000000005</v>
      </c>
      <c r="BI16" s="230">
        <v>1058</v>
      </c>
      <c r="BJ16" s="230">
        <v>1043</v>
      </c>
      <c r="BK16" s="228">
        <v>16</v>
      </c>
      <c r="BL16" s="229">
        <v>1.5100000000000001E-2</v>
      </c>
      <c r="BM16" s="230">
        <v>1114</v>
      </c>
      <c r="BN16" s="230">
        <v>1000</v>
      </c>
      <c r="BO16" s="228">
        <v>114</v>
      </c>
      <c r="BP16" s="229">
        <v>0.1139</v>
      </c>
      <c r="BQ16" s="230">
        <v>2448</v>
      </c>
      <c r="BR16" s="230">
        <v>2301</v>
      </c>
      <c r="BS16" s="228">
        <v>147</v>
      </c>
      <c r="BT16" s="229">
        <v>6.3899999999999998E-2</v>
      </c>
      <c r="BU16" s="230">
        <v>1554542</v>
      </c>
      <c r="BV16" s="230">
        <v>733292</v>
      </c>
      <c r="BW16" s="230">
        <v>821250</v>
      </c>
      <c r="BX16" s="229">
        <v>1.1198999999999999</v>
      </c>
      <c r="BY16" s="230">
        <v>3052</v>
      </c>
      <c r="BZ16" s="230">
        <v>3068</v>
      </c>
      <c r="CA16" s="228">
        <v>-16</v>
      </c>
      <c r="CB16" s="229">
        <v>-5.4000000000000003E-3</v>
      </c>
      <c r="CC16" s="230">
        <v>2971</v>
      </c>
      <c r="CD16" s="230">
        <v>2992</v>
      </c>
      <c r="CE16" s="228">
        <v>-21</v>
      </c>
      <c r="CF16" s="229">
        <v>-7.1000000000000004E-3</v>
      </c>
      <c r="CG16" s="228">
        <v>69</v>
      </c>
      <c r="CH16" s="228">
        <v>64</v>
      </c>
      <c r="CI16" s="228">
        <v>5</v>
      </c>
      <c r="CJ16" s="229">
        <v>7.4700000000000003E-2</v>
      </c>
      <c r="CK16" s="228">
        <v>11</v>
      </c>
      <c r="CL16" s="228">
        <v>12</v>
      </c>
      <c r="CM16" s="228">
        <v>0</v>
      </c>
      <c r="CN16" s="229">
        <v>-4.7999999999999996E-3</v>
      </c>
      <c r="CO16" s="230">
        <v>1105</v>
      </c>
      <c r="CP16" s="230">
        <v>1026</v>
      </c>
      <c r="CQ16" s="228">
        <v>79</v>
      </c>
      <c r="CR16" s="229">
        <v>7.6999999999999999E-2</v>
      </c>
      <c r="CS16" s="230">
        <v>1041</v>
      </c>
      <c r="CT16" s="230">
        <v>1008</v>
      </c>
      <c r="CU16" s="228">
        <v>33</v>
      </c>
      <c r="CV16" s="229">
        <v>3.2500000000000001E-2</v>
      </c>
      <c r="CW16" s="230">
        <v>5198</v>
      </c>
      <c r="CX16" s="230">
        <v>5102</v>
      </c>
      <c r="CY16" s="228">
        <v>95</v>
      </c>
      <c r="CZ16" s="229">
        <v>1.8700000000000001E-2</v>
      </c>
      <c r="DA16" s="228">
        <v>32.880000000000003</v>
      </c>
      <c r="DB16" s="228">
        <v>32.93</v>
      </c>
      <c r="DC16" s="228">
        <v>-0.05</v>
      </c>
      <c r="DD16" s="228">
        <v>-0.05</v>
      </c>
      <c r="DE16" s="228">
        <v>26.66</v>
      </c>
      <c r="DF16" s="228">
        <v>26.72</v>
      </c>
      <c r="DG16" s="228">
        <v>6.22</v>
      </c>
      <c r="DH16" s="228">
        <v>-0.06</v>
      </c>
      <c r="DI16" s="228">
        <v>30.71</v>
      </c>
      <c r="DJ16" s="228">
        <v>30.78</v>
      </c>
      <c r="DK16" s="228">
        <v>-7.0000000000000007E-2</v>
      </c>
      <c r="DL16" s="228">
        <v>-7.0000000000000007E-2</v>
      </c>
      <c r="DM16" s="228">
        <v>34.950000000000003</v>
      </c>
      <c r="DN16" s="228">
        <v>35.17</v>
      </c>
      <c r="DO16" s="228">
        <v>-0.22</v>
      </c>
      <c r="DP16" s="228">
        <v>-0.22</v>
      </c>
      <c r="DQ16" s="228">
        <v>0.94</v>
      </c>
      <c r="DR16" s="228">
        <v>0.98</v>
      </c>
      <c r="DS16" s="228">
        <v>-0.04</v>
      </c>
      <c r="DT16" s="229">
        <v>-4.0800000000000003E-2</v>
      </c>
      <c r="DU16" s="231">
        <v>2500</v>
      </c>
      <c r="DV16" s="231">
        <v>2000</v>
      </c>
      <c r="DW16" s="228">
        <v>1.05</v>
      </c>
      <c r="DX16" s="228">
        <v>0.96</v>
      </c>
      <c r="DY16" s="228">
        <v>0.09</v>
      </c>
      <c r="DZ16" s="229">
        <v>9.3799999999999994E-2</v>
      </c>
      <c r="EA16" s="229">
        <v>2.63E-2</v>
      </c>
      <c r="EB16" s="230">
        <v>339750</v>
      </c>
      <c r="EC16" s="229">
        <v>6.4999999999999997E-3</v>
      </c>
      <c r="ED16" s="229">
        <v>2.63E-2</v>
      </c>
      <c r="EE16" s="228">
        <v>11.52</v>
      </c>
      <c r="EF16" s="229">
        <v>5.1999999999999998E-3</v>
      </c>
      <c r="EG16" s="230">
        <v>758873</v>
      </c>
      <c r="EH16" s="230">
        <v>372466</v>
      </c>
      <c r="EI16" s="229">
        <v>1.0374000000000001</v>
      </c>
      <c r="EJ16" s="229">
        <v>0.48820000000000002</v>
      </c>
      <c r="EK16" s="231">
        <v>1126.56</v>
      </c>
      <c r="EL16" s="231">
        <v>1097.6600000000001</v>
      </c>
      <c r="EM16" s="228">
        <v>275.85000000000002</v>
      </c>
      <c r="EN16" s="228">
        <v>70.760000000000005</v>
      </c>
      <c r="EO16" s="231">
        <v>2500.08</v>
      </c>
      <c r="EP16" s="231">
        <v>2377.1999999999998</v>
      </c>
      <c r="EQ16" s="228">
        <v>122.88</v>
      </c>
      <c r="ER16" s="229">
        <v>5.1700000000000003E-2</v>
      </c>
      <c r="ES16" s="231">
        <v>1219.81</v>
      </c>
      <c r="ET16" s="231">
        <v>1023.46</v>
      </c>
      <c r="EU16" s="231">
        <v>3052.25</v>
      </c>
      <c r="EV16" s="231">
        <v>49389162</v>
      </c>
      <c r="EW16" s="231">
        <v>5295.51</v>
      </c>
      <c r="EX16" s="231">
        <v>5209</v>
      </c>
      <c r="EY16" s="228">
        <v>86.51</v>
      </c>
      <c r="EZ16" s="229">
        <v>1.66E-2</v>
      </c>
      <c r="FA16" s="229">
        <v>0.47270000000000001</v>
      </c>
      <c r="FB16" s="227" t="s">
        <v>568</v>
      </c>
      <c r="FC16">
        <f t="shared" si="0"/>
        <v>81</v>
      </c>
    </row>
    <row r="17" spans="1:159" ht="17.25" hidden="1" thickBot="1" x14ac:dyDescent="0.3">
      <c r="A17" s="226">
        <v>46093</v>
      </c>
      <c r="B17" s="227" t="s">
        <v>184</v>
      </c>
      <c r="C17" s="227" t="s">
        <v>503</v>
      </c>
      <c r="D17" s="228">
        <v>425</v>
      </c>
      <c r="E17" s="228">
        <v>18</v>
      </c>
      <c r="F17" s="231">
        <v>1660.4</v>
      </c>
      <c r="G17" s="231">
        <v>1652.3</v>
      </c>
      <c r="H17" s="228">
        <v>8.1</v>
      </c>
      <c r="I17" s="229">
        <v>4.8999999999999998E-3</v>
      </c>
      <c r="J17" s="231">
        <v>1696</v>
      </c>
      <c r="K17" s="231">
        <v>1746.3</v>
      </c>
      <c r="L17" s="228">
        <v>-50.3</v>
      </c>
      <c r="M17" s="229">
        <v>-2.8799999999999999E-2</v>
      </c>
      <c r="N17" s="231">
        <v>1660.4</v>
      </c>
      <c r="O17" s="231">
        <v>1652.3</v>
      </c>
      <c r="P17" s="228">
        <v>8.1</v>
      </c>
      <c r="Q17" s="229">
        <v>4.8999999999999998E-3</v>
      </c>
      <c r="R17" s="231">
        <v>1625.7</v>
      </c>
      <c r="S17" s="231">
        <v>1618.2</v>
      </c>
      <c r="T17" s="228">
        <v>7.5</v>
      </c>
      <c r="U17" s="229">
        <v>4.5999999999999999E-3</v>
      </c>
      <c r="V17" s="231">
        <v>1610.8</v>
      </c>
      <c r="W17" s="231">
        <v>1598.2</v>
      </c>
      <c r="X17" s="228">
        <v>12.6</v>
      </c>
      <c r="Y17" s="229">
        <v>7.9000000000000008E-3</v>
      </c>
      <c r="Z17" s="228">
        <v>-35.6</v>
      </c>
      <c r="AA17" s="228">
        <v>-94</v>
      </c>
      <c r="AB17" s="228">
        <v>58.4</v>
      </c>
      <c r="AC17" s="229">
        <v>-2.1000000000000001E-2</v>
      </c>
      <c r="AD17" s="228">
        <v>-35.6</v>
      </c>
      <c r="AE17" s="228">
        <v>-94</v>
      </c>
      <c r="AF17" s="228">
        <v>58.4</v>
      </c>
      <c r="AG17" s="229">
        <v>-2.1000000000000001E-2</v>
      </c>
      <c r="AH17" s="228">
        <v>-70.3</v>
      </c>
      <c r="AI17" s="228">
        <v>-128.1</v>
      </c>
      <c r="AJ17" s="228">
        <v>57.8</v>
      </c>
      <c r="AK17" s="229">
        <v>-4.1500000000000002E-2</v>
      </c>
      <c r="AL17" s="228">
        <v>-85.2</v>
      </c>
      <c r="AM17" s="228">
        <v>-148.1</v>
      </c>
      <c r="AN17" s="228">
        <v>62.9</v>
      </c>
      <c r="AO17" s="229">
        <v>-5.0200000000000002E-2</v>
      </c>
      <c r="AP17" s="231">
        <v>1639.87</v>
      </c>
      <c r="AQ17" s="231">
        <v>1616.64</v>
      </c>
      <c r="AR17" s="228">
        <v>0</v>
      </c>
      <c r="AS17" s="228">
        <v>474</v>
      </c>
      <c r="AT17" s="228">
        <v>887</v>
      </c>
      <c r="AU17" s="228">
        <v>-413</v>
      </c>
      <c r="AV17" s="229">
        <v>-0.46510000000000001</v>
      </c>
      <c r="AW17" s="228">
        <v>389</v>
      </c>
      <c r="AX17" s="228">
        <v>725</v>
      </c>
      <c r="AY17" s="228">
        <v>-336</v>
      </c>
      <c r="AZ17" s="229">
        <v>-0.46350000000000002</v>
      </c>
      <c r="BA17" s="228">
        <v>82</v>
      </c>
      <c r="BB17" s="228">
        <v>158</v>
      </c>
      <c r="BC17" s="228">
        <v>-75</v>
      </c>
      <c r="BD17" s="229">
        <v>-0.47849999999999998</v>
      </c>
      <c r="BE17" s="228">
        <v>4</v>
      </c>
      <c r="BF17" s="228">
        <v>5</v>
      </c>
      <c r="BG17" s="228">
        <v>-1</v>
      </c>
      <c r="BH17" s="229">
        <v>-0.27139999999999997</v>
      </c>
      <c r="BI17" s="230">
        <v>1974</v>
      </c>
      <c r="BJ17" s="230">
        <v>4296</v>
      </c>
      <c r="BK17" s="230">
        <v>-2322</v>
      </c>
      <c r="BL17" s="229">
        <v>-0.54049999999999998</v>
      </c>
      <c r="BM17" s="230">
        <v>1406</v>
      </c>
      <c r="BN17" s="228">
        <v>973</v>
      </c>
      <c r="BO17" s="228">
        <v>433</v>
      </c>
      <c r="BP17" s="229">
        <v>0.44469999999999998</v>
      </c>
      <c r="BQ17" s="230">
        <v>3854</v>
      </c>
      <c r="BR17" s="230">
        <v>6156</v>
      </c>
      <c r="BS17" s="230">
        <v>-2302</v>
      </c>
      <c r="BT17" s="229">
        <v>-0.37390000000000001</v>
      </c>
      <c r="BU17" s="230">
        <v>1729485</v>
      </c>
      <c r="BV17" s="230">
        <v>2966136</v>
      </c>
      <c r="BW17" s="230">
        <v>-1236651</v>
      </c>
      <c r="BX17" s="229">
        <v>-0.41689999999999999</v>
      </c>
      <c r="BY17" s="230">
        <v>1915</v>
      </c>
      <c r="BZ17" s="230">
        <v>1864</v>
      </c>
      <c r="CA17" s="228">
        <v>52</v>
      </c>
      <c r="CB17" s="229">
        <v>2.7699999999999999E-2</v>
      </c>
      <c r="CC17" s="230">
        <v>1702</v>
      </c>
      <c r="CD17" s="230">
        <v>1672</v>
      </c>
      <c r="CE17" s="228">
        <v>30</v>
      </c>
      <c r="CF17" s="229">
        <v>1.78E-2</v>
      </c>
      <c r="CG17" s="228">
        <v>207</v>
      </c>
      <c r="CH17" s="228">
        <v>186</v>
      </c>
      <c r="CI17" s="228">
        <v>21</v>
      </c>
      <c r="CJ17" s="229">
        <v>0.1132</v>
      </c>
      <c r="CK17" s="228">
        <v>7</v>
      </c>
      <c r="CL17" s="228">
        <v>6</v>
      </c>
      <c r="CM17" s="228">
        <v>1</v>
      </c>
      <c r="CN17" s="229">
        <v>0.13639999999999999</v>
      </c>
      <c r="CO17" s="228">
        <v>499</v>
      </c>
      <c r="CP17" s="228">
        <v>623</v>
      </c>
      <c r="CQ17" s="228">
        <v>-123</v>
      </c>
      <c r="CR17" s="229">
        <v>-0.19789999999999999</v>
      </c>
      <c r="CS17" s="228">
        <v>286</v>
      </c>
      <c r="CT17" s="228">
        <v>304</v>
      </c>
      <c r="CU17" s="228">
        <v>-19</v>
      </c>
      <c r="CV17" s="229">
        <v>-6.1699999999999998E-2</v>
      </c>
      <c r="CW17" s="230">
        <v>2700</v>
      </c>
      <c r="CX17" s="230">
        <v>2791</v>
      </c>
      <c r="CY17" s="228">
        <v>-90</v>
      </c>
      <c r="CZ17" s="229">
        <v>-3.2399999999999998E-2</v>
      </c>
      <c r="DA17" s="228">
        <v>34.79</v>
      </c>
      <c r="DB17" s="228">
        <v>36.049999999999997</v>
      </c>
      <c r="DC17" s="228">
        <v>-1.26</v>
      </c>
      <c r="DD17" s="228">
        <v>-1.26</v>
      </c>
      <c r="DE17" s="228">
        <v>34.71</v>
      </c>
      <c r="DF17" s="228">
        <v>34.57</v>
      </c>
      <c r="DG17" s="228">
        <v>0.08</v>
      </c>
      <c r="DH17" s="228">
        <v>0.14000000000000001</v>
      </c>
      <c r="DI17" s="228">
        <v>33.51</v>
      </c>
      <c r="DJ17" s="228">
        <v>36.159999999999997</v>
      </c>
      <c r="DK17" s="228">
        <v>-2.65</v>
      </c>
      <c r="DL17" s="228">
        <v>-2.65</v>
      </c>
      <c r="DM17" s="228">
        <v>36.590000000000003</v>
      </c>
      <c r="DN17" s="228">
        <v>35.58</v>
      </c>
      <c r="DO17" s="228">
        <v>1.01</v>
      </c>
      <c r="DP17" s="228">
        <v>1.01</v>
      </c>
      <c r="DQ17" s="228">
        <v>0.56999999999999995</v>
      </c>
      <c r="DR17" s="228">
        <v>0.49</v>
      </c>
      <c r="DS17" s="228">
        <v>0.08</v>
      </c>
      <c r="DT17" s="229">
        <v>0.1633</v>
      </c>
      <c r="DU17" s="231">
        <v>1700</v>
      </c>
      <c r="DV17" s="231">
        <v>1600</v>
      </c>
      <c r="DW17" s="228">
        <v>0.71</v>
      </c>
      <c r="DX17" s="228">
        <v>0.23</v>
      </c>
      <c r="DY17" s="228">
        <v>0.48</v>
      </c>
      <c r="DZ17" s="229">
        <v>2.0870000000000002</v>
      </c>
      <c r="EA17" s="229">
        <v>0.1116</v>
      </c>
      <c r="EB17" s="230">
        <v>1156000</v>
      </c>
      <c r="EC17" s="229">
        <v>-2.0899999999999998E-2</v>
      </c>
      <c r="ED17" s="229">
        <v>0.1116</v>
      </c>
      <c r="EE17" s="228">
        <v>-23.23</v>
      </c>
      <c r="EF17" s="229">
        <v>-1.4200000000000001E-2</v>
      </c>
      <c r="EG17" s="230">
        <v>581618</v>
      </c>
      <c r="EH17" s="230">
        <v>1047550</v>
      </c>
      <c r="EI17" s="229">
        <v>-0.44479999999999997</v>
      </c>
      <c r="EJ17" s="229">
        <v>0.33629999999999999</v>
      </c>
      <c r="EK17" s="231">
        <v>2084.98</v>
      </c>
      <c r="EL17" s="231">
        <v>1385.93</v>
      </c>
      <c r="EM17" s="228">
        <v>467.33</v>
      </c>
      <c r="EN17" s="228">
        <v>62.31</v>
      </c>
      <c r="EO17" s="231">
        <v>3938.24</v>
      </c>
      <c r="EP17" s="231">
        <v>6437.27</v>
      </c>
      <c r="EQ17" s="231">
        <v>-2499.0300000000002</v>
      </c>
      <c r="ER17" s="229">
        <v>-0.38819999999999999</v>
      </c>
      <c r="ES17" s="228">
        <v>519.34</v>
      </c>
      <c r="ET17" s="228">
        <v>271.08999999999997</v>
      </c>
      <c r="EU17" s="231">
        <v>1910.8</v>
      </c>
      <c r="EV17" s="231">
        <v>18450534</v>
      </c>
      <c r="EW17" s="231">
        <v>2701.23</v>
      </c>
      <c r="EX17" s="231">
        <v>2792.84</v>
      </c>
      <c r="EY17" s="228">
        <v>-91.61</v>
      </c>
      <c r="EZ17" s="229">
        <v>-3.2800000000000003E-2</v>
      </c>
      <c r="FA17" s="229">
        <v>0.88139999999999996</v>
      </c>
      <c r="FB17" s="227" t="s">
        <v>555</v>
      </c>
      <c r="FC17">
        <f t="shared" si="0"/>
        <v>213</v>
      </c>
    </row>
    <row r="18" spans="1:159" ht="17.25" hidden="1" thickBot="1" x14ac:dyDescent="0.3">
      <c r="A18" s="226">
        <v>46093</v>
      </c>
      <c r="B18" s="227" t="s">
        <v>172</v>
      </c>
      <c r="C18" s="227" t="s">
        <v>495</v>
      </c>
      <c r="D18" s="228">
        <v>1000</v>
      </c>
      <c r="E18" s="228">
        <v>18</v>
      </c>
      <c r="F18" s="228">
        <v>906</v>
      </c>
      <c r="G18" s="228">
        <v>918.6</v>
      </c>
      <c r="H18" s="228">
        <v>-12.6</v>
      </c>
      <c r="I18" s="229">
        <v>-1.37E-2</v>
      </c>
      <c r="J18" s="228">
        <v>902.2</v>
      </c>
      <c r="K18" s="228">
        <v>918.4</v>
      </c>
      <c r="L18" s="228">
        <v>-16.2</v>
      </c>
      <c r="M18" s="229">
        <v>-1.7600000000000001E-2</v>
      </c>
      <c r="N18" s="228">
        <v>906</v>
      </c>
      <c r="O18" s="228">
        <v>918.6</v>
      </c>
      <c r="P18" s="228">
        <v>-12.6</v>
      </c>
      <c r="Q18" s="229">
        <v>-1.37E-2</v>
      </c>
      <c r="R18" s="228">
        <v>911.8</v>
      </c>
      <c r="S18" s="228">
        <v>924.3</v>
      </c>
      <c r="T18" s="228">
        <v>-12.5</v>
      </c>
      <c r="U18" s="229">
        <v>-1.35E-2</v>
      </c>
      <c r="V18" s="228">
        <v>915.5</v>
      </c>
      <c r="W18" s="228">
        <v>928.75</v>
      </c>
      <c r="X18" s="228">
        <v>-13.25</v>
      </c>
      <c r="Y18" s="229">
        <v>-1.43E-2</v>
      </c>
      <c r="Z18" s="228">
        <v>3.8</v>
      </c>
      <c r="AA18" s="228">
        <v>0.2</v>
      </c>
      <c r="AB18" s="228">
        <v>3.6</v>
      </c>
      <c r="AC18" s="229">
        <v>4.1999999999999997E-3</v>
      </c>
      <c r="AD18" s="228">
        <v>3.8</v>
      </c>
      <c r="AE18" s="228">
        <v>0.2</v>
      </c>
      <c r="AF18" s="228">
        <v>3.6</v>
      </c>
      <c r="AG18" s="229">
        <v>4.1999999999999997E-3</v>
      </c>
      <c r="AH18" s="228">
        <v>9.6</v>
      </c>
      <c r="AI18" s="228">
        <v>5.9</v>
      </c>
      <c r="AJ18" s="228">
        <v>3.7</v>
      </c>
      <c r="AK18" s="229">
        <v>1.06E-2</v>
      </c>
      <c r="AL18" s="228">
        <v>13.3</v>
      </c>
      <c r="AM18" s="228">
        <v>10.35</v>
      </c>
      <c r="AN18" s="228">
        <v>2.95</v>
      </c>
      <c r="AO18" s="229">
        <v>1.47E-2</v>
      </c>
      <c r="AP18" s="228">
        <v>908.68</v>
      </c>
      <c r="AQ18" s="228">
        <v>914.23</v>
      </c>
      <c r="AR18" s="228">
        <v>0</v>
      </c>
      <c r="AS18" s="228">
        <v>381</v>
      </c>
      <c r="AT18" s="228">
        <v>335</v>
      </c>
      <c r="AU18" s="228">
        <v>46</v>
      </c>
      <c r="AV18" s="229">
        <v>0.1368</v>
      </c>
      <c r="AW18" s="228">
        <v>350</v>
      </c>
      <c r="AX18" s="228">
        <v>292</v>
      </c>
      <c r="AY18" s="228">
        <v>58</v>
      </c>
      <c r="AZ18" s="229">
        <v>0.19919999999999999</v>
      </c>
      <c r="BA18" s="228">
        <v>26</v>
      </c>
      <c r="BB18" s="228">
        <v>36</v>
      </c>
      <c r="BC18" s="228">
        <v>-10</v>
      </c>
      <c r="BD18" s="229">
        <v>-0.2843</v>
      </c>
      <c r="BE18" s="228">
        <v>5</v>
      </c>
      <c r="BF18" s="228">
        <v>7</v>
      </c>
      <c r="BG18" s="228">
        <v>-2</v>
      </c>
      <c r="BH18" s="229">
        <v>-0.29730000000000001</v>
      </c>
      <c r="BI18" s="228">
        <v>762</v>
      </c>
      <c r="BJ18" s="228">
        <v>743</v>
      </c>
      <c r="BK18" s="228">
        <v>19</v>
      </c>
      <c r="BL18" s="229">
        <v>2.5399999999999999E-2</v>
      </c>
      <c r="BM18" s="228">
        <v>564</v>
      </c>
      <c r="BN18" s="228">
        <v>631</v>
      </c>
      <c r="BO18" s="228">
        <v>-67</v>
      </c>
      <c r="BP18" s="229">
        <v>-0.10539999999999999</v>
      </c>
      <c r="BQ18" s="230">
        <v>1707</v>
      </c>
      <c r="BR18" s="230">
        <v>1708</v>
      </c>
      <c r="BS18" s="228">
        <v>-2</v>
      </c>
      <c r="BT18" s="229">
        <v>-1.1000000000000001E-3</v>
      </c>
      <c r="BU18" s="230">
        <v>1853723</v>
      </c>
      <c r="BV18" s="230">
        <v>1697884</v>
      </c>
      <c r="BW18" s="230">
        <v>155839</v>
      </c>
      <c r="BX18" s="229">
        <v>9.1800000000000007E-2</v>
      </c>
      <c r="BY18" s="230">
        <v>2290</v>
      </c>
      <c r="BZ18" s="230">
        <v>2237</v>
      </c>
      <c r="CA18" s="228">
        <v>53</v>
      </c>
      <c r="CB18" s="229">
        <v>2.3800000000000002E-2</v>
      </c>
      <c r="CC18" s="230">
        <v>2195</v>
      </c>
      <c r="CD18" s="230">
        <v>2151</v>
      </c>
      <c r="CE18" s="228">
        <v>43</v>
      </c>
      <c r="CF18" s="229">
        <v>2.01E-2</v>
      </c>
      <c r="CG18" s="228">
        <v>84</v>
      </c>
      <c r="CH18" s="228">
        <v>77</v>
      </c>
      <c r="CI18" s="228">
        <v>8</v>
      </c>
      <c r="CJ18" s="229">
        <v>0.1018</v>
      </c>
      <c r="CK18" s="228">
        <v>11</v>
      </c>
      <c r="CL18" s="228">
        <v>9</v>
      </c>
      <c r="CM18" s="228">
        <v>2</v>
      </c>
      <c r="CN18" s="229">
        <v>0.25509999999999999</v>
      </c>
      <c r="CO18" s="228">
        <v>864</v>
      </c>
      <c r="CP18" s="228">
        <v>823</v>
      </c>
      <c r="CQ18" s="228">
        <v>41</v>
      </c>
      <c r="CR18" s="229">
        <v>0.05</v>
      </c>
      <c r="CS18" s="228">
        <v>528</v>
      </c>
      <c r="CT18" s="228">
        <v>537</v>
      </c>
      <c r="CU18" s="228">
        <v>-9</v>
      </c>
      <c r="CV18" s="229">
        <v>-1.6199999999999999E-2</v>
      </c>
      <c r="CW18" s="230">
        <v>3683</v>
      </c>
      <c r="CX18" s="230">
        <v>3597</v>
      </c>
      <c r="CY18" s="228">
        <v>86</v>
      </c>
      <c r="CZ18" s="229">
        <v>2.3800000000000002E-2</v>
      </c>
      <c r="DA18" s="228">
        <v>32.32</v>
      </c>
      <c r="DB18" s="228">
        <v>32.42</v>
      </c>
      <c r="DC18" s="228">
        <v>-0.1</v>
      </c>
      <c r="DD18" s="228">
        <v>-0.1</v>
      </c>
      <c r="DE18" s="228">
        <v>35.04</v>
      </c>
      <c r="DF18" s="228">
        <v>35.04</v>
      </c>
      <c r="DG18" s="228">
        <v>-2.72</v>
      </c>
      <c r="DH18" s="228">
        <v>0</v>
      </c>
      <c r="DI18" s="228">
        <v>31.86</v>
      </c>
      <c r="DJ18" s="228">
        <v>31.83</v>
      </c>
      <c r="DK18" s="228">
        <v>0.03</v>
      </c>
      <c r="DL18" s="228">
        <v>0.03</v>
      </c>
      <c r="DM18" s="228">
        <v>32.93</v>
      </c>
      <c r="DN18" s="228">
        <v>33.130000000000003</v>
      </c>
      <c r="DO18" s="228">
        <v>-0.2</v>
      </c>
      <c r="DP18" s="228">
        <v>-0.2</v>
      </c>
      <c r="DQ18" s="228">
        <v>0.61</v>
      </c>
      <c r="DR18" s="228">
        <v>0.65</v>
      </c>
      <c r="DS18" s="228">
        <v>-0.04</v>
      </c>
      <c r="DT18" s="229">
        <v>-6.1499999999999999E-2</v>
      </c>
      <c r="DU18" s="231">
        <v>1000</v>
      </c>
      <c r="DV18" s="228">
        <v>900</v>
      </c>
      <c r="DW18" s="228">
        <v>0.74</v>
      </c>
      <c r="DX18" s="228">
        <v>0.85</v>
      </c>
      <c r="DY18" s="228">
        <v>-0.11</v>
      </c>
      <c r="DZ18" s="229">
        <v>-0.12939999999999999</v>
      </c>
      <c r="EA18" s="229">
        <v>4.1700000000000001E-2</v>
      </c>
      <c r="EB18" s="230">
        <v>943000</v>
      </c>
      <c r="EC18" s="229">
        <v>6.4000000000000003E-3</v>
      </c>
      <c r="ED18" s="229">
        <v>4.1700000000000001E-2</v>
      </c>
      <c r="EE18" s="228">
        <v>5.55</v>
      </c>
      <c r="EF18" s="229">
        <v>6.1000000000000004E-3</v>
      </c>
      <c r="EG18" s="230">
        <v>1112825</v>
      </c>
      <c r="EH18" s="230">
        <v>941467</v>
      </c>
      <c r="EI18" s="229">
        <v>0.182</v>
      </c>
      <c r="EJ18" s="229">
        <v>0.60029999999999994</v>
      </c>
      <c r="EK18" s="228">
        <v>814.15</v>
      </c>
      <c r="EL18" s="228">
        <v>568.98</v>
      </c>
      <c r="EM18" s="228">
        <v>382.21</v>
      </c>
      <c r="EN18" s="228">
        <v>46.35</v>
      </c>
      <c r="EO18" s="231">
        <v>1765.34</v>
      </c>
      <c r="EP18" s="231">
        <v>1800.98</v>
      </c>
      <c r="EQ18" s="228">
        <v>-35.64</v>
      </c>
      <c r="ER18" s="229">
        <v>-1.9800000000000002E-2</v>
      </c>
      <c r="ES18" s="228">
        <v>948.46</v>
      </c>
      <c r="ET18" s="228">
        <v>538.58000000000004</v>
      </c>
      <c r="EU18" s="231">
        <v>2290.84</v>
      </c>
      <c r="EV18" s="231">
        <v>86371921</v>
      </c>
      <c r="EW18" s="231">
        <v>3777.88</v>
      </c>
      <c r="EX18" s="231">
        <v>3726.82</v>
      </c>
      <c r="EY18" s="228">
        <v>51.06</v>
      </c>
      <c r="EZ18" s="229">
        <v>1.37E-2</v>
      </c>
      <c r="FA18" s="229">
        <v>0.47060000000000002</v>
      </c>
      <c r="FB18" s="227" t="s">
        <v>567</v>
      </c>
      <c r="FC18">
        <f t="shared" si="0"/>
        <v>95</v>
      </c>
    </row>
    <row r="19" spans="1:159" ht="17.25" hidden="1" thickBot="1" x14ac:dyDescent="0.3">
      <c r="A19" s="226">
        <v>46093</v>
      </c>
      <c r="B19" s="227" t="s">
        <v>170</v>
      </c>
      <c r="C19" s="227" t="s">
        <v>171</v>
      </c>
      <c r="D19" s="228">
        <v>550</v>
      </c>
      <c r="E19" s="228">
        <v>18</v>
      </c>
      <c r="F19" s="231">
        <v>1313.2</v>
      </c>
      <c r="G19" s="231">
        <v>1306.5</v>
      </c>
      <c r="H19" s="228">
        <v>6.7</v>
      </c>
      <c r="I19" s="229">
        <v>5.1000000000000004E-3</v>
      </c>
      <c r="J19" s="231">
        <v>1311.9</v>
      </c>
      <c r="K19" s="231">
        <v>1304.8</v>
      </c>
      <c r="L19" s="228">
        <v>7.1</v>
      </c>
      <c r="M19" s="229">
        <v>5.4000000000000003E-3</v>
      </c>
      <c r="N19" s="231">
        <v>1313.2</v>
      </c>
      <c r="O19" s="231">
        <v>1306.5</v>
      </c>
      <c r="P19" s="228">
        <v>6.7</v>
      </c>
      <c r="Q19" s="229">
        <v>5.1000000000000004E-3</v>
      </c>
      <c r="R19" s="231">
        <v>1320.2</v>
      </c>
      <c r="S19" s="231">
        <v>1314.2</v>
      </c>
      <c r="T19" s="228">
        <v>6</v>
      </c>
      <c r="U19" s="229">
        <v>4.5999999999999999E-3</v>
      </c>
      <c r="V19" s="231">
        <v>1327.8</v>
      </c>
      <c r="W19" s="231">
        <v>1328</v>
      </c>
      <c r="X19" s="228">
        <v>-0.2</v>
      </c>
      <c r="Y19" s="229">
        <v>-2.0000000000000001E-4</v>
      </c>
      <c r="Z19" s="228">
        <v>1.3</v>
      </c>
      <c r="AA19" s="228">
        <v>1.7</v>
      </c>
      <c r="AB19" s="228">
        <v>-0.4</v>
      </c>
      <c r="AC19" s="229">
        <v>1E-3</v>
      </c>
      <c r="AD19" s="228">
        <v>1.3</v>
      </c>
      <c r="AE19" s="228">
        <v>1.7</v>
      </c>
      <c r="AF19" s="228">
        <v>-0.4</v>
      </c>
      <c r="AG19" s="229">
        <v>1E-3</v>
      </c>
      <c r="AH19" s="228">
        <v>8.3000000000000007</v>
      </c>
      <c r="AI19" s="228">
        <v>9.4</v>
      </c>
      <c r="AJ19" s="228">
        <v>-1.1000000000000001</v>
      </c>
      <c r="AK19" s="229">
        <v>6.3E-3</v>
      </c>
      <c r="AL19" s="228">
        <v>15.9</v>
      </c>
      <c r="AM19" s="228">
        <v>23.2</v>
      </c>
      <c r="AN19" s="228">
        <v>-7.3</v>
      </c>
      <c r="AO19" s="229">
        <v>1.21E-2</v>
      </c>
      <c r="AP19" s="231">
        <v>1307</v>
      </c>
      <c r="AQ19" s="231">
        <v>1317.21</v>
      </c>
      <c r="AR19" s="228">
        <v>0</v>
      </c>
      <c r="AS19" s="228">
        <v>490</v>
      </c>
      <c r="AT19" s="228">
        <v>535</v>
      </c>
      <c r="AU19" s="228">
        <v>-45</v>
      </c>
      <c r="AV19" s="229">
        <v>-8.4599999999999995E-2</v>
      </c>
      <c r="AW19" s="228">
        <v>471</v>
      </c>
      <c r="AX19" s="228">
        <v>496</v>
      </c>
      <c r="AY19" s="228">
        <v>-25</v>
      </c>
      <c r="AZ19" s="229">
        <v>-5.0999999999999997E-2</v>
      </c>
      <c r="BA19" s="228">
        <v>19</v>
      </c>
      <c r="BB19" s="228">
        <v>38</v>
      </c>
      <c r="BC19" s="228">
        <v>-20</v>
      </c>
      <c r="BD19" s="229">
        <v>-0.50749999999999995</v>
      </c>
      <c r="BE19" s="228">
        <v>1</v>
      </c>
      <c r="BF19" s="228">
        <v>1</v>
      </c>
      <c r="BG19" s="228">
        <v>-1</v>
      </c>
      <c r="BH19" s="229">
        <v>-0.5</v>
      </c>
      <c r="BI19" s="230">
        <v>1439</v>
      </c>
      <c r="BJ19" s="230">
        <v>2029</v>
      </c>
      <c r="BK19" s="228">
        <v>-591</v>
      </c>
      <c r="BL19" s="229">
        <v>-0.29099999999999998</v>
      </c>
      <c r="BM19" s="230">
        <v>1199</v>
      </c>
      <c r="BN19" s="228">
        <v>749</v>
      </c>
      <c r="BO19" s="228">
        <v>451</v>
      </c>
      <c r="BP19" s="229">
        <v>0.6018</v>
      </c>
      <c r="BQ19" s="230">
        <v>3128</v>
      </c>
      <c r="BR19" s="230">
        <v>3313</v>
      </c>
      <c r="BS19" s="228">
        <v>-185</v>
      </c>
      <c r="BT19" s="229">
        <v>-5.5899999999999998E-2</v>
      </c>
      <c r="BU19" s="230">
        <v>2189295</v>
      </c>
      <c r="BV19" s="230">
        <v>2582023</v>
      </c>
      <c r="BW19" s="230">
        <v>-392728</v>
      </c>
      <c r="BX19" s="229">
        <v>-0.15210000000000001</v>
      </c>
      <c r="BY19" s="230">
        <v>2905</v>
      </c>
      <c r="BZ19" s="230">
        <v>2970</v>
      </c>
      <c r="CA19" s="228">
        <v>-65</v>
      </c>
      <c r="CB19" s="229">
        <v>-2.1999999999999999E-2</v>
      </c>
      <c r="CC19" s="230">
        <v>2870</v>
      </c>
      <c r="CD19" s="230">
        <v>2933</v>
      </c>
      <c r="CE19" s="228">
        <v>-64</v>
      </c>
      <c r="CF19" s="229">
        <v>-2.1700000000000001E-2</v>
      </c>
      <c r="CG19" s="228">
        <v>33</v>
      </c>
      <c r="CH19" s="228">
        <v>34</v>
      </c>
      <c r="CI19" s="228">
        <v>-2</v>
      </c>
      <c r="CJ19" s="229">
        <v>-5.45E-2</v>
      </c>
      <c r="CK19" s="228">
        <v>2</v>
      </c>
      <c r="CL19" s="228">
        <v>2</v>
      </c>
      <c r="CM19" s="228">
        <v>0</v>
      </c>
      <c r="CN19" s="229">
        <v>6.25E-2</v>
      </c>
      <c r="CO19" s="228">
        <v>762</v>
      </c>
      <c r="CP19" s="228">
        <v>699</v>
      </c>
      <c r="CQ19" s="228">
        <v>62</v>
      </c>
      <c r="CR19" s="229">
        <v>8.9200000000000002E-2</v>
      </c>
      <c r="CS19" s="228">
        <v>705</v>
      </c>
      <c r="CT19" s="228">
        <v>598</v>
      </c>
      <c r="CU19" s="228">
        <v>107</v>
      </c>
      <c r="CV19" s="229">
        <v>0.17879999999999999</v>
      </c>
      <c r="CW19" s="230">
        <v>4372</v>
      </c>
      <c r="CX19" s="230">
        <v>4268</v>
      </c>
      <c r="CY19" s="228">
        <v>104</v>
      </c>
      <c r="CZ19" s="229">
        <v>2.4400000000000002E-2</v>
      </c>
      <c r="DA19" s="228">
        <v>33.74</v>
      </c>
      <c r="DB19" s="228">
        <v>31.91</v>
      </c>
      <c r="DC19" s="228">
        <v>1.83</v>
      </c>
      <c r="DD19" s="228">
        <v>1.83</v>
      </c>
      <c r="DE19" s="228">
        <v>34.01</v>
      </c>
      <c r="DF19" s="228">
        <v>34.090000000000003</v>
      </c>
      <c r="DG19" s="228">
        <v>-0.27</v>
      </c>
      <c r="DH19" s="228">
        <v>-0.08</v>
      </c>
      <c r="DI19" s="228">
        <v>32.53</v>
      </c>
      <c r="DJ19" s="228">
        <v>31.42</v>
      </c>
      <c r="DK19" s="228">
        <v>1.1100000000000001</v>
      </c>
      <c r="DL19" s="228">
        <v>1.1100000000000001</v>
      </c>
      <c r="DM19" s="228">
        <v>35.19</v>
      </c>
      <c r="DN19" s="228">
        <v>33.26</v>
      </c>
      <c r="DO19" s="228">
        <v>1.93</v>
      </c>
      <c r="DP19" s="228">
        <v>1.93</v>
      </c>
      <c r="DQ19" s="228">
        <v>0.93</v>
      </c>
      <c r="DR19" s="228">
        <v>0.86</v>
      </c>
      <c r="DS19" s="228">
        <v>7.0000000000000007E-2</v>
      </c>
      <c r="DT19" s="229">
        <v>8.14E-2</v>
      </c>
      <c r="DU19" s="231">
        <v>1300</v>
      </c>
      <c r="DV19" s="231">
        <v>1200</v>
      </c>
      <c r="DW19" s="228">
        <v>0.83</v>
      </c>
      <c r="DX19" s="228">
        <v>0.37</v>
      </c>
      <c r="DY19" s="228">
        <v>0.46</v>
      </c>
      <c r="DZ19" s="229">
        <v>1.2432000000000001</v>
      </c>
      <c r="EA19" s="229">
        <v>1.21E-2</v>
      </c>
      <c r="EB19" s="230">
        <v>279950</v>
      </c>
      <c r="EC19" s="229">
        <v>5.3E-3</v>
      </c>
      <c r="ED19" s="229">
        <v>1.21E-2</v>
      </c>
      <c r="EE19" s="228">
        <v>10.210000000000001</v>
      </c>
      <c r="EF19" s="229">
        <v>7.7999999999999996E-3</v>
      </c>
      <c r="EG19" s="230">
        <v>1027700</v>
      </c>
      <c r="EH19" s="230">
        <v>1278635</v>
      </c>
      <c r="EI19" s="229">
        <v>-0.1963</v>
      </c>
      <c r="EJ19" s="229">
        <v>0.46939999999999998</v>
      </c>
      <c r="EK19" s="231">
        <v>1495.83</v>
      </c>
      <c r="EL19" s="231">
        <v>1159.8800000000001</v>
      </c>
      <c r="EM19" s="228">
        <v>487.82</v>
      </c>
      <c r="EN19" s="228">
        <v>60.6</v>
      </c>
      <c r="EO19" s="231">
        <v>3143.54</v>
      </c>
      <c r="EP19" s="231">
        <v>3373.92</v>
      </c>
      <c r="EQ19" s="228">
        <v>-230.39</v>
      </c>
      <c r="ER19" s="229">
        <v>-6.83E-2</v>
      </c>
      <c r="ES19" s="228">
        <v>749.5</v>
      </c>
      <c r="ET19" s="228">
        <v>652.6</v>
      </c>
      <c r="EU19" s="231">
        <v>2904.91</v>
      </c>
      <c r="EV19" s="231">
        <v>41977935</v>
      </c>
      <c r="EW19" s="231">
        <v>4307.0200000000004</v>
      </c>
      <c r="EX19" s="231">
        <v>4189.09</v>
      </c>
      <c r="EY19" s="228">
        <v>117.93</v>
      </c>
      <c r="EZ19" s="229">
        <v>2.8199999999999999E-2</v>
      </c>
      <c r="FA19" s="229">
        <v>0.79300000000000004</v>
      </c>
      <c r="FB19" s="227" t="s">
        <v>556</v>
      </c>
      <c r="FC19">
        <f t="shared" si="0"/>
        <v>35</v>
      </c>
    </row>
    <row r="20" spans="1:159" ht="17.25" hidden="1" thickBot="1" x14ac:dyDescent="0.3">
      <c r="A20" s="226">
        <v>46093</v>
      </c>
      <c r="B20" s="227" t="s">
        <v>172</v>
      </c>
      <c r="C20" s="227" t="s">
        <v>173</v>
      </c>
      <c r="D20" s="228">
        <v>625</v>
      </c>
      <c r="E20" s="228">
        <v>18</v>
      </c>
      <c r="F20" s="231">
        <v>1239.4000000000001</v>
      </c>
      <c r="G20" s="231">
        <v>1260.3</v>
      </c>
      <c r="H20" s="228">
        <v>-20.9</v>
      </c>
      <c r="I20" s="229">
        <v>-1.66E-2</v>
      </c>
      <c r="J20" s="231">
        <v>1234.5</v>
      </c>
      <c r="K20" s="231">
        <v>1255.8</v>
      </c>
      <c r="L20" s="228">
        <v>-21.3</v>
      </c>
      <c r="M20" s="229">
        <v>-1.7000000000000001E-2</v>
      </c>
      <c r="N20" s="231">
        <v>1239.4000000000001</v>
      </c>
      <c r="O20" s="231">
        <v>1260.3</v>
      </c>
      <c r="P20" s="228">
        <v>-20.9</v>
      </c>
      <c r="Q20" s="229">
        <v>-1.66E-2</v>
      </c>
      <c r="R20" s="231">
        <v>1246.7</v>
      </c>
      <c r="S20" s="231">
        <v>1267.9000000000001</v>
      </c>
      <c r="T20" s="228">
        <v>-21.2</v>
      </c>
      <c r="U20" s="229">
        <v>-1.67E-2</v>
      </c>
      <c r="V20" s="231">
        <v>1253.5</v>
      </c>
      <c r="W20" s="231">
        <v>1276.5999999999999</v>
      </c>
      <c r="X20" s="228">
        <v>-23.1</v>
      </c>
      <c r="Y20" s="229">
        <v>-1.8100000000000002E-2</v>
      </c>
      <c r="Z20" s="228">
        <v>4.9000000000000004</v>
      </c>
      <c r="AA20" s="228">
        <v>4.5</v>
      </c>
      <c r="AB20" s="228">
        <v>0.4</v>
      </c>
      <c r="AC20" s="229">
        <v>4.0000000000000001E-3</v>
      </c>
      <c r="AD20" s="228">
        <v>4.9000000000000004</v>
      </c>
      <c r="AE20" s="228">
        <v>4.5</v>
      </c>
      <c r="AF20" s="228">
        <v>0.4</v>
      </c>
      <c r="AG20" s="229">
        <v>4.0000000000000001E-3</v>
      </c>
      <c r="AH20" s="228">
        <v>12.2</v>
      </c>
      <c r="AI20" s="228">
        <v>12.1</v>
      </c>
      <c r="AJ20" s="228">
        <v>0.1</v>
      </c>
      <c r="AK20" s="229">
        <v>9.9000000000000008E-3</v>
      </c>
      <c r="AL20" s="228">
        <v>19</v>
      </c>
      <c r="AM20" s="228">
        <v>20.8</v>
      </c>
      <c r="AN20" s="228">
        <v>-1.8</v>
      </c>
      <c r="AO20" s="229">
        <v>1.54E-2</v>
      </c>
      <c r="AP20" s="231">
        <v>1245.23</v>
      </c>
      <c r="AQ20" s="231">
        <v>1253.28</v>
      </c>
      <c r="AR20" s="228">
        <v>0</v>
      </c>
      <c r="AS20" s="230">
        <v>1292</v>
      </c>
      <c r="AT20" s="230">
        <v>2237</v>
      </c>
      <c r="AU20" s="228">
        <v>-945</v>
      </c>
      <c r="AV20" s="229">
        <v>-0.42230000000000001</v>
      </c>
      <c r="AW20" s="230">
        <v>1128</v>
      </c>
      <c r="AX20" s="230">
        <v>1604</v>
      </c>
      <c r="AY20" s="228">
        <v>-476</v>
      </c>
      <c r="AZ20" s="229">
        <v>-0.2969</v>
      </c>
      <c r="BA20" s="228">
        <v>86</v>
      </c>
      <c r="BB20" s="228">
        <v>619</v>
      </c>
      <c r="BC20" s="228">
        <v>-533</v>
      </c>
      <c r="BD20" s="229">
        <v>-0.86099999999999999</v>
      </c>
      <c r="BE20" s="228">
        <v>78</v>
      </c>
      <c r="BF20" s="228">
        <v>13</v>
      </c>
      <c r="BG20" s="228">
        <v>65</v>
      </c>
      <c r="BH20" s="229">
        <v>4.7873999999999999</v>
      </c>
      <c r="BI20" s="230">
        <v>3596</v>
      </c>
      <c r="BJ20" s="230">
        <v>4789</v>
      </c>
      <c r="BK20" s="230">
        <v>-1193</v>
      </c>
      <c r="BL20" s="229">
        <v>-0.24909999999999999</v>
      </c>
      <c r="BM20" s="230">
        <v>2330</v>
      </c>
      <c r="BN20" s="230">
        <v>3236</v>
      </c>
      <c r="BO20" s="228">
        <v>-906</v>
      </c>
      <c r="BP20" s="229">
        <v>-0.28000000000000003</v>
      </c>
      <c r="BQ20" s="230">
        <v>7218</v>
      </c>
      <c r="BR20" s="230">
        <v>10262</v>
      </c>
      <c r="BS20" s="230">
        <v>-3044</v>
      </c>
      <c r="BT20" s="229">
        <v>-0.29659999999999997</v>
      </c>
      <c r="BU20" s="230">
        <v>10622021</v>
      </c>
      <c r="BV20" s="230">
        <v>7364481</v>
      </c>
      <c r="BW20" s="230">
        <v>3257540</v>
      </c>
      <c r="BX20" s="229">
        <v>0.44230000000000003</v>
      </c>
      <c r="BY20" s="230">
        <v>8453</v>
      </c>
      <c r="BZ20" s="230">
        <v>8272</v>
      </c>
      <c r="CA20" s="228">
        <v>181</v>
      </c>
      <c r="CB20" s="229">
        <v>2.1899999999999999E-2</v>
      </c>
      <c r="CC20" s="230">
        <v>7011</v>
      </c>
      <c r="CD20" s="230">
        <v>6937</v>
      </c>
      <c r="CE20" s="228">
        <v>74</v>
      </c>
      <c r="CF20" s="229">
        <v>1.0699999999999999E-2</v>
      </c>
      <c r="CG20" s="230">
        <v>1352</v>
      </c>
      <c r="CH20" s="230">
        <v>1315</v>
      </c>
      <c r="CI20" s="228">
        <v>37</v>
      </c>
      <c r="CJ20" s="229">
        <v>2.7900000000000001E-2</v>
      </c>
      <c r="CK20" s="228">
        <v>91</v>
      </c>
      <c r="CL20" s="228">
        <v>21</v>
      </c>
      <c r="CM20" s="228">
        <v>70</v>
      </c>
      <c r="CN20" s="229">
        <v>3.3843000000000001</v>
      </c>
      <c r="CO20" s="230">
        <v>2837</v>
      </c>
      <c r="CP20" s="230">
        <v>2627</v>
      </c>
      <c r="CQ20" s="228">
        <v>210</v>
      </c>
      <c r="CR20" s="229">
        <v>0.08</v>
      </c>
      <c r="CS20" s="230">
        <v>1364</v>
      </c>
      <c r="CT20" s="230">
        <v>1309</v>
      </c>
      <c r="CU20" s="228">
        <v>55</v>
      </c>
      <c r="CV20" s="229">
        <v>4.2099999999999999E-2</v>
      </c>
      <c r="CW20" s="230">
        <v>12655</v>
      </c>
      <c r="CX20" s="230">
        <v>12208</v>
      </c>
      <c r="CY20" s="228">
        <v>446</v>
      </c>
      <c r="CZ20" s="229">
        <v>3.6600000000000001E-2</v>
      </c>
      <c r="DA20" s="228">
        <v>27.94</v>
      </c>
      <c r="DB20" s="228">
        <v>27.84</v>
      </c>
      <c r="DC20" s="228">
        <v>0.1</v>
      </c>
      <c r="DD20" s="228">
        <v>0.1</v>
      </c>
      <c r="DE20" s="228">
        <v>27.33</v>
      </c>
      <c r="DF20" s="228">
        <v>27.3</v>
      </c>
      <c r="DG20" s="228">
        <v>0.61</v>
      </c>
      <c r="DH20" s="228">
        <v>0.03</v>
      </c>
      <c r="DI20" s="228">
        <v>27.26</v>
      </c>
      <c r="DJ20" s="228">
        <v>27.13</v>
      </c>
      <c r="DK20" s="228">
        <v>0.13</v>
      </c>
      <c r="DL20" s="228">
        <v>0.13</v>
      </c>
      <c r="DM20" s="228">
        <v>28.99</v>
      </c>
      <c r="DN20" s="228">
        <v>28.89</v>
      </c>
      <c r="DO20" s="228">
        <v>0.1</v>
      </c>
      <c r="DP20" s="228">
        <v>0.1</v>
      </c>
      <c r="DQ20" s="228">
        <v>0.48</v>
      </c>
      <c r="DR20" s="228">
        <v>0.5</v>
      </c>
      <c r="DS20" s="228">
        <v>-0.02</v>
      </c>
      <c r="DT20" s="229">
        <v>-0.04</v>
      </c>
      <c r="DU20" s="231">
        <v>1300</v>
      </c>
      <c r="DV20" s="231">
        <v>1400</v>
      </c>
      <c r="DW20" s="228">
        <v>0.65</v>
      </c>
      <c r="DX20" s="228">
        <v>0.68</v>
      </c>
      <c r="DY20" s="228">
        <v>-0.03</v>
      </c>
      <c r="DZ20" s="229">
        <v>-4.41E-2</v>
      </c>
      <c r="EA20" s="229">
        <v>0.17069999999999999</v>
      </c>
      <c r="EB20" s="230">
        <v>10778125</v>
      </c>
      <c r="EC20" s="229">
        <v>5.8999999999999999E-3</v>
      </c>
      <c r="ED20" s="229">
        <v>0.17069999999999999</v>
      </c>
      <c r="EE20" s="228">
        <v>8.0500000000000007</v>
      </c>
      <c r="EF20" s="229">
        <v>6.4999999999999997E-3</v>
      </c>
      <c r="EG20" s="230">
        <v>6673467</v>
      </c>
      <c r="EH20" s="230">
        <v>4460260</v>
      </c>
      <c r="EI20" s="229">
        <v>0.49619999999999997</v>
      </c>
      <c r="EJ20" s="229">
        <v>0.62829999999999997</v>
      </c>
      <c r="EK20" s="231">
        <v>3819.64</v>
      </c>
      <c r="EL20" s="231">
        <v>2340.5700000000002</v>
      </c>
      <c r="EM20" s="231">
        <v>1299.6400000000001</v>
      </c>
      <c r="EN20" s="228">
        <v>203.94</v>
      </c>
      <c r="EO20" s="231">
        <v>7459.84</v>
      </c>
      <c r="EP20" s="231">
        <v>10838.51</v>
      </c>
      <c r="EQ20" s="231">
        <v>-3378.67</v>
      </c>
      <c r="ER20" s="229">
        <v>-0.31169999999999998</v>
      </c>
      <c r="ES20" s="231">
        <v>3096.98</v>
      </c>
      <c r="ET20" s="231">
        <v>1420.63</v>
      </c>
      <c r="EU20" s="231">
        <v>8462.4</v>
      </c>
      <c r="EV20" s="231">
        <v>296371456</v>
      </c>
      <c r="EW20" s="231">
        <v>12980.01</v>
      </c>
      <c r="EX20" s="231">
        <v>12673.2</v>
      </c>
      <c r="EY20" s="228">
        <v>306.81</v>
      </c>
      <c r="EZ20" s="229">
        <v>2.4199999999999999E-2</v>
      </c>
      <c r="FA20" s="229">
        <v>0.34449999999999997</v>
      </c>
      <c r="FB20" s="227" t="s">
        <v>567</v>
      </c>
      <c r="FC20">
        <f t="shared" si="0"/>
        <v>1442</v>
      </c>
    </row>
    <row r="21" spans="1:159" ht="17.25" hidden="1" thickBot="1" x14ac:dyDescent="0.3">
      <c r="A21" s="226">
        <v>46093</v>
      </c>
      <c r="B21" s="227" t="s">
        <v>162</v>
      </c>
      <c r="C21" s="227" t="s">
        <v>174</v>
      </c>
      <c r="D21" s="228">
        <v>75</v>
      </c>
      <c r="E21" s="228">
        <v>18</v>
      </c>
      <c r="F21" s="231">
        <v>9127.5</v>
      </c>
      <c r="G21" s="231">
        <v>9308</v>
      </c>
      <c r="H21" s="228">
        <v>-180.5</v>
      </c>
      <c r="I21" s="229">
        <v>-1.9400000000000001E-2</v>
      </c>
      <c r="J21" s="231">
        <v>9162</v>
      </c>
      <c r="K21" s="231">
        <v>9327.5</v>
      </c>
      <c r="L21" s="228">
        <v>-165.5</v>
      </c>
      <c r="M21" s="229">
        <v>-1.77E-2</v>
      </c>
      <c r="N21" s="231">
        <v>9127.5</v>
      </c>
      <c r="O21" s="231">
        <v>9308</v>
      </c>
      <c r="P21" s="228">
        <v>-180.5</v>
      </c>
      <c r="Q21" s="229">
        <v>-1.9400000000000001E-2</v>
      </c>
      <c r="R21" s="231">
        <v>9148.5</v>
      </c>
      <c r="S21" s="231">
        <v>9329.5</v>
      </c>
      <c r="T21" s="228">
        <v>-181</v>
      </c>
      <c r="U21" s="229">
        <v>-1.9400000000000001E-2</v>
      </c>
      <c r="V21" s="231">
        <v>9160.5</v>
      </c>
      <c r="W21" s="231">
        <v>9385</v>
      </c>
      <c r="X21" s="228">
        <v>-224.5</v>
      </c>
      <c r="Y21" s="229">
        <v>-2.3900000000000001E-2</v>
      </c>
      <c r="Z21" s="228">
        <v>-34.5</v>
      </c>
      <c r="AA21" s="228">
        <v>-19.5</v>
      </c>
      <c r="AB21" s="228">
        <v>-15</v>
      </c>
      <c r="AC21" s="229">
        <v>-3.8E-3</v>
      </c>
      <c r="AD21" s="228">
        <v>-34.5</v>
      </c>
      <c r="AE21" s="228">
        <v>-19.5</v>
      </c>
      <c r="AF21" s="228">
        <v>-15</v>
      </c>
      <c r="AG21" s="229">
        <v>-3.8E-3</v>
      </c>
      <c r="AH21" s="228">
        <v>-13.5</v>
      </c>
      <c r="AI21" s="228">
        <v>2</v>
      </c>
      <c r="AJ21" s="228">
        <v>-15.5</v>
      </c>
      <c r="AK21" s="229">
        <v>-1.5E-3</v>
      </c>
      <c r="AL21" s="228">
        <v>-1.5</v>
      </c>
      <c r="AM21" s="228">
        <v>57.5</v>
      </c>
      <c r="AN21" s="228">
        <v>-59</v>
      </c>
      <c r="AO21" s="229">
        <v>-2.0000000000000001E-4</v>
      </c>
      <c r="AP21" s="231">
        <v>9148.02</v>
      </c>
      <c r="AQ21" s="231">
        <v>9166.1</v>
      </c>
      <c r="AR21" s="228">
        <v>0</v>
      </c>
      <c r="AS21" s="228">
        <v>652</v>
      </c>
      <c r="AT21" s="228">
        <v>618</v>
      </c>
      <c r="AU21" s="228">
        <v>35</v>
      </c>
      <c r="AV21" s="229">
        <v>5.5899999999999998E-2</v>
      </c>
      <c r="AW21" s="228">
        <v>535</v>
      </c>
      <c r="AX21" s="228">
        <v>571</v>
      </c>
      <c r="AY21" s="228">
        <v>-37</v>
      </c>
      <c r="AZ21" s="229">
        <v>-6.4299999999999996E-2</v>
      </c>
      <c r="BA21" s="228">
        <v>116</v>
      </c>
      <c r="BB21" s="228">
        <v>44</v>
      </c>
      <c r="BC21" s="228">
        <v>72</v>
      </c>
      <c r="BD21" s="229">
        <v>1.6463000000000001</v>
      </c>
      <c r="BE21" s="228">
        <v>2</v>
      </c>
      <c r="BF21" s="228">
        <v>3</v>
      </c>
      <c r="BG21" s="228">
        <v>-1</v>
      </c>
      <c r="BH21" s="229">
        <v>-0.23810000000000001</v>
      </c>
      <c r="BI21" s="230">
        <v>1895</v>
      </c>
      <c r="BJ21" s="230">
        <v>2370</v>
      </c>
      <c r="BK21" s="228">
        <v>-475</v>
      </c>
      <c r="BL21" s="229">
        <v>-0.2006</v>
      </c>
      <c r="BM21" s="230">
        <v>1335</v>
      </c>
      <c r="BN21" s="230">
        <v>1833</v>
      </c>
      <c r="BO21" s="228">
        <v>-498</v>
      </c>
      <c r="BP21" s="229">
        <v>-0.27160000000000001</v>
      </c>
      <c r="BQ21" s="230">
        <v>3882</v>
      </c>
      <c r="BR21" s="230">
        <v>4821</v>
      </c>
      <c r="BS21" s="228">
        <v>-939</v>
      </c>
      <c r="BT21" s="229">
        <v>-0.19470000000000001</v>
      </c>
      <c r="BU21" s="230">
        <v>410172</v>
      </c>
      <c r="BV21" s="230">
        <v>498126</v>
      </c>
      <c r="BW21" s="230">
        <v>-87954</v>
      </c>
      <c r="BX21" s="229">
        <v>-0.17660000000000001</v>
      </c>
      <c r="BY21" s="230">
        <v>3099</v>
      </c>
      <c r="BZ21" s="230">
        <v>2971</v>
      </c>
      <c r="CA21" s="228">
        <v>128</v>
      </c>
      <c r="CB21" s="229">
        <v>4.3200000000000002E-2</v>
      </c>
      <c r="CC21" s="230">
        <v>2963</v>
      </c>
      <c r="CD21" s="230">
        <v>2922</v>
      </c>
      <c r="CE21" s="228">
        <v>42</v>
      </c>
      <c r="CF21" s="229">
        <v>1.43E-2</v>
      </c>
      <c r="CG21" s="228">
        <v>130</v>
      </c>
      <c r="CH21" s="228">
        <v>44</v>
      </c>
      <c r="CI21" s="228">
        <v>86</v>
      </c>
      <c r="CJ21" s="229">
        <v>1.9337</v>
      </c>
      <c r="CK21" s="228">
        <v>6</v>
      </c>
      <c r="CL21" s="228">
        <v>5</v>
      </c>
      <c r="CM21" s="228">
        <v>1</v>
      </c>
      <c r="CN21" s="229">
        <v>0.1389</v>
      </c>
      <c r="CO21" s="230">
        <v>1615</v>
      </c>
      <c r="CP21" s="230">
        <v>1523</v>
      </c>
      <c r="CQ21" s="228">
        <v>92</v>
      </c>
      <c r="CR21" s="229">
        <v>6.0699999999999997E-2</v>
      </c>
      <c r="CS21" s="228">
        <v>756</v>
      </c>
      <c r="CT21" s="228">
        <v>760</v>
      </c>
      <c r="CU21" s="228">
        <v>-4</v>
      </c>
      <c r="CV21" s="229">
        <v>-5.3E-3</v>
      </c>
      <c r="CW21" s="230">
        <v>5471</v>
      </c>
      <c r="CX21" s="230">
        <v>5254</v>
      </c>
      <c r="CY21" s="228">
        <v>217</v>
      </c>
      <c r="CZ21" s="229">
        <v>4.1200000000000001E-2</v>
      </c>
      <c r="DA21" s="228">
        <v>31.66</v>
      </c>
      <c r="DB21" s="228">
        <v>30.67</v>
      </c>
      <c r="DC21" s="228">
        <v>0.99</v>
      </c>
      <c r="DD21" s="228">
        <v>0.99</v>
      </c>
      <c r="DE21" s="228">
        <v>28.32</v>
      </c>
      <c r="DF21" s="228">
        <v>28.29</v>
      </c>
      <c r="DG21" s="228">
        <v>3.34</v>
      </c>
      <c r="DH21" s="228">
        <v>0.03</v>
      </c>
      <c r="DI21" s="228">
        <v>30.93</v>
      </c>
      <c r="DJ21" s="228">
        <v>29.64</v>
      </c>
      <c r="DK21" s="228">
        <v>1.29</v>
      </c>
      <c r="DL21" s="228">
        <v>1.29</v>
      </c>
      <c r="DM21" s="228">
        <v>32.71</v>
      </c>
      <c r="DN21" s="228">
        <v>32</v>
      </c>
      <c r="DO21" s="228">
        <v>0.71</v>
      </c>
      <c r="DP21" s="228">
        <v>0.71</v>
      </c>
      <c r="DQ21" s="228">
        <v>0.47</v>
      </c>
      <c r="DR21" s="228">
        <v>0.5</v>
      </c>
      <c r="DS21" s="228">
        <v>-0.03</v>
      </c>
      <c r="DT21" s="229">
        <v>-0.06</v>
      </c>
      <c r="DU21" s="231">
        <v>10500</v>
      </c>
      <c r="DV21" s="231">
        <v>9000</v>
      </c>
      <c r="DW21" s="228">
        <v>0.7</v>
      </c>
      <c r="DX21" s="228">
        <v>0.77</v>
      </c>
      <c r="DY21" s="228">
        <v>-7.0000000000000007E-2</v>
      </c>
      <c r="DZ21" s="229">
        <v>-9.0899999999999995E-2</v>
      </c>
      <c r="EA21" s="229">
        <v>4.3900000000000002E-2</v>
      </c>
      <c r="EB21" s="230">
        <v>54075</v>
      </c>
      <c r="EC21" s="229">
        <v>2.3E-3</v>
      </c>
      <c r="ED21" s="229">
        <v>4.3900000000000002E-2</v>
      </c>
      <c r="EE21" s="228">
        <v>18.079999999999998</v>
      </c>
      <c r="EF21" s="229">
        <v>2E-3</v>
      </c>
      <c r="EG21" s="230">
        <v>207483</v>
      </c>
      <c r="EH21" s="230">
        <v>238234</v>
      </c>
      <c r="EI21" s="229">
        <v>-0.12909999999999999</v>
      </c>
      <c r="EJ21" s="229">
        <v>0.50580000000000003</v>
      </c>
      <c r="EK21" s="231">
        <v>2041.03</v>
      </c>
      <c r="EL21" s="231">
        <v>1329.67</v>
      </c>
      <c r="EM21" s="228">
        <v>654.16</v>
      </c>
      <c r="EN21" s="228">
        <v>74.31</v>
      </c>
      <c r="EO21" s="231">
        <v>4024.86</v>
      </c>
      <c r="EP21" s="231">
        <v>5124</v>
      </c>
      <c r="EQ21" s="231">
        <v>-1099.1400000000001</v>
      </c>
      <c r="ER21" s="229">
        <v>-0.2145</v>
      </c>
      <c r="ES21" s="231">
        <v>1787.12</v>
      </c>
      <c r="ET21" s="228">
        <v>761.4</v>
      </c>
      <c r="EU21" s="231">
        <v>3099.68</v>
      </c>
      <c r="EV21" s="231">
        <v>15906526</v>
      </c>
      <c r="EW21" s="231">
        <v>5648.19</v>
      </c>
      <c r="EX21" s="231">
        <v>5496.03</v>
      </c>
      <c r="EY21" s="228">
        <v>152.16</v>
      </c>
      <c r="EZ21" s="229">
        <v>2.7699999999999999E-2</v>
      </c>
      <c r="FA21" s="229">
        <v>0.37680000000000002</v>
      </c>
      <c r="FB21" s="227" t="s">
        <v>567</v>
      </c>
      <c r="FC21">
        <f t="shared" si="0"/>
        <v>136</v>
      </c>
    </row>
    <row r="22" spans="1:159" ht="17.25" hidden="1" thickBot="1" x14ac:dyDescent="0.3">
      <c r="A22" s="226">
        <v>46093</v>
      </c>
      <c r="B22" s="227" t="s">
        <v>175</v>
      </c>
      <c r="C22" s="227" t="s">
        <v>176</v>
      </c>
      <c r="D22" s="228">
        <v>250</v>
      </c>
      <c r="E22" s="228">
        <v>18</v>
      </c>
      <c r="F22" s="231">
        <v>1773.1</v>
      </c>
      <c r="G22" s="231">
        <v>1797.6</v>
      </c>
      <c r="H22" s="228">
        <v>-24.5</v>
      </c>
      <c r="I22" s="229">
        <v>-1.3599999999999999E-2</v>
      </c>
      <c r="J22" s="231">
        <v>1770.8</v>
      </c>
      <c r="K22" s="231">
        <v>1795.3</v>
      </c>
      <c r="L22" s="228">
        <v>-24.5</v>
      </c>
      <c r="M22" s="229">
        <v>-1.3599999999999999E-2</v>
      </c>
      <c r="N22" s="231">
        <v>1773.1</v>
      </c>
      <c r="O22" s="231">
        <v>1797.6</v>
      </c>
      <c r="P22" s="228">
        <v>-24.5</v>
      </c>
      <c r="Q22" s="229">
        <v>-1.3599999999999999E-2</v>
      </c>
      <c r="R22" s="231">
        <v>1783.5</v>
      </c>
      <c r="S22" s="231">
        <v>1809.8</v>
      </c>
      <c r="T22" s="228">
        <v>-26.3</v>
      </c>
      <c r="U22" s="229">
        <v>-1.4500000000000001E-2</v>
      </c>
      <c r="V22" s="231">
        <v>1794.2</v>
      </c>
      <c r="W22" s="231">
        <v>1818.6</v>
      </c>
      <c r="X22" s="228">
        <v>-24.4</v>
      </c>
      <c r="Y22" s="229">
        <v>-1.34E-2</v>
      </c>
      <c r="Z22" s="228">
        <v>2.2999999999999998</v>
      </c>
      <c r="AA22" s="228">
        <v>2.2999999999999998</v>
      </c>
      <c r="AB22" s="228">
        <v>0</v>
      </c>
      <c r="AC22" s="229">
        <v>1.2999999999999999E-3</v>
      </c>
      <c r="AD22" s="228">
        <v>2.2999999999999998</v>
      </c>
      <c r="AE22" s="228">
        <v>2.2999999999999998</v>
      </c>
      <c r="AF22" s="228">
        <v>0</v>
      </c>
      <c r="AG22" s="229">
        <v>1.2999999999999999E-3</v>
      </c>
      <c r="AH22" s="228">
        <v>12.7</v>
      </c>
      <c r="AI22" s="228">
        <v>14.5</v>
      </c>
      <c r="AJ22" s="228">
        <v>-1.8</v>
      </c>
      <c r="AK22" s="229">
        <v>7.1999999999999998E-3</v>
      </c>
      <c r="AL22" s="228">
        <v>23.4</v>
      </c>
      <c r="AM22" s="228">
        <v>23.3</v>
      </c>
      <c r="AN22" s="228">
        <v>0.1</v>
      </c>
      <c r="AO22" s="229">
        <v>1.32E-2</v>
      </c>
      <c r="AP22" s="231">
        <v>1780.23</v>
      </c>
      <c r="AQ22" s="231">
        <v>1791.4</v>
      </c>
      <c r="AR22" s="228">
        <v>0</v>
      </c>
      <c r="AS22" s="228">
        <v>227</v>
      </c>
      <c r="AT22" s="228">
        <v>324</v>
      </c>
      <c r="AU22" s="228">
        <v>-97</v>
      </c>
      <c r="AV22" s="229">
        <v>-0.29849999999999999</v>
      </c>
      <c r="AW22" s="228">
        <v>209</v>
      </c>
      <c r="AX22" s="228">
        <v>301</v>
      </c>
      <c r="AY22" s="228">
        <v>-92</v>
      </c>
      <c r="AZ22" s="229">
        <v>-0.30580000000000002</v>
      </c>
      <c r="BA22" s="228">
        <v>17</v>
      </c>
      <c r="BB22" s="228">
        <v>21</v>
      </c>
      <c r="BC22" s="228">
        <v>-5</v>
      </c>
      <c r="BD22" s="229">
        <v>-0.21640000000000001</v>
      </c>
      <c r="BE22" s="228">
        <v>2</v>
      </c>
      <c r="BF22" s="228">
        <v>2</v>
      </c>
      <c r="BG22" s="228">
        <v>0</v>
      </c>
      <c r="BH22" s="229">
        <v>-2.5600000000000001E-2</v>
      </c>
      <c r="BI22" s="230">
        <v>1041</v>
      </c>
      <c r="BJ22" s="230">
        <v>2280</v>
      </c>
      <c r="BK22" s="230">
        <v>-1239</v>
      </c>
      <c r="BL22" s="229">
        <v>-0.54339999999999999</v>
      </c>
      <c r="BM22" s="228">
        <v>520</v>
      </c>
      <c r="BN22" s="230">
        <v>1255</v>
      </c>
      <c r="BO22" s="228">
        <v>-736</v>
      </c>
      <c r="BP22" s="229">
        <v>-0.58599999999999997</v>
      </c>
      <c r="BQ22" s="230">
        <v>1788</v>
      </c>
      <c r="BR22" s="230">
        <v>3860</v>
      </c>
      <c r="BS22" s="230">
        <v>-2071</v>
      </c>
      <c r="BT22" s="229">
        <v>-0.53669999999999995</v>
      </c>
      <c r="BU22" s="230">
        <v>1145598</v>
      </c>
      <c r="BV22" s="230">
        <v>1359325</v>
      </c>
      <c r="BW22" s="230">
        <v>-213727</v>
      </c>
      <c r="BX22" s="229">
        <v>-0.15720000000000001</v>
      </c>
      <c r="BY22" s="230">
        <v>2280</v>
      </c>
      <c r="BZ22" s="230">
        <v>2302</v>
      </c>
      <c r="CA22" s="228">
        <v>-21</v>
      </c>
      <c r="CB22" s="229">
        <v>-9.2999999999999992E-3</v>
      </c>
      <c r="CC22" s="230">
        <v>2220</v>
      </c>
      <c r="CD22" s="230">
        <v>2247</v>
      </c>
      <c r="CE22" s="228">
        <v>-27</v>
      </c>
      <c r="CF22" s="229">
        <v>-1.1900000000000001E-2</v>
      </c>
      <c r="CG22" s="228">
        <v>51</v>
      </c>
      <c r="CH22" s="228">
        <v>46</v>
      </c>
      <c r="CI22" s="228">
        <v>4</v>
      </c>
      <c r="CJ22" s="229">
        <v>9.2600000000000002E-2</v>
      </c>
      <c r="CK22" s="228">
        <v>9</v>
      </c>
      <c r="CL22" s="228">
        <v>8</v>
      </c>
      <c r="CM22" s="228">
        <v>1</v>
      </c>
      <c r="CN22" s="229">
        <v>0.12039999999999999</v>
      </c>
      <c r="CO22" s="230">
        <v>1651</v>
      </c>
      <c r="CP22" s="230">
        <v>1576</v>
      </c>
      <c r="CQ22" s="228">
        <v>75</v>
      </c>
      <c r="CR22" s="229">
        <v>4.7600000000000003E-2</v>
      </c>
      <c r="CS22" s="228">
        <v>747</v>
      </c>
      <c r="CT22" s="228">
        <v>765</v>
      </c>
      <c r="CU22" s="228">
        <v>-18</v>
      </c>
      <c r="CV22" s="229">
        <v>-2.3699999999999999E-2</v>
      </c>
      <c r="CW22" s="230">
        <v>4679</v>
      </c>
      <c r="CX22" s="230">
        <v>4644</v>
      </c>
      <c r="CY22" s="228">
        <v>36</v>
      </c>
      <c r="CZ22" s="229">
        <v>7.6E-3</v>
      </c>
      <c r="DA22" s="228">
        <v>28.04</v>
      </c>
      <c r="DB22" s="228">
        <v>26.99</v>
      </c>
      <c r="DC22" s="228">
        <v>1.05</v>
      </c>
      <c r="DD22" s="228">
        <v>1.05</v>
      </c>
      <c r="DE22" s="228">
        <v>28.53</v>
      </c>
      <c r="DF22" s="228">
        <v>28.54</v>
      </c>
      <c r="DG22" s="228">
        <v>-0.49</v>
      </c>
      <c r="DH22" s="228">
        <v>-0.01</v>
      </c>
      <c r="DI22" s="228">
        <v>27.4</v>
      </c>
      <c r="DJ22" s="228">
        <v>26.15</v>
      </c>
      <c r="DK22" s="228">
        <v>1.25</v>
      </c>
      <c r="DL22" s="228">
        <v>1.25</v>
      </c>
      <c r="DM22" s="228">
        <v>29.34</v>
      </c>
      <c r="DN22" s="228">
        <v>28.51</v>
      </c>
      <c r="DO22" s="228">
        <v>0.83</v>
      </c>
      <c r="DP22" s="228">
        <v>0.83</v>
      </c>
      <c r="DQ22" s="228">
        <v>0.45</v>
      </c>
      <c r="DR22" s="228">
        <v>0.49</v>
      </c>
      <c r="DS22" s="228">
        <v>-0.04</v>
      </c>
      <c r="DT22" s="229">
        <v>-8.1600000000000006E-2</v>
      </c>
      <c r="DU22" s="231">
        <v>1860</v>
      </c>
      <c r="DV22" s="231">
        <v>1700</v>
      </c>
      <c r="DW22" s="228">
        <v>0.5</v>
      </c>
      <c r="DX22" s="228">
        <v>0.55000000000000004</v>
      </c>
      <c r="DY22" s="228">
        <v>-0.05</v>
      </c>
      <c r="DZ22" s="229">
        <v>-9.0899999999999995E-2</v>
      </c>
      <c r="EA22" s="229">
        <v>2.64E-2</v>
      </c>
      <c r="EB22" s="230">
        <v>309750</v>
      </c>
      <c r="EC22" s="229">
        <v>5.8999999999999999E-3</v>
      </c>
      <c r="ED22" s="229">
        <v>2.64E-2</v>
      </c>
      <c r="EE22" s="228">
        <v>11.17</v>
      </c>
      <c r="EF22" s="229">
        <v>6.3E-3</v>
      </c>
      <c r="EG22" s="230">
        <v>560312</v>
      </c>
      <c r="EH22" s="230">
        <v>785371</v>
      </c>
      <c r="EI22" s="229">
        <v>-0.28660000000000002</v>
      </c>
      <c r="EJ22" s="229">
        <v>0.48909999999999998</v>
      </c>
      <c r="EK22" s="231">
        <v>1111.22</v>
      </c>
      <c r="EL22" s="228">
        <v>525.73</v>
      </c>
      <c r="EM22" s="228">
        <v>228.48</v>
      </c>
      <c r="EN22" s="228">
        <v>66</v>
      </c>
      <c r="EO22" s="231">
        <v>1865.42</v>
      </c>
      <c r="EP22" s="231">
        <v>4078.6</v>
      </c>
      <c r="EQ22" s="231">
        <v>-2213.1799999999998</v>
      </c>
      <c r="ER22" s="229">
        <v>-0.54259999999999997</v>
      </c>
      <c r="ES22" s="231">
        <v>1806.34</v>
      </c>
      <c r="ET22" s="228">
        <v>791.81</v>
      </c>
      <c r="EU22" s="231">
        <v>2280.84</v>
      </c>
      <c r="EV22" s="231">
        <v>65701623</v>
      </c>
      <c r="EW22" s="231">
        <v>4878.99</v>
      </c>
      <c r="EX22" s="231">
        <v>4875.9799999999996</v>
      </c>
      <c r="EY22" s="228">
        <v>3.01</v>
      </c>
      <c r="EZ22" s="229">
        <v>5.9999999999999995E-4</v>
      </c>
      <c r="FA22" s="229">
        <v>0.4017</v>
      </c>
      <c r="FB22" s="227" t="s">
        <v>568</v>
      </c>
      <c r="FC22">
        <f t="shared" si="0"/>
        <v>60</v>
      </c>
    </row>
    <row r="23" spans="1:159" ht="17.25" hidden="1" thickBot="1" x14ac:dyDescent="0.3">
      <c r="A23" s="226">
        <v>46093</v>
      </c>
      <c r="B23" s="227" t="s">
        <v>175</v>
      </c>
      <c r="C23" s="227" t="s">
        <v>690</v>
      </c>
      <c r="D23" s="228">
        <v>50</v>
      </c>
      <c r="E23" s="228">
        <v>18</v>
      </c>
      <c r="F23" s="231">
        <v>9821</v>
      </c>
      <c r="G23" s="231">
        <v>10179</v>
      </c>
      <c r="H23" s="228">
        <v>-358</v>
      </c>
      <c r="I23" s="229">
        <v>-3.5200000000000002E-2</v>
      </c>
      <c r="J23" s="231">
        <v>9789</v>
      </c>
      <c r="K23" s="231">
        <v>10177</v>
      </c>
      <c r="L23" s="228">
        <v>-388</v>
      </c>
      <c r="M23" s="229">
        <v>-3.8100000000000002E-2</v>
      </c>
      <c r="N23" s="231">
        <v>9821</v>
      </c>
      <c r="O23" s="231">
        <v>10179</v>
      </c>
      <c r="P23" s="228">
        <v>-358</v>
      </c>
      <c r="Q23" s="229">
        <v>-3.5200000000000002E-2</v>
      </c>
      <c r="R23" s="231">
        <v>9896</v>
      </c>
      <c r="S23" s="231">
        <v>10225</v>
      </c>
      <c r="T23" s="228">
        <v>-329</v>
      </c>
      <c r="U23" s="229">
        <v>-3.2199999999999999E-2</v>
      </c>
      <c r="V23" s="231">
        <v>10010</v>
      </c>
      <c r="W23" s="231">
        <v>10325</v>
      </c>
      <c r="X23" s="228">
        <v>-315</v>
      </c>
      <c r="Y23" s="229">
        <v>-3.0499999999999999E-2</v>
      </c>
      <c r="Z23" s="228">
        <v>32</v>
      </c>
      <c r="AA23" s="228">
        <v>2</v>
      </c>
      <c r="AB23" s="228">
        <v>30</v>
      </c>
      <c r="AC23" s="229">
        <v>3.3E-3</v>
      </c>
      <c r="AD23" s="228">
        <v>32</v>
      </c>
      <c r="AE23" s="228">
        <v>2</v>
      </c>
      <c r="AF23" s="228">
        <v>30</v>
      </c>
      <c r="AG23" s="229">
        <v>3.3E-3</v>
      </c>
      <c r="AH23" s="228">
        <v>107</v>
      </c>
      <c r="AI23" s="228">
        <v>48</v>
      </c>
      <c r="AJ23" s="228">
        <v>59</v>
      </c>
      <c r="AK23" s="229">
        <v>1.09E-2</v>
      </c>
      <c r="AL23" s="228">
        <v>221</v>
      </c>
      <c r="AM23" s="228">
        <v>148</v>
      </c>
      <c r="AN23" s="228">
        <v>73</v>
      </c>
      <c r="AO23" s="229">
        <v>2.2599999999999999E-2</v>
      </c>
      <c r="AP23" s="231">
        <v>9932.4699999999993</v>
      </c>
      <c r="AQ23" s="231">
        <v>9995.2000000000007</v>
      </c>
      <c r="AR23" s="228">
        <v>0</v>
      </c>
      <c r="AS23" s="228">
        <v>45</v>
      </c>
      <c r="AT23" s="228">
        <v>48</v>
      </c>
      <c r="AU23" s="228">
        <v>-4</v>
      </c>
      <c r="AV23" s="229">
        <v>-7.5999999999999998E-2</v>
      </c>
      <c r="AW23" s="228">
        <v>42</v>
      </c>
      <c r="AX23" s="228">
        <v>46</v>
      </c>
      <c r="AY23" s="228">
        <v>-4</v>
      </c>
      <c r="AZ23" s="229">
        <v>-8.3299999999999999E-2</v>
      </c>
      <c r="BA23" s="228">
        <v>2</v>
      </c>
      <c r="BB23" s="228">
        <v>2</v>
      </c>
      <c r="BC23" s="228">
        <v>0</v>
      </c>
      <c r="BD23" s="229">
        <v>0.1111</v>
      </c>
      <c r="BE23" s="228">
        <v>0</v>
      </c>
      <c r="BF23" s="228">
        <v>0</v>
      </c>
      <c r="BG23" s="228">
        <v>0</v>
      </c>
      <c r="BH23" s="229">
        <v>-0.33329999999999999</v>
      </c>
      <c r="BI23" s="228">
        <v>108</v>
      </c>
      <c r="BJ23" s="228">
        <v>81</v>
      </c>
      <c r="BK23" s="228">
        <v>28</v>
      </c>
      <c r="BL23" s="229">
        <v>0.34350000000000003</v>
      </c>
      <c r="BM23" s="228">
        <v>74</v>
      </c>
      <c r="BN23" s="228">
        <v>33</v>
      </c>
      <c r="BO23" s="228">
        <v>41</v>
      </c>
      <c r="BP23" s="229">
        <v>1.2377</v>
      </c>
      <c r="BQ23" s="228">
        <v>227</v>
      </c>
      <c r="BR23" s="228">
        <v>162</v>
      </c>
      <c r="BS23" s="228">
        <v>65</v>
      </c>
      <c r="BT23" s="229">
        <v>0.39929999999999999</v>
      </c>
      <c r="BU23" s="230">
        <v>87432</v>
      </c>
      <c r="BV23" s="230">
        <v>70807</v>
      </c>
      <c r="BW23" s="230">
        <v>16625</v>
      </c>
      <c r="BX23" s="229">
        <v>0.23480000000000001</v>
      </c>
      <c r="BY23" s="228">
        <v>226</v>
      </c>
      <c r="BZ23" s="228">
        <v>222</v>
      </c>
      <c r="CA23" s="228">
        <v>4</v>
      </c>
      <c r="CB23" s="229">
        <v>1.8599999999999998E-2</v>
      </c>
      <c r="CC23" s="228">
        <v>217</v>
      </c>
      <c r="CD23" s="228">
        <v>214</v>
      </c>
      <c r="CE23" s="228">
        <v>4</v>
      </c>
      <c r="CF23" s="229">
        <v>1.6799999999999999E-2</v>
      </c>
      <c r="CG23" s="228">
        <v>8</v>
      </c>
      <c r="CH23" s="228">
        <v>8</v>
      </c>
      <c r="CI23" s="228">
        <v>0</v>
      </c>
      <c r="CJ23" s="229">
        <v>5.7700000000000001E-2</v>
      </c>
      <c r="CK23" s="228">
        <v>1</v>
      </c>
      <c r="CL23" s="228">
        <v>1</v>
      </c>
      <c r="CM23" s="228">
        <v>0</v>
      </c>
      <c r="CN23" s="229">
        <v>0.16669999999999999</v>
      </c>
      <c r="CO23" s="228">
        <v>140</v>
      </c>
      <c r="CP23" s="228">
        <v>127</v>
      </c>
      <c r="CQ23" s="228">
        <v>13</v>
      </c>
      <c r="CR23" s="229">
        <v>9.8599999999999993E-2</v>
      </c>
      <c r="CS23" s="228">
        <v>67</v>
      </c>
      <c r="CT23" s="228">
        <v>58</v>
      </c>
      <c r="CU23" s="228">
        <v>9</v>
      </c>
      <c r="CV23" s="229">
        <v>0.1545</v>
      </c>
      <c r="CW23" s="228">
        <v>433</v>
      </c>
      <c r="CX23" s="228">
        <v>407</v>
      </c>
      <c r="CY23" s="228">
        <v>26</v>
      </c>
      <c r="CZ23" s="229">
        <v>6.2899999999999998E-2</v>
      </c>
      <c r="DA23" s="228">
        <v>36.270000000000003</v>
      </c>
      <c r="DB23" s="228">
        <v>36.06</v>
      </c>
      <c r="DC23" s="228">
        <v>0.21</v>
      </c>
      <c r="DD23" s="228">
        <v>0.21</v>
      </c>
      <c r="DE23" s="228">
        <v>37.18</v>
      </c>
      <c r="DF23" s="228">
        <v>36.950000000000003</v>
      </c>
      <c r="DG23" s="228">
        <v>-0.91</v>
      </c>
      <c r="DH23" s="228">
        <v>0.23</v>
      </c>
      <c r="DI23" s="228">
        <v>35.72</v>
      </c>
      <c r="DJ23" s="228">
        <v>35.96</v>
      </c>
      <c r="DK23" s="228">
        <v>-0.24</v>
      </c>
      <c r="DL23" s="228">
        <v>-0.24</v>
      </c>
      <c r="DM23" s="228">
        <v>37.090000000000003</v>
      </c>
      <c r="DN23" s="228">
        <v>36.299999999999997</v>
      </c>
      <c r="DO23" s="228">
        <v>0.79</v>
      </c>
      <c r="DP23" s="228">
        <v>0.79</v>
      </c>
      <c r="DQ23" s="228">
        <v>0.48</v>
      </c>
      <c r="DR23" s="228">
        <v>0.45</v>
      </c>
      <c r="DS23" s="228">
        <v>0.03</v>
      </c>
      <c r="DT23" s="229">
        <v>6.6699999999999995E-2</v>
      </c>
      <c r="DU23" s="231">
        <v>11000</v>
      </c>
      <c r="DV23" s="231">
        <v>10000</v>
      </c>
      <c r="DW23" s="228">
        <v>0.68</v>
      </c>
      <c r="DX23" s="228">
        <v>0.41</v>
      </c>
      <c r="DY23" s="228">
        <v>0.27</v>
      </c>
      <c r="DZ23" s="229">
        <v>0.65849999999999997</v>
      </c>
      <c r="EA23" s="229">
        <v>3.8800000000000001E-2</v>
      </c>
      <c r="EB23" s="230">
        <v>8400</v>
      </c>
      <c r="EC23" s="229">
        <v>7.6E-3</v>
      </c>
      <c r="ED23" s="229">
        <v>3.8800000000000001E-2</v>
      </c>
      <c r="EE23" s="228">
        <v>62.73</v>
      </c>
      <c r="EF23" s="229">
        <v>6.3E-3</v>
      </c>
      <c r="EG23" s="230">
        <v>44696</v>
      </c>
      <c r="EH23" s="230">
        <v>44069</v>
      </c>
      <c r="EI23" s="229">
        <v>1.4200000000000001E-2</v>
      </c>
      <c r="EJ23" s="229">
        <v>0.51119999999999999</v>
      </c>
      <c r="EK23" s="228">
        <v>121.61</v>
      </c>
      <c r="EL23" s="228">
        <v>73.16</v>
      </c>
      <c r="EM23" s="228">
        <v>45.31</v>
      </c>
      <c r="EN23" s="228">
        <v>8.77</v>
      </c>
      <c r="EO23" s="228">
        <v>240.09</v>
      </c>
      <c r="EP23" s="228">
        <v>177.94</v>
      </c>
      <c r="EQ23" s="228">
        <v>62.14</v>
      </c>
      <c r="ER23" s="229">
        <v>0.34920000000000001</v>
      </c>
      <c r="ES23" s="228">
        <v>162.03</v>
      </c>
      <c r="ET23" s="228">
        <v>68.349999999999994</v>
      </c>
      <c r="EU23" s="228">
        <v>226.35</v>
      </c>
      <c r="EV23" s="231">
        <v>5401993</v>
      </c>
      <c r="EW23" s="228">
        <v>456.73</v>
      </c>
      <c r="EX23" s="228">
        <v>439.56</v>
      </c>
      <c r="EY23" s="228">
        <v>17.170000000000002</v>
      </c>
      <c r="EZ23" s="229">
        <v>3.9100000000000003E-2</v>
      </c>
      <c r="FA23" s="229">
        <v>8.1600000000000006E-2</v>
      </c>
      <c r="FB23" s="227" t="s">
        <v>567</v>
      </c>
      <c r="FC23">
        <f t="shared" si="0"/>
        <v>9</v>
      </c>
    </row>
    <row r="24" spans="1:159" ht="17.25" hidden="1" thickBot="1" x14ac:dyDescent="0.3">
      <c r="A24" s="226">
        <v>46093</v>
      </c>
      <c r="B24" s="227" t="s">
        <v>175</v>
      </c>
      <c r="C24" s="227" t="s">
        <v>177</v>
      </c>
      <c r="D24" s="228">
        <v>750</v>
      </c>
      <c r="E24" s="228">
        <v>18</v>
      </c>
      <c r="F24" s="228">
        <v>866.6</v>
      </c>
      <c r="G24" s="228">
        <v>894.1</v>
      </c>
      <c r="H24" s="228">
        <v>-27.5</v>
      </c>
      <c r="I24" s="229">
        <v>-3.0800000000000001E-2</v>
      </c>
      <c r="J24" s="228">
        <v>863.1</v>
      </c>
      <c r="K24" s="228">
        <v>893.65</v>
      </c>
      <c r="L24" s="228">
        <v>-30.55</v>
      </c>
      <c r="M24" s="229">
        <v>-3.4200000000000001E-2</v>
      </c>
      <c r="N24" s="228">
        <v>866.6</v>
      </c>
      <c r="O24" s="228">
        <v>894.1</v>
      </c>
      <c r="P24" s="228">
        <v>-27.5</v>
      </c>
      <c r="Q24" s="229">
        <v>-3.0800000000000001E-2</v>
      </c>
      <c r="R24" s="228">
        <v>871.2</v>
      </c>
      <c r="S24" s="228">
        <v>901</v>
      </c>
      <c r="T24" s="228">
        <v>-29.8</v>
      </c>
      <c r="U24" s="229">
        <v>-3.3099999999999997E-2</v>
      </c>
      <c r="V24" s="228">
        <v>877</v>
      </c>
      <c r="W24" s="228">
        <v>904.6</v>
      </c>
      <c r="X24" s="228">
        <v>-27.6</v>
      </c>
      <c r="Y24" s="229">
        <v>-3.0499999999999999E-2</v>
      </c>
      <c r="Z24" s="228">
        <v>3.5</v>
      </c>
      <c r="AA24" s="228">
        <v>0.45</v>
      </c>
      <c r="AB24" s="228">
        <v>3.05</v>
      </c>
      <c r="AC24" s="229">
        <v>4.1000000000000003E-3</v>
      </c>
      <c r="AD24" s="228">
        <v>3.5</v>
      </c>
      <c r="AE24" s="228">
        <v>0.45</v>
      </c>
      <c r="AF24" s="228">
        <v>3.05</v>
      </c>
      <c r="AG24" s="229">
        <v>4.1000000000000003E-3</v>
      </c>
      <c r="AH24" s="228">
        <v>8.1</v>
      </c>
      <c r="AI24" s="228">
        <v>7.35</v>
      </c>
      <c r="AJ24" s="228">
        <v>0.75</v>
      </c>
      <c r="AK24" s="229">
        <v>9.4000000000000004E-3</v>
      </c>
      <c r="AL24" s="228">
        <v>13.9</v>
      </c>
      <c r="AM24" s="228">
        <v>10.95</v>
      </c>
      <c r="AN24" s="228">
        <v>2.95</v>
      </c>
      <c r="AO24" s="229">
        <v>1.61E-2</v>
      </c>
      <c r="AP24" s="228">
        <v>875.4</v>
      </c>
      <c r="AQ24" s="228">
        <v>880.33</v>
      </c>
      <c r="AR24" s="228">
        <v>0</v>
      </c>
      <c r="AS24" s="230">
        <v>1145</v>
      </c>
      <c r="AT24" s="230">
        <v>1082</v>
      </c>
      <c r="AU24" s="228">
        <v>63</v>
      </c>
      <c r="AV24" s="229">
        <v>5.8099999999999999E-2</v>
      </c>
      <c r="AW24" s="228">
        <v>952</v>
      </c>
      <c r="AX24" s="228">
        <v>962</v>
      </c>
      <c r="AY24" s="228">
        <v>-10</v>
      </c>
      <c r="AZ24" s="229">
        <v>-1.0200000000000001E-2</v>
      </c>
      <c r="BA24" s="228">
        <v>176</v>
      </c>
      <c r="BB24" s="228">
        <v>107</v>
      </c>
      <c r="BC24" s="228">
        <v>69</v>
      </c>
      <c r="BD24" s="229">
        <v>0.6472</v>
      </c>
      <c r="BE24" s="228">
        <v>17</v>
      </c>
      <c r="BF24" s="228">
        <v>13</v>
      </c>
      <c r="BG24" s="228">
        <v>4</v>
      </c>
      <c r="BH24" s="229">
        <v>0.26700000000000002</v>
      </c>
      <c r="BI24" s="230">
        <v>2766</v>
      </c>
      <c r="BJ24" s="230">
        <v>2845</v>
      </c>
      <c r="BK24" s="228">
        <v>-79</v>
      </c>
      <c r="BL24" s="229">
        <v>-2.7699999999999999E-2</v>
      </c>
      <c r="BM24" s="230">
        <v>2189</v>
      </c>
      <c r="BN24" s="230">
        <v>2886</v>
      </c>
      <c r="BO24" s="228">
        <v>-697</v>
      </c>
      <c r="BP24" s="229">
        <v>-0.24149999999999999</v>
      </c>
      <c r="BQ24" s="230">
        <v>6100</v>
      </c>
      <c r="BR24" s="230">
        <v>6813</v>
      </c>
      <c r="BS24" s="228">
        <v>-713</v>
      </c>
      <c r="BT24" s="229">
        <v>-0.1046</v>
      </c>
      <c r="BU24" s="230">
        <v>15862641</v>
      </c>
      <c r="BV24" s="230">
        <v>11694786</v>
      </c>
      <c r="BW24" s="230">
        <v>4167855</v>
      </c>
      <c r="BX24" s="229">
        <v>0.35639999999999999</v>
      </c>
      <c r="BY24" s="230">
        <v>6777</v>
      </c>
      <c r="BZ24" s="230">
        <v>6585</v>
      </c>
      <c r="CA24" s="228">
        <v>192</v>
      </c>
      <c r="CB24" s="229">
        <v>2.92E-2</v>
      </c>
      <c r="CC24" s="230">
        <v>6428</v>
      </c>
      <c r="CD24" s="230">
        <v>6329</v>
      </c>
      <c r="CE24" s="228">
        <v>100</v>
      </c>
      <c r="CF24" s="229">
        <v>1.5800000000000002E-2</v>
      </c>
      <c r="CG24" s="228">
        <v>322</v>
      </c>
      <c r="CH24" s="228">
        <v>236</v>
      </c>
      <c r="CI24" s="228">
        <v>86</v>
      </c>
      <c r="CJ24" s="229">
        <v>0.3639</v>
      </c>
      <c r="CK24" s="228">
        <v>27</v>
      </c>
      <c r="CL24" s="228">
        <v>20</v>
      </c>
      <c r="CM24" s="228">
        <v>6</v>
      </c>
      <c r="CN24" s="229">
        <v>0.32050000000000001</v>
      </c>
      <c r="CO24" s="230">
        <v>2091</v>
      </c>
      <c r="CP24" s="230">
        <v>1744</v>
      </c>
      <c r="CQ24" s="228">
        <v>347</v>
      </c>
      <c r="CR24" s="229">
        <v>0.19889999999999999</v>
      </c>
      <c r="CS24" s="230">
        <v>1437</v>
      </c>
      <c r="CT24" s="230">
        <v>1333</v>
      </c>
      <c r="CU24" s="228">
        <v>104</v>
      </c>
      <c r="CV24" s="229">
        <v>7.7700000000000005E-2</v>
      </c>
      <c r="CW24" s="230">
        <v>10305</v>
      </c>
      <c r="CX24" s="230">
        <v>9663</v>
      </c>
      <c r="CY24" s="228">
        <v>643</v>
      </c>
      <c r="CZ24" s="229">
        <v>6.6500000000000004E-2</v>
      </c>
      <c r="DA24" s="228">
        <v>36.119999999999997</v>
      </c>
      <c r="DB24" s="228">
        <v>35</v>
      </c>
      <c r="DC24" s="228">
        <v>1.1200000000000001</v>
      </c>
      <c r="DD24" s="228">
        <v>1.1200000000000001</v>
      </c>
      <c r="DE24" s="228">
        <v>32.409999999999997</v>
      </c>
      <c r="DF24" s="228">
        <v>32.15</v>
      </c>
      <c r="DG24" s="228">
        <v>3.71</v>
      </c>
      <c r="DH24" s="228">
        <v>0.26</v>
      </c>
      <c r="DI24" s="228">
        <v>36.03</v>
      </c>
      <c r="DJ24" s="228">
        <v>34.47</v>
      </c>
      <c r="DK24" s="228">
        <v>1.56</v>
      </c>
      <c r="DL24" s="228">
        <v>1.56</v>
      </c>
      <c r="DM24" s="228">
        <v>36.229999999999997</v>
      </c>
      <c r="DN24" s="228">
        <v>35.53</v>
      </c>
      <c r="DO24" s="228">
        <v>0.7</v>
      </c>
      <c r="DP24" s="228">
        <v>0.7</v>
      </c>
      <c r="DQ24" s="228">
        <v>0.69</v>
      </c>
      <c r="DR24" s="228">
        <v>0.76</v>
      </c>
      <c r="DS24" s="228">
        <v>-7.0000000000000007E-2</v>
      </c>
      <c r="DT24" s="229">
        <v>-9.2100000000000001E-2</v>
      </c>
      <c r="DU24" s="231">
        <v>1000</v>
      </c>
      <c r="DV24" s="228">
        <v>960</v>
      </c>
      <c r="DW24" s="228">
        <v>0.79</v>
      </c>
      <c r="DX24" s="228">
        <v>1.01</v>
      </c>
      <c r="DY24" s="228">
        <v>-0.22</v>
      </c>
      <c r="DZ24" s="229">
        <v>-0.21779999999999999</v>
      </c>
      <c r="EA24" s="229">
        <v>5.1499999999999997E-2</v>
      </c>
      <c r="EB24" s="230">
        <v>2958750</v>
      </c>
      <c r="EC24" s="229">
        <v>5.3E-3</v>
      </c>
      <c r="ED24" s="229">
        <v>5.1499999999999997E-2</v>
      </c>
      <c r="EE24" s="228">
        <v>4.93</v>
      </c>
      <c r="EF24" s="229">
        <v>5.5999999999999999E-3</v>
      </c>
      <c r="EG24" s="230">
        <v>10458740</v>
      </c>
      <c r="EH24" s="230">
        <v>6832137</v>
      </c>
      <c r="EI24" s="229">
        <v>0.53080000000000005</v>
      </c>
      <c r="EJ24" s="229">
        <v>0.6593</v>
      </c>
      <c r="EK24" s="231">
        <v>3024</v>
      </c>
      <c r="EL24" s="231">
        <v>2219.73</v>
      </c>
      <c r="EM24" s="231">
        <v>1158.07</v>
      </c>
      <c r="EN24" s="228">
        <v>112.87</v>
      </c>
      <c r="EO24" s="231">
        <v>6401.81</v>
      </c>
      <c r="EP24" s="231">
        <v>7325.34</v>
      </c>
      <c r="EQ24" s="228">
        <v>-923.53</v>
      </c>
      <c r="ER24" s="229">
        <v>-0.12609999999999999</v>
      </c>
      <c r="ES24" s="231">
        <v>2386.31</v>
      </c>
      <c r="ET24" s="231">
        <v>1550.56</v>
      </c>
      <c r="EU24" s="231">
        <v>6779.12</v>
      </c>
      <c r="EV24" s="231">
        <v>317526833</v>
      </c>
      <c r="EW24" s="231">
        <v>10715.99</v>
      </c>
      <c r="EX24" s="231">
        <v>10280.75</v>
      </c>
      <c r="EY24" s="228">
        <v>435.24</v>
      </c>
      <c r="EZ24" s="229">
        <v>4.2299999999999997E-2</v>
      </c>
      <c r="FA24" s="229">
        <v>0.3745</v>
      </c>
      <c r="FB24" s="227" t="s">
        <v>567</v>
      </c>
      <c r="FC24">
        <f t="shared" si="0"/>
        <v>349</v>
      </c>
    </row>
    <row r="25" spans="1:159" ht="17.25" hidden="1" thickBot="1" x14ac:dyDescent="0.3">
      <c r="A25" s="226">
        <v>46093</v>
      </c>
      <c r="B25" s="227" t="s">
        <v>172</v>
      </c>
      <c r="C25" s="227" t="s">
        <v>179</v>
      </c>
      <c r="D25" s="228">
        <v>3600</v>
      </c>
      <c r="E25" s="228">
        <v>18</v>
      </c>
      <c r="F25" s="228">
        <v>178.47</v>
      </c>
      <c r="G25" s="228">
        <v>182.51</v>
      </c>
      <c r="H25" s="228">
        <v>-4.04</v>
      </c>
      <c r="I25" s="229">
        <v>-2.2100000000000002E-2</v>
      </c>
      <c r="J25" s="228">
        <v>178.01</v>
      </c>
      <c r="K25" s="228">
        <v>182.47</v>
      </c>
      <c r="L25" s="228">
        <v>-4.46</v>
      </c>
      <c r="M25" s="229">
        <v>-2.4400000000000002E-2</v>
      </c>
      <c r="N25" s="228">
        <v>178.47</v>
      </c>
      <c r="O25" s="228">
        <v>182.51</v>
      </c>
      <c r="P25" s="228">
        <v>-4.04</v>
      </c>
      <c r="Q25" s="229">
        <v>-2.2100000000000002E-2</v>
      </c>
      <c r="R25" s="228">
        <v>179.63</v>
      </c>
      <c r="S25" s="228">
        <v>183.49</v>
      </c>
      <c r="T25" s="228">
        <v>-3.86</v>
      </c>
      <c r="U25" s="229">
        <v>-2.1000000000000001E-2</v>
      </c>
      <c r="V25" s="228">
        <v>180.32</v>
      </c>
      <c r="W25" s="228">
        <v>184.42</v>
      </c>
      <c r="X25" s="228">
        <v>-4.0999999999999996</v>
      </c>
      <c r="Y25" s="229">
        <v>-2.2200000000000001E-2</v>
      </c>
      <c r="Z25" s="228">
        <v>0.46</v>
      </c>
      <c r="AA25" s="228">
        <v>0.04</v>
      </c>
      <c r="AB25" s="228">
        <v>0.42</v>
      </c>
      <c r="AC25" s="229">
        <v>2.5999999999999999E-3</v>
      </c>
      <c r="AD25" s="228">
        <v>0.46</v>
      </c>
      <c r="AE25" s="228">
        <v>0.04</v>
      </c>
      <c r="AF25" s="228">
        <v>0.42</v>
      </c>
      <c r="AG25" s="229">
        <v>2.5999999999999999E-3</v>
      </c>
      <c r="AH25" s="228">
        <v>1.62</v>
      </c>
      <c r="AI25" s="228">
        <v>1.02</v>
      </c>
      <c r="AJ25" s="228">
        <v>0.6</v>
      </c>
      <c r="AK25" s="229">
        <v>9.1000000000000004E-3</v>
      </c>
      <c r="AL25" s="228">
        <v>2.31</v>
      </c>
      <c r="AM25" s="228">
        <v>1.95</v>
      </c>
      <c r="AN25" s="228">
        <v>0.36</v>
      </c>
      <c r="AO25" s="229">
        <v>1.2999999999999999E-2</v>
      </c>
      <c r="AP25" s="228">
        <v>179.54</v>
      </c>
      <c r="AQ25" s="228">
        <v>180.4</v>
      </c>
      <c r="AR25" s="228">
        <v>0</v>
      </c>
      <c r="AS25" s="228">
        <v>262</v>
      </c>
      <c r="AT25" s="228">
        <v>306</v>
      </c>
      <c r="AU25" s="228">
        <v>-45</v>
      </c>
      <c r="AV25" s="229">
        <v>-0.14649999999999999</v>
      </c>
      <c r="AW25" s="228">
        <v>245</v>
      </c>
      <c r="AX25" s="228">
        <v>287</v>
      </c>
      <c r="AY25" s="228">
        <v>-42</v>
      </c>
      <c r="AZ25" s="229">
        <v>-0.1474</v>
      </c>
      <c r="BA25" s="228">
        <v>14</v>
      </c>
      <c r="BB25" s="228">
        <v>15</v>
      </c>
      <c r="BC25" s="228">
        <v>-1</v>
      </c>
      <c r="BD25" s="229">
        <v>-4.2700000000000002E-2</v>
      </c>
      <c r="BE25" s="228">
        <v>2</v>
      </c>
      <c r="BF25" s="228">
        <v>4</v>
      </c>
      <c r="BG25" s="228">
        <v>-2</v>
      </c>
      <c r="BH25" s="229">
        <v>-0.45450000000000002</v>
      </c>
      <c r="BI25" s="228">
        <v>313</v>
      </c>
      <c r="BJ25" s="228">
        <v>470</v>
      </c>
      <c r="BK25" s="228">
        <v>-157</v>
      </c>
      <c r="BL25" s="229">
        <v>-0.33400000000000002</v>
      </c>
      <c r="BM25" s="228">
        <v>176</v>
      </c>
      <c r="BN25" s="228">
        <v>210</v>
      </c>
      <c r="BO25" s="228">
        <v>-34</v>
      </c>
      <c r="BP25" s="229">
        <v>-0.1633</v>
      </c>
      <c r="BQ25" s="228">
        <v>751</v>
      </c>
      <c r="BR25" s="228">
        <v>987</v>
      </c>
      <c r="BS25" s="228">
        <v>-236</v>
      </c>
      <c r="BT25" s="229">
        <v>-0.2394</v>
      </c>
      <c r="BU25" s="230">
        <v>5580898</v>
      </c>
      <c r="BV25" s="230">
        <v>8523004</v>
      </c>
      <c r="BW25" s="230">
        <v>-2942106</v>
      </c>
      <c r="BX25" s="229">
        <v>-0.34520000000000001</v>
      </c>
      <c r="BY25" s="230">
        <v>1737</v>
      </c>
      <c r="BZ25" s="230">
        <v>1706</v>
      </c>
      <c r="CA25" s="228">
        <v>31</v>
      </c>
      <c r="CB25" s="229">
        <v>1.8100000000000002E-2</v>
      </c>
      <c r="CC25" s="230">
        <v>1671</v>
      </c>
      <c r="CD25" s="230">
        <v>1642</v>
      </c>
      <c r="CE25" s="228">
        <v>29</v>
      </c>
      <c r="CF25" s="229">
        <v>1.78E-2</v>
      </c>
      <c r="CG25" s="228">
        <v>54</v>
      </c>
      <c r="CH25" s="228">
        <v>53</v>
      </c>
      <c r="CI25" s="228">
        <v>2</v>
      </c>
      <c r="CJ25" s="229">
        <v>2.93E-2</v>
      </c>
      <c r="CK25" s="228">
        <v>12</v>
      </c>
      <c r="CL25" s="228">
        <v>12</v>
      </c>
      <c r="CM25" s="228">
        <v>0</v>
      </c>
      <c r="CN25" s="229">
        <v>0</v>
      </c>
      <c r="CO25" s="228">
        <v>619</v>
      </c>
      <c r="CP25" s="228">
        <v>613</v>
      </c>
      <c r="CQ25" s="228">
        <v>6</v>
      </c>
      <c r="CR25" s="229">
        <v>9.7999999999999997E-3</v>
      </c>
      <c r="CS25" s="228">
        <v>373</v>
      </c>
      <c r="CT25" s="228">
        <v>394</v>
      </c>
      <c r="CU25" s="228">
        <v>-20</v>
      </c>
      <c r="CV25" s="229">
        <v>-5.1900000000000002E-2</v>
      </c>
      <c r="CW25" s="230">
        <v>2729</v>
      </c>
      <c r="CX25" s="230">
        <v>2713</v>
      </c>
      <c r="CY25" s="228">
        <v>16</v>
      </c>
      <c r="CZ25" s="229">
        <v>6.1000000000000004E-3</v>
      </c>
      <c r="DA25" s="228">
        <v>41.45</v>
      </c>
      <c r="DB25" s="228">
        <v>41.73</v>
      </c>
      <c r="DC25" s="228">
        <v>-0.28000000000000003</v>
      </c>
      <c r="DD25" s="228">
        <v>-0.28000000000000003</v>
      </c>
      <c r="DE25" s="228">
        <v>41.68</v>
      </c>
      <c r="DF25" s="228">
        <v>41.67</v>
      </c>
      <c r="DG25" s="228">
        <v>-0.23</v>
      </c>
      <c r="DH25" s="228">
        <v>0.01</v>
      </c>
      <c r="DI25" s="228">
        <v>40.770000000000003</v>
      </c>
      <c r="DJ25" s="228">
        <v>40.79</v>
      </c>
      <c r="DK25" s="228">
        <v>-0.02</v>
      </c>
      <c r="DL25" s="228">
        <v>-0.02</v>
      </c>
      <c r="DM25" s="228">
        <v>42.65</v>
      </c>
      <c r="DN25" s="228">
        <v>43.82</v>
      </c>
      <c r="DO25" s="228">
        <v>-1.17</v>
      </c>
      <c r="DP25" s="228">
        <v>-1.17</v>
      </c>
      <c r="DQ25" s="228">
        <v>0.6</v>
      </c>
      <c r="DR25" s="228">
        <v>0.64</v>
      </c>
      <c r="DS25" s="228">
        <v>-0.04</v>
      </c>
      <c r="DT25" s="229">
        <v>-6.25E-2</v>
      </c>
      <c r="DU25" s="228">
        <v>185</v>
      </c>
      <c r="DV25" s="228">
        <v>170</v>
      </c>
      <c r="DW25" s="228">
        <v>0.56000000000000005</v>
      </c>
      <c r="DX25" s="228">
        <v>0.45</v>
      </c>
      <c r="DY25" s="228">
        <v>0.11</v>
      </c>
      <c r="DZ25" s="229">
        <v>0.24440000000000001</v>
      </c>
      <c r="EA25" s="229">
        <v>3.78E-2</v>
      </c>
      <c r="EB25" s="230">
        <v>3589200</v>
      </c>
      <c r="EC25" s="229">
        <v>6.4999999999999997E-3</v>
      </c>
      <c r="ED25" s="229">
        <v>3.78E-2</v>
      </c>
      <c r="EE25" s="228">
        <v>0.86</v>
      </c>
      <c r="EF25" s="229">
        <v>4.7999999999999996E-3</v>
      </c>
      <c r="EG25" s="230">
        <v>1491220</v>
      </c>
      <c r="EH25" s="230">
        <v>3747664</v>
      </c>
      <c r="EI25" s="229">
        <v>-0.60209999999999997</v>
      </c>
      <c r="EJ25" s="229">
        <v>0.26719999999999999</v>
      </c>
      <c r="EK25" s="228">
        <v>337.79</v>
      </c>
      <c r="EL25" s="228">
        <v>175.81</v>
      </c>
      <c r="EM25" s="228">
        <v>263.22000000000003</v>
      </c>
      <c r="EN25" s="228">
        <v>63.38</v>
      </c>
      <c r="EO25" s="228">
        <v>776.81</v>
      </c>
      <c r="EP25" s="231">
        <v>1040.82</v>
      </c>
      <c r="EQ25" s="228">
        <v>-264</v>
      </c>
      <c r="ER25" s="229">
        <v>-0.25369999999999998</v>
      </c>
      <c r="ES25" s="228">
        <v>652.42999999999995</v>
      </c>
      <c r="ET25" s="228">
        <v>361.41</v>
      </c>
      <c r="EU25" s="231">
        <v>1737.45</v>
      </c>
      <c r="EV25" s="231">
        <v>144289555</v>
      </c>
      <c r="EW25" s="231">
        <v>2751.29</v>
      </c>
      <c r="EX25" s="231">
        <v>2771.8</v>
      </c>
      <c r="EY25" s="228">
        <v>-20.51</v>
      </c>
      <c r="EZ25" s="229">
        <v>-7.4000000000000003E-3</v>
      </c>
      <c r="FA25" s="229">
        <v>1.0599000000000001</v>
      </c>
      <c r="FB25" s="227" t="s">
        <v>567</v>
      </c>
      <c r="FC25">
        <f t="shared" si="0"/>
        <v>66</v>
      </c>
    </row>
    <row r="26" spans="1:159" ht="17.25" hidden="1" thickBot="1" x14ac:dyDescent="0.3">
      <c r="A26" s="226">
        <v>46093</v>
      </c>
      <c r="B26" s="227" t="s">
        <v>172</v>
      </c>
      <c r="C26" s="227" t="s">
        <v>180</v>
      </c>
      <c r="D26" s="228">
        <v>2925</v>
      </c>
      <c r="E26" s="228">
        <v>18</v>
      </c>
      <c r="F26" s="228">
        <v>290.2</v>
      </c>
      <c r="G26" s="228">
        <v>290.35000000000002</v>
      </c>
      <c r="H26" s="228">
        <v>-0.15</v>
      </c>
      <c r="I26" s="229">
        <v>-5.0000000000000001E-4</v>
      </c>
      <c r="J26" s="228">
        <v>289.2</v>
      </c>
      <c r="K26" s="228">
        <v>289.3</v>
      </c>
      <c r="L26" s="228">
        <v>-0.1</v>
      </c>
      <c r="M26" s="229">
        <v>-2.9999999999999997E-4</v>
      </c>
      <c r="N26" s="228">
        <v>290.2</v>
      </c>
      <c r="O26" s="228">
        <v>290.35000000000002</v>
      </c>
      <c r="P26" s="228">
        <v>-0.15</v>
      </c>
      <c r="Q26" s="229">
        <v>-5.0000000000000001E-4</v>
      </c>
      <c r="R26" s="228">
        <v>292.25</v>
      </c>
      <c r="S26" s="228">
        <v>292.39999999999998</v>
      </c>
      <c r="T26" s="228">
        <v>-0.15</v>
      </c>
      <c r="U26" s="229">
        <v>-5.0000000000000001E-4</v>
      </c>
      <c r="V26" s="228">
        <v>293.7</v>
      </c>
      <c r="W26" s="228">
        <v>293.89999999999998</v>
      </c>
      <c r="X26" s="228">
        <v>-0.2</v>
      </c>
      <c r="Y26" s="229">
        <v>-6.9999999999999999E-4</v>
      </c>
      <c r="Z26" s="228">
        <v>1</v>
      </c>
      <c r="AA26" s="228">
        <v>1.05</v>
      </c>
      <c r="AB26" s="228">
        <v>-0.05</v>
      </c>
      <c r="AC26" s="229">
        <v>3.5000000000000001E-3</v>
      </c>
      <c r="AD26" s="228">
        <v>1</v>
      </c>
      <c r="AE26" s="228">
        <v>1.05</v>
      </c>
      <c r="AF26" s="228">
        <v>-0.05</v>
      </c>
      <c r="AG26" s="229">
        <v>3.5000000000000001E-3</v>
      </c>
      <c r="AH26" s="228">
        <v>3.05</v>
      </c>
      <c r="AI26" s="228">
        <v>3.1</v>
      </c>
      <c r="AJ26" s="228">
        <v>-0.05</v>
      </c>
      <c r="AK26" s="229">
        <v>1.0500000000000001E-2</v>
      </c>
      <c r="AL26" s="228">
        <v>4.5</v>
      </c>
      <c r="AM26" s="228">
        <v>4.5999999999999996</v>
      </c>
      <c r="AN26" s="228">
        <v>-0.1</v>
      </c>
      <c r="AO26" s="229">
        <v>1.5599999999999999E-2</v>
      </c>
      <c r="AP26" s="228">
        <v>289.06</v>
      </c>
      <c r="AQ26" s="228">
        <v>291.07</v>
      </c>
      <c r="AR26" s="228">
        <v>0</v>
      </c>
      <c r="AS26" s="228">
        <v>479</v>
      </c>
      <c r="AT26" s="228">
        <v>461</v>
      </c>
      <c r="AU26" s="228">
        <v>18</v>
      </c>
      <c r="AV26" s="229">
        <v>3.8800000000000001E-2</v>
      </c>
      <c r="AW26" s="228">
        <v>424</v>
      </c>
      <c r="AX26" s="228">
        <v>391</v>
      </c>
      <c r="AY26" s="228">
        <v>33</v>
      </c>
      <c r="AZ26" s="229">
        <v>8.43E-2</v>
      </c>
      <c r="BA26" s="228">
        <v>44</v>
      </c>
      <c r="BB26" s="228">
        <v>52</v>
      </c>
      <c r="BC26" s="228">
        <v>-8</v>
      </c>
      <c r="BD26" s="229">
        <v>-0.1487</v>
      </c>
      <c r="BE26" s="228">
        <v>12</v>
      </c>
      <c r="BF26" s="228">
        <v>19</v>
      </c>
      <c r="BG26" s="228">
        <v>-7</v>
      </c>
      <c r="BH26" s="229">
        <v>-0.38740000000000002</v>
      </c>
      <c r="BI26" s="230">
        <v>1084</v>
      </c>
      <c r="BJ26" s="228">
        <v>698</v>
      </c>
      <c r="BK26" s="228">
        <v>386</v>
      </c>
      <c r="BL26" s="229">
        <v>0.55249999999999999</v>
      </c>
      <c r="BM26" s="228">
        <v>767</v>
      </c>
      <c r="BN26" s="228">
        <v>592</v>
      </c>
      <c r="BO26" s="228">
        <v>175</v>
      </c>
      <c r="BP26" s="229">
        <v>0.29620000000000002</v>
      </c>
      <c r="BQ26" s="230">
        <v>2330</v>
      </c>
      <c r="BR26" s="230">
        <v>1751</v>
      </c>
      <c r="BS26" s="228">
        <v>579</v>
      </c>
      <c r="BT26" s="229">
        <v>0.33050000000000002</v>
      </c>
      <c r="BU26" s="230">
        <v>8451511</v>
      </c>
      <c r="BV26" s="230">
        <v>6633861</v>
      </c>
      <c r="BW26" s="230">
        <v>1817650</v>
      </c>
      <c r="BX26" s="229">
        <v>0.27400000000000002</v>
      </c>
      <c r="BY26" s="230">
        <v>2982</v>
      </c>
      <c r="BZ26" s="230">
        <v>2923</v>
      </c>
      <c r="CA26" s="228">
        <v>58</v>
      </c>
      <c r="CB26" s="229">
        <v>1.9900000000000001E-2</v>
      </c>
      <c r="CC26" s="230">
        <v>2490</v>
      </c>
      <c r="CD26" s="230">
        <v>2445</v>
      </c>
      <c r="CE26" s="228">
        <v>45</v>
      </c>
      <c r="CF26" s="229">
        <v>1.84E-2</v>
      </c>
      <c r="CG26" s="228">
        <v>289</v>
      </c>
      <c r="CH26" s="228">
        <v>277</v>
      </c>
      <c r="CI26" s="228">
        <v>13</v>
      </c>
      <c r="CJ26" s="229">
        <v>4.5999999999999999E-2</v>
      </c>
      <c r="CK26" s="228">
        <v>202</v>
      </c>
      <c r="CL26" s="228">
        <v>202</v>
      </c>
      <c r="CM26" s="228">
        <v>1</v>
      </c>
      <c r="CN26" s="229">
        <v>2.8999999999999998E-3</v>
      </c>
      <c r="CO26" s="230">
        <v>1210</v>
      </c>
      <c r="CP26" s="230">
        <v>1175</v>
      </c>
      <c r="CQ26" s="228">
        <v>34</v>
      </c>
      <c r="CR26" s="229">
        <v>2.92E-2</v>
      </c>
      <c r="CS26" s="230">
        <v>1042</v>
      </c>
      <c r="CT26" s="230">
        <v>1056</v>
      </c>
      <c r="CU26" s="228">
        <v>-14</v>
      </c>
      <c r="CV26" s="229">
        <v>-1.2999999999999999E-2</v>
      </c>
      <c r="CW26" s="230">
        <v>5233</v>
      </c>
      <c r="CX26" s="230">
        <v>5154</v>
      </c>
      <c r="CY26" s="228">
        <v>79</v>
      </c>
      <c r="CZ26" s="229">
        <v>1.5299999999999999E-2</v>
      </c>
      <c r="DA26" s="228">
        <v>35.47</v>
      </c>
      <c r="DB26" s="228">
        <v>36.119999999999997</v>
      </c>
      <c r="DC26" s="228">
        <v>-0.65</v>
      </c>
      <c r="DD26" s="228">
        <v>-0.65</v>
      </c>
      <c r="DE26" s="228">
        <v>34.46</v>
      </c>
      <c r="DF26" s="228">
        <v>34.549999999999997</v>
      </c>
      <c r="DG26" s="228">
        <v>1.01</v>
      </c>
      <c r="DH26" s="228">
        <v>-0.09</v>
      </c>
      <c r="DI26" s="228">
        <v>34.6</v>
      </c>
      <c r="DJ26" s="228">
        <v>35.15</v>
      </c>
      <c r="DK26" s="228">
        <v>-0.55000000000000004</v>
      </c>
      <c r="DL26" s="228">
        <v>-0.55000000000000004</v>
      </c>
      <c r="DM26" s="228">
        <v>36.700000000000003</v>
      </c>
      <c r="DN26" s="228">
        <v>37.26</v>
      </c>
      <c r="DO26" s="228">
        <v>-0.56000000000000005</v>
      </c>
      <c r="DP26" s="228">
        <v>-0.56000000000000005</v>
      </c>
      <c r="DQ26" s="228">
        <v>0.86</v>
      </c>
      <c r="DR26" s="228">
        <v>0.9</v>
      </c>
      <c r="DS26" s="228">
        <v>-0.04</v>
      </c>
      <c r="DT26" s="229">
        <v>-4.4400000000000002E-2</v>
      </c>
      <c r="DU26" s="228">
        <v>300</v>
      </c>
      <c r="DV26" s="228">
        <v>300</v>
      </c>
      <c r="DW26" s="228">
        <v>0.71</v>
      </c>
      <c r="DX26" s="228">
        <v>0.85</v>
      </c>
      <c r="DY26" s="228">
        <v>-0.14000000000000001</v>
      </c>
      <c r="DZ26" s="229">
        <v>-0.16470000000000001</v>
      </c>
      <c r="EA26" s="229">
        <v>0.16489999999999999</v>
      </c>
      <c r="EB26" s="230">
        <v>16479450</v>
      </c>
      <c r="EC26" s="229">
        <v>7.1000000000000004E-3</v>
      </c>
      <c r="ED26" s="229">
        <v>0.16489999999999999</v>
      </c>
      <c r="EE26" s="228">
        <v>2.0099999999999998</v>
      </c>
      <c r="EF26" s="229">
        <v>7.0000000000000001E-3</v>
      </c>
      <c r="EG26" s="230">
        <v>3470273</v>
      </c>
      <c r="EH26" s="230">
        <v>2965722</v>
      </c>
      <c r="EI26" s="229">
        <v>0.1701</v>
      </c>
      <c r="EJ26" s="229">
        <v>0.41060000000000002</v>
      </c>
      <c r="EK26" s="231">
        <v>1150.8</v>
      </c>
      <c r="EL26" s="228">
        <v>764.96</v>
      </c>
      <c r="EM26" s="228">
        <v>477.93</v>
      </c>
      <c r="EN26" s="228">
        <v>96.83</v>
      </c>
      <c r="EO26" s="231">
        <v>2393.69</v>
      </c>
      <c r="EP26" s="231">
        <v>1809.95</v>
      </c>
      <c r="EQ26" s="228">
        <v>583.73</v>
      </c>
      <c r="ER26" s="229">
        <v>0.32250000000000001</v>
      </c>
      <c r="ES26" s="231">
        <v>1319.67</v>
      </c>
      <c r="ET26" s="231">
        <v>1050.3</v>
      </c>
      <c r="EU26" s="231">
        <v>2986.1</v>
      </c>
      <c r="EV26" s="231">
        <v>279476623</v>
      </c>
      <c r="EW26" s="231">
        <v>5356.07</v>
      </c>
      <c r="EX26" s="231">
        <v>5277.93</v>
      </c>
      <c r="EY26" s="228">
        <v>78.14</v>
      </c>
      <c r="EZ26" s="229">
        <v>1.4800000000000001E-2</v>
      </c>
      <c r="FA26" s="229">
        <v>0.64529999999999998</v>
      </c>
      <c r="FB26" s="227" t="s">
        <v>567</v>
      </c>
      <c r="FC26">
        <f t="shared" si="0"/>
        <v>492</v>
      </c>
    </row>
    <row r="27" spans="1:159" ht="17.25" hidden="1" thickBot="1" x14ac:dyDescent="0.3">
      <c r="A27" s="226">
        <v>46093</v>
      </c>
      <c r="B27" s="227" t="s">
        <v>172</v>
      </c>
      <c r="C27" s="227" t="s">
        <v>602</v>
      </c>
      <c r="D27" s="228">
        <v>5200</v>
      </c>
      <c r="E27" s="228">
        <v>18</v>
      </c>
      <c r="F27" s="228">
        <v>154.91999999999999</v>
      </c>
      <c r="G27" s="228">
        <v>154.61000000000001</v>
      </c>
      <c r="H27" s="228">
        <v>0.31</v>
      </c>
      <c r="I27" s="229">
        <v>2E-3</v>
      </c>
      <c r="J27" s="228">
        <v>154.78</v>
      </c>
      <c r="K27" s="228">
        <v>154.30000000000001</v>
      </c>
      <c r="L27" s="228">
        <v>0.48</v>
      </c>
      <c r="M27" s="229">
        <v>3.0999999999999999E-3</v>
      </c>
      <c r="N27" s="228">
        <v>154.91999999999999</v>
      </c>
      <c r="O27" s="228">
        <v>154.61000000000001</v>
      </c>
      <c r="P27" s="228">
        <v>0.31</v>
      </c>
      <c r="Q27" s="229">
        <v>2E-3</v>
      </c>
      <c r="R27" s="228">
        <v>156.05000000000001</v>
      </c>
      <c r="S27" s="228">
        <v>155.30000000000001</v>
      </c>
      <c r="T27" s="228">
        <v>0.75</v>
      </c>
      <c r="U27" s="229">
        <v>4.7999999999999996E-3</v>
      </c>
      <c r="V27" s="228">
        <v>157.94999999999999</v>
      </c>
      <c r="W27" s="228">
        <v>156.55000000000001</v>
      </c>
      <c r="X27" s="228">
        <v>1.4</v>
      </c>
      <c r="Y27" s="229">
        <v>8.8999999999999999E-3</v>
      </c>
      <c r="Z27" s="228">
        <v>0.14000000000000001</v>
      </c>
      <c r="AA27" s="228">
        <v>0.31</v>
      </c>
      <c r="AB27" s="228">
        <v>-0.17</v>
      </c>
      <c r="AC27" s="229">
        <v>8.9999999999999998E-4</v>
      </c>
      <c r="AD27" s="228">
        <v>0.14000000000000001</v>
      </c>
      <c r="AE27" s="228">
        <v>0.31</v>
      </c>
      <c r="AF27" s="228">
        <v>-0.17</v>
      </c>
      <c r="AG27" s="229">
        <v>8.9999999999999998E-4</v>
      </c>
      <c r="AH27" s="228">
        <v>1.27</v>
      </c>
      <c r="AI27" s="228">
        <v>1</v>
      </c>
      <c r="AJ27" s="228">
        <v>0.27</v>
      </c>
      <c r="AK27" s="229">
        <v>8.2000000000000007E-3</v>
      </c>
      <c r="AL27" s="228">
        <v>3.17</v>
      </c>
      <c r="AM27" s="228">
        <v>2.25</v>
      </c>
      <c r="AN27" s="228">
        <v>0.92</v>
      </c>
      <c r="AO27" s="229">
        <v>2.0500000000000001E-2</v>
      </c>
      <c r="AP27" s="228">
        <v>153.54</v>
      </c>
      <c r="AQ27" s="228">
        <v>154.44</v>
      </c>
      <c r="AR27" s="228">
        <v>0</v>
      </c>
      <c r="AS27" s="228">
        <v>164</v>
      </c>
      <c r="AT27" s="228">
        <v>201</v>
      </c>
      <c r="AU27" s="228">
        <v>-37</v>
      </c>
      <c r="AV27" s="229">
        <v>-0.18260000000000001</v>
      </c>
      <c r="AW27" s="228">
        <v>149</v>
      </c>
      <c r="AX27" s="228">
        <v>188</v>
      </c>
      <c r="AY27" s="228">
        <v>-39</v>
      </c>
      <c r="AZ27" s="229">
        <v>-0.2074</v>
      </c>
      <c r="BA27" s="228">
        <v>13</v>
      </c>
      <c r="BB27" s="228">
        <v>11</v>
      </c>
      <c r="BC27" s="228">
        <v>2</v>
      </c>
      <c r="BD27" s="229">
        <v>0.2074</v>
      </c>
      <c r="BE27" s="228">
        <v>2</v>
      </c>
      <c r="BF27" s="228">
        <v>1</v>
      </c>
      <c r="BG27" s="228">
        <v>0</v>
      </c>
      <c r="BH27" s="229">
        <v>0.1111</v>
      </c>
      <c r="BI27" s="228">
        <v>201</v>
      </c>
      <c r="BJ27" s="228">
        <v>141</v>
      </c>
      <c r="BK27" s="228">
        <v>60</v>
      </c>
      <c r="BL27" s="229">
        <v>0.42649999999999999</v>
      </c>
      <c r="BM27" s="228">
        <v>108</v>
      </c>
      <c r="BN27" s="228">
        <v>93</v>
      </c>
      <c r="BO27" s="228">
        <v>15</v>
      </c>
      <c r="BP27" s="229">
        <v>0.1605</v>
      </c>
      <c r="BQ27" s="228">
        <v>473</v>
      </c>
      <c r="BR27" s="228">
        <v>435</v>
      </c>
      <c r="BS27" s="228">
        <v>38</v>
      </c>
      <c r="BT27" s="229">
        <v>8.8200000000000001E-2</v>
      </c>
      <c r="BU27" s="230">
        <v>6692572</v>
      </c>
      <c r="BV27" s="230">
        <v>6346183</v>
      </c>
      <c r="BW27" s="230">
        <v>346389</v>
      </c>
      <c r="BX27" s="229">
        <v>5.4600000000000003E-2</v>
      </c>
      <c r="BY27" s="228">
        <v>869</v>
      </c>
      <c r="BZ27" s="228">
        <v>878</v>
      </c>
      <c r="CA27" s="228">
        <v>-9</v>
      </c>
      <c r="CB27" s="229">
        <v>-1.0200000000000001E-2</v>
      </c>
      <c r="CC27" s="228">
        <v>829</v>
      </c>
      <c r="CD27" s="228">
        <v>839</v>
      </c>
      <c r="CE27" s="228">
        <v>-10</v>
      </c>
      <c r="CF27" s="229">
        <v>-1.2E-2</v>
      </c>
      <c r="CG27" s="228">
        <v>35</v>
      </c>
      <c r="CH27" s="228">
        <v>34</v>
      </c>
      <c r="CI27" s="228">
        <v>1</v>
      </c>
      <c r="CJ27" s="229">
        <v>3.3300000000000003E-2</v>
      </c>
      <c r="CK27" s="228">
        <v>5</v>
      </c>
      <c r="CL27" s="228">
        <v>5</v>
      </c>
      <c r="CM27" s="228">
        <v>0</v>
      </c>
      <c r="CN27" s="229">
        <v>0</v>
      </c>
      <c r="CO27" s="228">
        <v>411</v>
      </c>
      <c r="CP27" s="228">
        <v>402</v>
      </c>
      <c r="CQ27" s="228">
        <v>9</v>
      </c>
      <c r="CR27" s="229">
        <v>2.1600000000000001E-2</v>
      </c>
      <c r="CS27" s="228">
        <v>318</v>
      </c>
      <c r="CT27" s="228">
        <v>323</v>
      </c>
      <c r="CU27" s="228">
        <v>-5</v>
      </c>
      <c r="CV27" s="229">
        <v>-1.55E-2</v>
      </c>
      <c r="CW27" s="230">
        <v>1598</v>
      </c>
      <c r="CX27" s="230">
        <v>1603</v>
      </c>
      <c r="CY27" s="228">
        <v>-5</v>
      </c>
      <c r="CZ27" s="229">
        <v>-3.3E-3</v>
      </c>
      <c r="DA27" s="228">
        <v>42.87</v>
      </c>
      <c r="DB27" s="228">
        <v>43.1</v>
      </c>
      <c r="DC27" s="228">
        <v>-0.23</v>
      </c>
      <c r="DD27" s="228">
        <v>-0.23</v>
      </c>
      <c r="DE27" s="228">
        <v>41.02</v>
      </c>
      <c r="DF27" s="228">
        <v>41.12</v>
      </c>
      <c r="DG27" s="228">
        <v>1.85</v>
      </c>
      <c r="DH27" s="228">
        <v>-0.1</v>
      </c>
      <c r="DI27" s="228">
        <v>41.66</v>
      </c>
      <c r="DJ27" s="228">
        <v>42.74</v>
      </c>
      <c r="DK27" s="228">
        <v>-1.08</v>
      </c>
      <c r="DL27" s="228">
        <v>-1.08</v>
      </c>
      <c r="DM27" s="228">
        <v>45.14</v>
      </c>
      <c r="DN27" s="228">
        <v>43.63</v>
      </c>
      <c r="DO27" s="228">
        <v>1.51</v>
      </c>
      <c r="DP27" s="228">
        <v>1.51</v>
      </c>
      <c r="DQ27" s="228">
        <v>0.77</v>
      </c>
      <c r="DR27" s="228">
        <v>0.8</v>
      </c>
      <c r="DS27" s="228">
        <v>-0.03</v>
      </c>
      <c r="DT27" s="229">
        <v>-3.7499999999999999E-2</v>
      </c>
      <c r="DU27" s="228">
        <v>190</v>
      </c>
      <c r="DV27" s="228">
        <v>150</v>
      </c>
      <c r="DW27" s="228">
        <v>0.54</v>
      </c>
      <c r="DX27" s="228">
        <v>0.66</v>
      </c>
      <c r="DY27" s="228">
        <v>-0.12</v>
      </c>
      <c r="DZ27" s="229">
        <v>-0.18179999999999999</v>
      </c>
      <c r="EA27" s="229">
        <v>4.6399999999999997E-2</v>
      </c>
      <c r="EB27" s="230">
        <v>2527200</v>
      </c>
      <c r="EC27" s="229">
        <v>7.3000000000000001E-3</v>
      </c>
      <c r="ED27" s="229">
        <v>4.6399999999999997E-2</v>
      </c>
      <c r="EE27" s="228">
        <v>0.9</v>
      </c>
      <c r="EF27" s="229">
        <v>5.8999999999999999E-3</v>
      </c>
      <c r="EG27" s="230">
        <v>1790374</v>
      </c>
      <c r="EH27" s="230">
        <v>2192588</v>
      </c>
      <c r="EI27" s="229">
        <v>-0.18340000000000001</v>
      </c>
      <c r="EJ27" s="229">
        <v>0.26750000000000002</v>
      </c>
      <c r="EK27" s="228">
        <v>214.81</v>
      </c>
      <c r="EL27" s="228">
        <v>105.83</v>
      </c>
      <c r="EM27" s="228">
        <v>162.72999999999999</v>
      </c>
      <c r="EN27" s="228">
        <v>29.95</v>
      </c>
      <c r="EO27" s="228">
        <v>483.37</v>
      </c>
      <c r="EP27" s="228">
        <v>449.42</v>
      </c>
      <c r="EQ27" s="228">
        <v>33.950000000000003</v>
      </c>
      <c r="ER27" s="229">
        <v>7.5499999999999998E-2</v>
      </c>
      <c r="ES27" s="228">
        <v>452</v>
      </c>
      <c r="ET27" s="228">
        <v>326.29000000000002</v>
      </c>
      <c r="EU27" s="228">
        <v>869.34</v>
      </c>
      <c r="EV27" s="231">
        <v>181770921</v>
      </c>
      <c r="EW27" s="231">
        <v>1647.64</v>
      </c>
      <c r="EX27" s="231">
        <v>1651.55</v>
      </c>
      <c r="EY27" s="228">
        <v>-3.91</v>
      </c>
      <c r="EZ27" s="229">
        <v>-2.3999999999999998E-3</v>
      </c>
      <c r="FA27" s="229">
        <v>0.56740000000000002</v>
      </c>
      <c r="FB27" s="227" t="s">
        <v>556</v>
      </c>
      <c r="FC27">
        <f t="shared" si="0"/>
        <v>40</v>
      </c>
    </row>
    <row r="28" spans="1:159" ht="17.25" hidden="1" thickBot="1" x14ac:dyDescent="0.3">
      <c r="A28" s="226">
        <v>46093</v>
      </c>
      <c r="B28" s="227" t="s">
        <v>181</v>
      </c>
      <c r="C28" s="227" t="s">
        <v>182</v>
      </c>
      <c r="D28" s="228">
        <v>30</v>
      </c>
      <c r="E28" s="228">
        <v>18</v>
      </c>
      <c r="F28" s="231">
        <v>55369.8</v>
      </c>
      <c r="G28" s="231">
        <v>55929.8</v>
      </c>
      <c r="H28" s="228">
        <v>-560</v>
      </c>
      <c r="I28" s="229">
        <v>-0.01</v>
      </c>
      <c r="J28" s="231">
        <v>55100.95</v>
      </c>
      <c r="K28" s="231">
        <v>55735.75</v>
      </c>
      <c r="L28" s="228">
        <v>-634.79999999999995</v>
      </c>
      <c r="M28" s="229">
        <v>-1.14E-2</v>
      </c>
      <c r="N28" s="231">
        <v>55369.8</v>
      </c>
      <c r="O28" s="231">
        <v>55929.8</v>
      </c>
      <c r="P28" s="228">
        <v>-560</v>
      </c>
      <c r="Q28" s="229">
        <v>-0.01</v>
      </c>
      <c r="R28" s="231">
        <v>55751.199999999997</v>
      </c>
      <c r="S28" s="231">
        <v>56325</v>
      </c>
      <c r="T28" s="228">
        <v>-573.79999999999995</v>
      </c>
      <c r="U28" s="229">
        <v>-1.0200000000000001E-2</v>
      </c>
      <c r="V28" s="231">
        <v>55909.2</v>
      </c>
      <c r="W28" s="231">
        <v>56465</v>
      </c>
      <c r="X28" s="228">
        <v>-555.79999999999995</v>
      </c>
      <c r="Y28" s="229">
        <v>-9.7999999999999997E-3</v>
      </c>
      <c r="Z28" s="228">
        <v>268.85000000000002</v>
      </c>
      <c r="AA28" s="228">
        <v>194.05</v>
      </c>
      <c r="AB28" s="228">
        <v>74.8</v>
      </c>
      <c r="AC28" s="229">
        <v>4.8999999999999998E-3</v>
      </c>
      <c r="AD28" s="228">
        <v>268.85000000000002</v>
      </c>
      <c r="AE28" s="228">
        <v>194.05</v>
      </c>
      <c r="AF28" s="228">
        <v>74.8</v>
      </c>
      <c r="AG28" s="229">
        <v>4.8999999999999998E-3</v>
      </c>
      <c r="AH28" s="228">
        <v>650.25</v>
      </c>
      <c r="AI28" s="228">
        <v>589.25</v>
      </c>
      <c r="AJ28" s="228">
        <v>61</v>
      </c>
      <c r="AK28" s="229">
        <v>1.18E-2</v>
      </c>
      <c r="AL28" s="228">
        <v>808.25</v>
      </c>
      <c r="AM28" s="228">
        <v>729.25</v>
      </c>
      <c r="AN28" s="228">
        <v>79</v>
      </c>
      <c r="AO28" s="229">
        <v>1.47E-2</v>
      </c>
      <c r="AP28" s="231">
        <v>55415.55</v>
      </c>
      <c r="AQ28" s="231">
        <v>55781.34</v>
      </c>
      <c r="AR28" s="228">
        <v>0</v>
      </c>
      <c r="AS28" s="230">
        <v>9530</v>
      </c>
      <c r="AT28" s="230">
        <v>9766</v>
      </c>
      <c r="AU28" s="228">
        <v>-236</v>
      </c>
      <c r="AV28" s="229">
        <v>-2.4199999999999999E-2</v>
      </c>
      <c r="AW28" s="230">
        <v>7499</v>
      </c>
      <c r="AX28" s="230">
        <v>7641</v>
      </c>
      <c r="AY28" s="228">
        <v>-142</v>
      </c>
      <c r="AZ28" s="229">
        <v>-1.8499999999999999E-2</v>
      </c>
      <c r="BA28" s="230">
        <v>1450</v>
      </c>
      <c r="BB28" s="230">
        <v>1778</v>
      </c>
      <c r="BC28" s="228">
        <v>-328</v>
      </c>
      <c r="BD28" s="229">
        <v>-0.1845</v>
      </c>
      <c r="BE28" s="228">
        <v>581</v>
      </c>
      <c r="BF28" s="228">
        <v>348</v>
      </c>
      <c r="BG28" s="228">
        <v>234</v>
      </c>
      <c r="BH28" s="229">
        <v>0.67179999999999995</v>
      </c>
      <c r="BI28" s="230">
        <v>241494</v>
      </c>
      <c r="BJ28" s="230">
        <v>221485</v>
      </c>
      <c r="BK28" s="230">
        <v>20010</v>
      </c>
      <c r="BL28" s="229">
        <v>9.0300000000000005E-2</v>
      </c>
      <c r="BM28" s="230">
        <v>175029</v>
      </c>
      <c r="BN28" s="230">
        <v>191814</v>
      </c>
      <c r="BO28" s="230">
        <v>-16785</v>
      </c>
      <c r="BP28" s="229">
        <v>-8.7499999999999994E-2</v>
      </c>
      <c r="BQ28" s="230">
        <v>426054</v>
      </c>
      <c r="BR28" s="230">
        <v>423065</v>
      </c>
      <c r="BS28" s="230">
        <v>2988</v>
      </c>
      <c r="BT28" s="229">
        <v>7.1000000000000004E-3</v>
      </c>
      <c r="BU28" s="228">
        <v>0</v>
      </c>
      <c r="BV28" s="228">
        <v>0</v>
      </c>
      <c r="BW28" s="228">
        <v>0</v>
      </c>
      <c r="BX28" s="229">
        <v>0</v>
      </c>
      <c r="BY28" s="230">
        <v>17009</v>
      </c>
      <c r="BZ28" s="230">
        <v>17210</v>
      </c>
      <c r="CA28" s="228">
        <v>-201</v>
      </c>
      <c r="CB28" s="229">
        <v>-1.17E-2</v>
      </c>
      <c r="CC28" s="230">
        <v>12047</v>
      </c>
      <c r="CD28" s="230">
        <v>12561</v>
      </c>
      <c r="CE28" s="228">
        <v>-514</v>
      </c>
      <c r="CF28" s="229">
        <v>-4.0899999999999999E-2</v>
      </c>
      <c r="CG28" s="230">
        <v>3129</v>
      </c>
      <c r="CH28" s="230">
        <v>2863</v>
      </c>
      <c r="CI28" s="228">
        <v>265</v>
      </c>
      <c r="CJ28" s="229">
        <v>9.2700000000000005E-2</v>
      </c>
      <c r="CK28" s="230">
        <v>1834</v>
      </c>
      <c r="CL28" s="230">
        <v>1787</v>
      </c>
      <c r="CM28" s="228">
        <v>48</v>
      </c>
      <c r="CN28" s="229">
        <v>2.6700000000000002E-2</v>
      </c>
      <c r="CO28" s="230">
        <v>109306</v>
      </c>
      <c r="CP28" s="230">
        <v>107219</v>
      </c>
      <c r="CQ28" s="230">
        <v>2086</v>
      </c>
      <c r="CR28" s="229">
        <v>1.95E-2</v>
      </c>
      <c r="CS28" s="230">
        <v>86651</v>
      </c>
      <c r="CT28" s="230">
        <v>82300</v>
      </c>
      <c r="CU28" s="230">
        <v>4351</v>
      </c>
      <c r="CV28" s="229">
        <v>5.2900000000000003E-2</v>
      </c>
      <c r="CW28" s="230">
        <v>212966</v>
      </c>
      <c r="CX28" s="230">
        <v>206730</v>
      </c>
      <c r="CY28" s="230">
        <v>6236</v>
      </c>
      <c r="CZ28" s="229">
        <v>3.0200000000000001E-2</v>
      </c>
      <c r="DA28" s="228">
        <v>23.62</v>
      </c>
      <c r="DB28" s="228">
        <v>22.59</v>
      </c>
      <c r="DC28" s="228">
        <v>1.03</v>
      </c>
      <c r="DD28" s="228">
        <v>1.03</v>
      </c>
      <c r="DE28" s="228">
        <v>16.91</v>
      </c>
      <c r="DF28" s="228">
        <v>16.88</v>
      </c>
      <c r="DG28" s="228">
        <v>6.71</v>
      </c>
      <c r="DH28" s="228">
        <v>0.03</v>
      </c>
      <c r="DI28" s="228">
        <v>22.07</v>
      </c>
      <c r="DJ28" s="228">
        <v>21.3</v>
      </c>
      <c r="DK28" s="228">
        <v>0.77</v>
      </c>
      <c r="DL28" s="228">
        <v>0.77</v>
      </c>
      <c r="DM28" s="228">
        <v>25.75</v>
      </c>
      <c r="DN28" s="228">
        <v>24.09</v>
      </c>
      <c r="DO28" s="228">
        <v>1.66</v>
      </c>
      <c r="DP28" s="228">
        <v>1.66</v>
      </c>
      <c r="DQ28" s="228">
        <v>0.79</v>
      </c>
      <c r="DR28" s="228">
        <v>0.77</v>
      </c>
      <c r="DS28" s="228">
        <v>0.02</v>
      </c>
      <c r="DT28" s="229">
        <v>2.5999999999999999E-2</v>
      </c>
      <c r="DU28" s="231">
        <v>61000</v>
      </c>
      <c r="DV28" s="231">
        <v>59000</v>
      </c>
      <c r="DW28" s="228">
        <v>0.72</v>
      </c>
      <c r="DX28" s="228">
        <v>0.87</v>
      </c>
      <c r="DY28" s="228">
        <v>-0.15</v>
      </c>
      <c r="DZ28" s="229">
        <v>-0.1724</v>
      </c>
      <c r="EA28" s="229">
        <v>0.2918</v>
      </c>
      <c r="EB28" s="230">
        <v>839730</v>
      </c>
      <c r="EC28" s="229">
        <v>6.8999999999999999E-3</v>
      </c>
      <c r="ED28" s="229">
        <v>0.2918</v>
      </c>
      <c r="EE28" s="228">
        <v>365.79</v>
      </c>
      <c r="EF28" s="229">
        <v>6.6E-3</v>
      </c>
      <c r="EG28" s="228">
        <v>0</v>
      </c>
      <c r="EH28" s="228">
        <v>0</v>
      </c>
      <c r="EI28" s="229">
        <v>0</v>
      </c>
      <c r="EJ28" s="229">
        <v>0</v>
      </c>
      <c r="EK28" s="231">
        <v>256362.13</v>
      </c>
      <c r="EL28" s="231">
        <v>173226.89</v>
      </c>
      <c r="EM28" s="231">
        <v>9552.8799999999992</v>
      </c>
      <c r="EN28" s="228">
        <v>0</v>
      </c>
      <c r="EO28" s="231">
        <v>439141.9</v>
      </c>
      <c r="EP28" s="231">
        <v>442252.9</v>
      </c>
      <c r="EQ28" s="231">
        <v>-3111</v>
      </c>
      <c r="ER28" s="229">
        <v>-7.0000000000000001E-3</v>
      </c>
      <c r="ES28" s="231">
        <v>118642.59</v>
      </c>
      <c r="ET28" s="231">
        <v>88213.64</v>
      </c>
      <c r="EU28" s="231">
        <v>17048.689999999999</v>
      </c>
      <c r="EV28" s="228">
        <v>0</v>
      </c>
      <c r="EW28" s="231">
        <v>223904.91</v>
      </c>
      <c r="EX28" s="231">
        <v>218580.69</v>
      </c>
      <c r="EY28" s="231">
        <v>5324.22</v>
      </c>
      <c r="EZ28" s="229">
        <v>2.4400000000000002E-2</v>
      </c>
      <c r="FA28" s="229">
        <v>0</v>
      </c>
      <c r="FB28" s="227" t="s">
        <v>568</v>
      </c>
      <c r="FC28">
        <f t="shared" si="0"/>
        <v>4962</v>
      </c>
    </row>
    <row r="29" spans="1:159" s="195" customFormat="1" ht="17.25" hidden="1" thickBot="1" x14ac:dyDescent="0.3">
      <c r="A29" s="226">
        <v>46093</v>
      </c>
      <c r="B29" s="227" t="s">
        <v>184</v>
      </c>
      <c r="C29" s="227" t="s">
        <v>670</v>
      </c>
      <c r="D29" s="228">
        <v>350</v>
      </c>
      <c r="E29" s="228">
        <v>18</v>
      </c>
      <c r="F29" s="231">
        <v>1352.1</v>
      </c>
      <c r="G29" s="231">
        <v>1358.1</v>
      </c>
      <c r="H29" s="228">
        <v>-6</v>
      </c>
      <c r="I29" s="229">
        <v>-4.4000000000000003E-3</v>
      </c>
      <c r="J29" s="231">
        <v>1349.4</v>
      </c>
      <c r="K29" s="231">
        <v>1360</v>
      </c>
      <c r="L29" s="228">
        <v>-10.6</v>
      </c>
      <c r="M29" s="229">
        <v>-7.7999999999999996E-3</v>
      </c>
      <c r="N29" s="231">
        <v>1352.1</v>
      </c>
      <c r="O29" s="231">
        <v>1358.1</v>
      </c>
      <c r="P29" s="228">
        <v>-6</v>
      </c>
      <c r="Q29" s="229">
        <v>-4.4000000000000003E-3</v>
      </c>
      <c r="R29" s="231">
        <v>1341</v>
      </c>
      <c r="S29" s="231">
        <v>1347</v>
      </c>
      <c r="T29" s="228">
        <v>-6</v>
      </c>
      <c r="U29" s="229">
        <v>-4.4999999999999997E-3</v>
      </c>
      <c r="V29" s="231">
        <v>1336.2</v>
      </c>
      <c r="W29" s="231">
        <v>1343.2</v>
      </c>
      <c r="X29" s="228">
        <v>-7</v>
      </c>
      <c r="Y29" s="229">
        <v>-5.1999999999999998E-3</v>
      </c>
      <c r="Z29" s="228">
        <v>2.7</v>
      </c>
      <c r="AA29" s="228">
        <v>-1.9</v>
      </c>
      <c r="AB29" s="228">
        <v>4.5999999999999996</v>
      </c>
      <c r="AC29" s="229">
        <v>2E-3</v>
      </c>
      <c r="AD29" s="228">
        <v>2.7</v>
      </c>
      <c r="AE29" s="228">
        <v>-1.9</v>
      </c>
      <c r="AF29" s="228">
        <v>4.5999999999999996</v>
      </c>
      <c r="AG29" s="229">
        <v>2E-3</v>
      </c>
      <c r="AH29" s="228">
        <v>-8.4</v>
      </c>
      <c r="AI29" s="228">
        <v>-13</v>
      </c>
      <c r="AJ29" s="228">
        <v>4.5999999999999996</v>
      </c>
      <c r="AK29" s="229">
        <v>-6.1999999999999998E-3</v>
      </c>
      <c r="AL29" s="228">
        <v>-13.2</v>
      </c>
      <c r="AM29" s="228">
        <v>-16.8</v>
      </c>
      <c r="AN29" s="228">
        <v>3.6</v>
      </c>
      <c r="AO29" s="229">
        <v>-9.7999999999999997E-3</v>
      </c>
      <c r="AP29" s="231">
        <v>1343.04</v>
      </c>
      <c r="AQ29" s="231">
        <v>1332.32</v>
      </c>
      <c r="AR29" s="228">
        <v>0</v>
      </c>
      <c r="AS29" s="228">
        <v>135</v>
      </c>
      <c r="AT29" s="228">
        <v>315</v>
      </c>
      <c r="AU29" s="228">
        <v>-180</v>
      </c>
      <c r="AV29" s="229">
        <v>-0.57079999999999997</v>
      </c>
      <c r="AW29" s="228">
        <v>117</v>
      </c>
      <c r="AX29" s="228">
        <v>263</v>
      </c>
      <c r="AY29" s="228">
        <v>-146</v>
      </c>
      <c r="AZ29" s="229">
        <v>-0.55369999999999997</v>
      </c>
      <c r="BA29" s="228">
        <v>16</v>
      </c>
      <c r="BB29" s="228">
        <v>46</v>
      </c>
      <c r="BC29" s="228">
        <v>-30</v>
      </c>
      <c r="BD29" s="229">
        <v>-0.64729999999999999</v>
      </c>
      <c r="BE29" s="228">
        <v>1</v>
      </c>
      <c r="BF29" s="228">
        <v>6</v>
      </c>
      <c r="BG29" s="228">
        <v>-4</v>
      </c>
      <c r="BH29" s="229">
        <v>-0.73950000000000005</v>
      </c>
      <c r="BI29" s="228">
        <v>453</v>
      </c>
      <c r="BJ29" s="228">
        <v>909</v>
      </c>
      <c r="BK29" s="228">
        <v>-456</v>
      </c>
      <c r="BL29" s="229">
        <v>-0.50160000000000005</v>
      </c>
      <c r="BM29" s="228">
        <v>183</v>
      </c>
      <c r="BN29" s="228">
        <v>345</v>
      </c>
      <c r="BO29" s="228">
        <v>-162</v>
      </c>
      <c r="BP29" s="229">
        <v>-0.47010000000000002</v>
      </c>
      <c r="BQ29" s="228">
        <v>771</v>
      </c>
      <c r="BR29" s="230">
        <v>1569</v>
      </c>
      <c r="BS29" s="228">
        <v>-798</v>
      </c>
      <c r="BT29" s="229">
        <v>-0.50860000000000005</v>
      </c>
      <c r="BU29" s="230">
        <v>1353789</v>
      </c>
      <c r="BV29" s="230">
        <v>2180389</v>
      </c>
      <c r="BW29" s="230">
        <v>-826600</v>
      </c>
      <c r="BX29" s="229">
        <v>-0.37909999999999999</v>
      </c>
      <c r="BY29" s="228">
        <v>744</v>
      </c>
      <c r="BZ29" s="228">
        <v>742</v>
      </c>
      <c r="CA29" s="228">
        <v>2</v>
      </c>
      <c r="CB29" s="229">
        <v>2.5999999999999999E-3</v>
      </c>
      <c r="CC29" s="228">
        <v>640</v>
      </c>
      <c r="CD29" s="228">
        <v>641</v>
      </c>
      <c r="CE29" s="228">
        <v>-1</v>
      </c>
      <c r="CF29" s="229">
        <v>-1.6000000000000001E-3</v>
      </c>
      <c r="CG29" s="228">
        <v>94</v>
      </c>
      <c r="CH29" s="228">
        <v>92</v>
      </c>
      <c r="CI29" s="228">
        <v>2</v>
      </c>
      <c r="CJ29" s="229">
        <v>2.52E-2</v>
      </c>
      <c r="CK29" s="228">
        <v>9</v>
      </c>
      <c r="CL29" s="228">
        <v>9</v>
      </c>
      <c r="CM29" s="228">
        <v>1</v>
      </c>
      <c r="CN29" s="229">
        <v>7.1400000000000005E-2</v>
      </c>
      <c r="CO29" s="228">
        <v>558</v>
      </c>
      <c r="CP29" s="228">
        <v>565</v>
      </c>
      <c r="CQ29" s="228">
        <v>-7</v>
      </c>
      <c r="CR29" s="229">
        <v>-1.17E-2</v>
      </c>
      <c r="CS29" s="228">
        <v>344</v>
      </c>
      <c r="CT29" s="228">
        <v>352</v>
      </c>
      <c r="CU29" s="228">
        <v>-8</v>
      </c>
      <c r="CV29" s="229">
        <v>-2.1899999999999999E-2</v>
      </c>
      <c r="CW29" s="230">
        <v>1646</v>
      </c>
      <c r="CX29" s="230">
        <v>1658</v>
      </c>
      <c r="CY29" s="228">
        <v>-12</v>
      </c>
      <c r="CZ29" s="229">
        <v>-7.4999999999999997E-3</v>
      </c>
      <c r="DA29" s="228">
        <v>45.8</v>
      </c>
      <c r="DB29" s="228">
        <v>45.5</v>
      </c>
      <c r="DC29" s="228">
        <v>0.3</v>
      </c>
      <c r="DD29" s="228">
        <v>0.3</v>
      </c>
      <c r="DE29" s="228">
        <v>51.69</v>
      </c>
      <c r="DF29" s="228">
        <v>51.82</v>
      </c>
      <c r="DG29" s="228">
        <v>-5.89</v>
      </c>
      <c r="DH29" s="228">
        <v>-0.13</v>
      </c>
      <c r="DI29" s="228">
        <v>44.91</v>
      </c>
      <c r="DJ29" s="228">
        <v>45.36</v>
      </c>
      <c r="DK29" s="228">
        <v>-0.45</v>
      </c>
      <c r="DL29" s="228">
        <v>-0.45</v>
      </c>
      <c r="DM29" s="228">
        <v>48.01</v>
      </c>
      <c r="DN29" s="228">
        <v>45.87</v>
      </c>
      <c r="DO29" s="228">
        <v>2.14</v>
      </c>
      <c r="DP29" s="228">
        <v>2.14</v>
      </c>
      <c r="DQ29" s="228">
        <v>0.62</v>
      </c>
      <c r="DR29" s="228">
        <v>0.62</v>
      </c>
      <c r="DS29" s="228">
        <v>0</v>
      </c>
      <c r="DT29" s="229">
        <v>0</v>
      </c>
      <c r="DU29" s="231">
        <v>1400</v>
      </c>
      <c r="DV29" s="231">
        <v>1300</v>
      </c>
      <c r="DW29" s="228">
        <v>0.4</v>
      </c>
      <c r="DX29" s="228">
        <v>0.38</v>
      </c>
      <c r="DY29" s="228">
        <v>0.02</v>
      </c>
      <c r="DZ29" s="229">
        <v>5.2600000000000001E-2</v>
      </c>
      <c r="EA29" s="229">
        <v>0.1394</v>
      </c>
      <c r="EB29" s="230">
        <v>745150</v>
      </c>
      <c r="EC29" s="229">
        <v>-8.2000000000000007E-3</v>
      </c>
      <c r="ED29" s="229">
        <v>0.1394</v>
      </c>
      <c r="EE29" s="228">
        <v>-10.72</v>
      </c>
      <c r="EF29" s="229">
        <v>-8.0000000000000002E-3</v>
      </c>
      <c r="EG29" s="230">
        <v>384005</v>
      </c>
      <c r="EH29" s="230">
        <v>648770</v>
      </c>
      <c r="EI29" s="229">
        <v>-0.40810000000000002</v>
      </c>
      <c r="EJ29" s="229">
        <v>0.28370000000000001</v>
      </c>
      <c r="EK29" s="228">
        <v>484.76</v>
      </c>
      <c r="EL29" s="228">
        <v>175.11</v>
      </c>
      <c r="EM29" s="228">
        <v>134.24</v>
      </c>
      <c r="EN29" s="228">
        <v>91.87</v>
      </c>
      <c r="EO29" s="228">
        <v>794.11</v>
      </c>
      <c r="EP29" s="231">
        <v>1650.62</v>
      </c>
      <c r="EQ29" s="228">
        <v>-856.51</v>
      </c>
      <c r="ER29" s="229">
        <v>-0.51890000000000003</v>
      </c>
      <c r="ES29" s="228">
        <v>581.86</v>
      </c>
      <c r="ET29" s="228">
        <v>325.11</v>
      </c>
      <c r="EU29" s="228">
        <v>743.09</v>
      </c>
      <c r="EV29" s="231">
        <v>13786716</v>
      </c>
      <c r="EW29" s="231">
        <v>1650.06</v>
      </c>
      <c r="EX29" s="231">
        <v>1664.04</v>
      </c>
      <c r="EY29" s="228">
        <v>-13.98</v>
      </c>
      <c r="EZ29" s="229">
        <v>-8.3999999999999995E-3</v>
      </c>
      <c r="FA29" s="229">
        <v>0.88290000000000002</v>
      </c>
      <c r="FB29" s="227" t="s">
        <v>567</v>
      </c>
      <c r="FC29" s="195">
        <f t="shared" si="0"/>
        <v>104</v>
      </c>
    </row>
    <row r="30" spans="1:159" ht="17.25" hidden="1" thickBot="1" x14ac:dyDescent="0.3">
      <c r="A30" s="226">
        <v>46093</v>
      </c>
      <c r="B30" s="227" t="s">
        <v>184</v>
      </c>
      <c r="C30" s="227" t="s">
        <v>185</v>
      </c>
      <c r="D30" s="228">
        <v>1425</v>
      </c>
      <c r="E30" s="228">
        <v>18</v>
      </c>
      <c r="F30" s="228">
        <v>454.4</v>
      </c>
      <c r="G30" s="228">
        <v>455.8</v>
      </c>
      <c r="H30" s="228">
        <v>-1.4</v>
      </c>
      <c r="I30" s="229">
        <v>-3.0999999999999999E-3</v>
      </c>
      <c r="J30" s="228">
        <v>453.55</v>
      </c>
      <c r="K30" s="228">
        <v>454.1</v>
      </c>
      <c r="L30" s="228">
        <v>-0.55000000000000004</v>
      </c>
      <c r="M30" s="229">
        <v>-1.1999999999999999E-3</v>
      </c>
      <c r="N30" s="228">
        <v>454.4</v>
      </c>
      <c r="O30" s="228">
        <v>455.8</v>
      </c>
      <c r="P30" s="228">
        <v>-1.4</v>
      </c>
      <c r="Q30" s="229">
        <v>-3.0999999999999999E-3</v>
      </c>
      <c r="R30" s="228">
        <v>457.1</v>
      </c>
      <c r="S30" s="228">
        <v>458.65</v>
      </c>
      <c r="T30" s="228">
        <v>-1.55</v>
      </c>
      <c r="U30" s="229">
        <v>-3.3999999999999998E-3</v>
      </c>
      <c r="V30" s="228">
        <v>459.15</v>
      </c>
      <c r="W30" s="228">
        <v>461.7</v>
      </c>
      <c r="X30" s="228">
        <v>-2.5499999999999998</v>
      </c>
      <c r="Y30" s="229">
        <v>-5.4999999999999997E-3</v>
      </c>
      <c r="Z30" s="228">
        <v>0.85</v>
      </c>
      <c r="AA30" s="228">
        <v>1.7</v>
      </c>
      <c r="AB30" s="228">
        <v>-0.85</v>
      </c>
      <c r="AC30" s="229">
        <v>1.9E-3</v>
      </c>
      <c r="AD30" s="228">
        <v>0.85</v>
      </c>
      <c r="AE30" s="228">
        <v>1.7</v>
      </c>
      <c r="AF30" s="228">
        <v>-0.85</v>
      </c>
      <c r="AG30" s="229">
        <v>1.9E-3</v>
      </c>
      <c r="AH30" s="228">
        <v>3.55</v>
      </c>
      <c r="AI30" s="228">
        <v>4.55</v>
      </c>
      <c r="AJ30" s="228">
        <v>-1</v>
      </c>
      <c r="AK30" s="229">
        <v>7.7999999999999996E-3</v>
      </c>
      <c r="AL30" s="228">
        <v>5.6</v>
      </c>
      <c r="AM30" s="228">
        <v>7.6</v>
      </c>
      <c r="AN30" s="228">
        <v>-2</v>
      </c>
      <c r="AO30" s="229">
        <v>1.23E-2</v>
      </c>
      <c r="AP30" s="228">
        <v>452.78</v>
      </c>
      <c r="AQ30" s="228">
        <v>455.69</v>
      </c>
      <c r="AR30" s="228">
        <v>0</v>
      </c>
      <c r="AS30" s="228">
        <v>791</v>
      </c>
      <c r="AT30" s="228">
        <v>796</v>
      </c>
      <c r="AU30" s="228">
        <v>-6</v>
      </c>
      <c r="AV30" s="229">
        <v>-7.0000000000000001E-3</v>
      </c>
      <c r="AW30" s="228">
        <v>634</v>
      </c>
      <c r="AX30" s="228">
        <v>704</v>
      </c>
      <c r="AY30" s="228">
        <v>-70</v>
      </c>
      <c r="AZ30" s="229">
        <v>-9.9599999999999994E-2</v>
      </c>
      <c r="BA30" s="228">
        <v>59</v>
      </c>
      <c r="BB30" s="228">
        <v>73</v>
      </c>
      <c r="BC30" s="228">
        <v>-14</v>
      </c>
      <c r="BD30" s="229">
        <v>-0.1915</v>
      </c>
      <c r="BE30" s="228">
        <v>98</v>
      </c>
      <c r="BF30" s="228">
        <v>20</v>
      </c>
      <c r="BG30" s="228">
        <v>78</v>
      </c>
      <c r="BH30" s="229">
        <v>4.0132000000000003</v>
      </c>
      <c r="BI30" s="230">
        <v>2552</v>
      </c>
      <c r="BJ30" s="230">
        <v>2611</v>
      </c>
      <c r="BK30" s="228">
        <v>-59</v>
      </c>
      <c r="BL30" s="229">
        <v>-2.2499999999999999E-2</v>
      </c>
      <c r="BM30" s="230">
        <v>1415</v>
      </c>
      <c r="BN30" s="230">
        <v>1646</v>
      </c>
      <c r="BO30" s="228">
        <v>-231</v>
      </c>
      <c r="BP30" s="229">
        <v>-0.1404</v>
      </c>
      <c r="BQ30" s="230">
        <v>4758</v>
      </c>
      <c r="BR30" s="230">
        <v>5053</v>
      </c>
      <c r="BS30" s="228">
        <v>-296</v>
      </c>
      <c r="BT30" s="229">
        <v>-5.8500000000000003E-2</v>
      </c>
      <c r="BU30" s="230">
        <v>14505666</v>
      </c>
      <c r="BV30" s="230">
        <v>16905746</v>
      </c>
      <c r="BW30" s="230">
        <v>-2400080</v>
      </c>
      <c r="BX30" s="229">
        <v>-0.14199999999999999</v>
      </c>
      <c r="BY30" s="230">
        <v>4943</v>
      </c>
      <c r="BZ30" s="230">
        <v>4947</v>
      </c>
      <c r="CA30" s="228">
        <v>-4</v>
      </c>
      <c r="CB30" s="229">
        <v>-8.0000000000000004E-4</v>
      </c>
      <c r="CC30" s="230">
        <v>4513</v>
      </c>
      <c r="CD30" s="230">
        <v>4539</v>
      </c>
      <c r="CE30" s="228">
        <v>-26</v>
      </c>
      <c r="CF30" s="229">
        <v>-5.7000000000000002E-3</v>
      </c>
      <c r="CG30" s="228">
        <v>298</v>
      </c>
      <c r="CH30" s="228">
        <v>283</v>
      </c>
      <c r="CI30" s="228">
        <v>14</v>
      </c>
      <c r="CJ30" s="229">
        <v>5.0999999999999997E-2</v>
      </c>
      <c r="CK30" s="228">
        <v>132</v>
      </c>
      <c r="CL30" s="228">
        <v>124</v>
      </c>
      <c r="CM30" s="228">
        <v>7</v>
      </c>
      <c r="CN30" s="229">
        <v>5.9299999999999999E-2</v>
      </c>
      <c r="CO30" s="230">
        <v>2349</v>
      </c>
      <c r="CP30" s="230">
        <v>2203</v>
      </c>
      <c r="CQ30" s="228">
        <v>146</v>
      </c>
      <c r="CR30" s="229">
        <v>6.6400000000000001E-2</v>
      </c>
      <c r="CS30" s="230">
        <v>1362</v>
      </c>
      <c r="CT30" s="230">
        <v>1361</v>
      </c>
      <c r="CU30" s="228">
        <v>0</v>
      </c>
      <c r="CV30" s="229">
        <v>2.0000000000000001E-4</v>
      </c>
      <c r="CW30" s="230">
        <v>8654</v>
      </c>
      <c r="CX30" s="230">
        <v>8511</v>
      </c>
      <c r="CY30" s="228">
        <v>143</v>
      </c>
      <c r="CZ30" s="229">
        <v>1.6799999999999999E-2</v>
      </c>
      <c r="DA30" s="228">
        <v>34.69</v>
      </c>
      <c r="DB30" s="228">
        <v>35.299999999999997</v>
      </c>
      <c r="DC30" s="228">
        <v>-0.61</v>
      </c>
      <c r="DD30" s="228">
        <v>-0.61</v>
      </c>
      <c r="DE30" s="228">
        <v>36.9</v>
      </c>
      <c r="DF30" s="228">
        <v>36.99</v>
      </c>
      <c r="DG30" s="228">
        <v>-2.21</v>
      </c>
      <c r="DH30" s="228">
        <v>-0.09</v>
      </c>
      <c r="DI30" s="228">
        <v>34.729999999999997</v>
      </c>
      <c r="DJ30" s="228">
        <v>35.44</v>
      </c>
      <c r="DK30" s="228">
        <v>-0.71</v>
      </c>
      <c r="DL30" s="228">
        <v>-0.71</v>
      </c>
      <c r="DM30" s="228">
        <v>34.6</v>
      </c>
      <c r="DN30" s="228">
        <v>35.06</v>
      </c>
      <c r="DO30" s="228">
        <v>-0.46</v>
      </c>
      <c r="DP30" s="228">
        <v>-0.46</v>
      </c>
      <c r="DQ30" s="228">
        <v>0.57999999999999996</v>
      </c>
      <c r="DR30" s="228">
        <v>0.62</v>
      </c>
      <c r="DS30" s="228">
        <v>-0.04</v>
      </c>
      <c r="DT30" s="229">
        <v>-6.4500000000000002E-2</v>
      </c>
      <c r="DU30" s="228">
        <v>500</v>
      </c>
      <c r="DV30" s="228">
        <v>450</v>
      </c>
      <c r="DW30" s="228">
        <v>0.55000000000000004</v>
      </c>
      <c r="DX30" s="228">
        <v>0.63</v>
      </c>
      <c r="DY30" s="228">
        <v>-0.08</v>
      </c>
      <c r="DZ30" s="229">
        <v>-0.127</v>
      </c>
      <c r="EA30" s="229">
        <v>8.6900000000000005E-2</v>
      </c>
      <c r="EB30" s="230">
        <v>8971800</v>
      </c>
      <c r="EC30" s="229">
        <v>5.8999999999999999E-3</v>
      </c>
      <c r="ED30" s="229">
        <v>8.6900000000000005E-2</v>
      </c>
      <c r="EE30" s="228">
        <v>2.91</v>
      </c>
      <c r="EF30" s="229">
        <v>6.4000000000000003E-3</v>
      </c>
      <c r="EG30" s="230">
        <v>6863573</v>
      </c>
      <c r="EH30" s="230">
        <v>7848871</v>
      </c>
      <c r="EI30" s="229">
        <v>-0.1255</v>
      </c>
      <c r="EJ30" s="229">
        <v>0.47320000000000001</v>
      </c>
      <c r="EK30" s="231">
        <v>2720.11</v>
      </c>
      <c r="EL30" s="231">
        <v>1383.16</v>
      </c>
      <c r="EM30" s="228">
        <v>789.48</v>
      </c>
      <c r="EN30" s="228">
        <v>208.93</v>
      </c>
      <c r="EO30" s="231">
        <v>4892.75</v>
      </c>
      <c r="EP30" s="231">
        <v>5244.61</v>
      </c>
      <c r="EQ30" s="228">
        <v>-351.86</v>
      </c>
      <c r="ER30" s="229">
        <v>-6.7100000000000007E-2</v>
      </c>
      <c r="ES30" s="231">
        <v>2461.2399999999998</v>
      </c>
      <c r="ET30" s="231">
        <v>1302.6300000000001</v>
      </c>
      <c r="EU30" s="231">
        <v>4945.93</v>
      </c>
      <c r="EV30" s="231">
        <v>535778534</v>
      </c>
      <c r="EW30" s="231">
        <v>8709.7900000000009</v>
      </c>
      <c r="EX30" s="231">
        <v>8566.9500000000007</v>
      </c>
      <c r="EY30" s="228">
        <v>142.84</v>
      </c>
      <c r="EZ30" s="229">
        <v>1.67E-2</v>
      </c>
      <c r="FA30" s="229">
        <v>0.35549999999999998</v>
      </c>
      <c r="FB30" s="227" t="s">
        <v>568</v>
      </c>
      <c r="FC30">
        <f t="shared" si="0"/>
        <v>430</v>
      </c>
    </row>
    <row r="31" spans="1:159" ht="17.25" hidden="1" thickBot="1" x14ac:dyDescent="0.3">
      <c r="A31" s="226">
        <v>46093</v>
      </c>
      <c r="B31" s="227" t="s">
        <v>162</v>
      </c>
      <c r="C31" s="227" t="s">
        <v>187</v>
      </c>
      <c r="D31" s="228">
        <v>500</v>
      </c>
      <c r="E31" s="228">
        <v>18</v>
      </c>
      <c r="F31" s="231">
        <v>1784.1</v>
      </c>
      <c r="G31" s="231">
        <v>1803.7</v>
      </c>
      <c r="H31" s="228">
        <v>-19.600000000000001</v>
      </c>
      <c r="I31" s="229">
        <v>-1.09E-2</v>
      </c>
      <c r="J31" s="231">
        <v>1779.6</v>
      </c>
      <c r="K31" s="231">
        <v>1797.1</v>
      </c>
      <c r="L31" s="228">
        <v>-17.5</v>
      </c>
      <c r="M31" s="229">
        <v>-9.7000000000000003E-3</v>
      </c>
      <c r="N31" s="231">
        <v>1784.1</v>
      </c>
      <c r="O31" s="231">
        <v>1803.7</v>
      </c>
      <c r="P31" s="228">
        <v>-19.600000000000001</v>
      </c>
      <c r="Q31" s="229">
        <v>-1.09E-2</v>
      </c>
      <c r="R31" s="231">
        <v>1791.7</v>
      </c>
      <c r="S31" s="231">
        <v>1812.6</v>
      </c>
      <c r="T31" s="228">
        <v>-20.9</v>
      </c>
      <c r="U31" s="229">
        <v>-1.15E-2</v>
      </c>
      <c r="V31" s="231">
        <v>1800</v>
      </c>
      <c r="W31" s="231">
        <v>1818.5</v>
      </c>
      <c r="X31" s="228">
        <v>-18.5</v>
      </c>
      <c r="Y31" s="229">
        <v>-1.0200000000000001E-2</v>
      </c>
      <c r="Z31" s="228">
        <v>4.5</v>
      </c>
      <c r="AA31" s="228">
        <v>6.6</v>
      </c>
      <c r="AB31" s="228">
        <v>-2.1</v>
      </c>
      <c r="AC31" s="229">
        <v>2.5000000000000001E-3</v>
      </c>
      <c r="AD31" s="228">
        <v>4.5</v>
      </c>
      <c r="AE31" s="228">
        <v>6.6</v>
      </c>
      <c r="AF31" s="228">
        <v>-2.1</v>
      </c>
      <c r="AG31" s="229">
        <v>2.5000000000000001E-3</v>
      </c>
      <c r="AH31" s="228">
        <v>12.1</v>
      </c>
      <c r="AI31" s="228">
        <v>15.5</v>
      </c>
      <c r="AJ31" s="228">
        <v>-3.4</v>
      </c>
      <c r="AK31" s="229">
        <v>6.7999999999999996E-3</v>
      </c>
      <c r="AL31" s="228">
        <v>20.399999999999999</v>
      </c>
      <c r="AM31" s="228">
        <v>21.4</v>
      </c>
      <c r="AN31" s="228">
        <v>-1</v>
      </c>
      <c r="AO31" s="229">
        <v>1.15E-2</v>
      </c>
      <c r="AP31" s="231">
        <v>1759.38</v>
      </c>
      <c r="AQ31" s="231">
        <v>1773.22</v>
      </c>
      <c r="AR31" s="228">
        <v>0</v>
      </c>
      <c r="AS31" s="228">
        <v>642</v>
      </c>
      <c r="AT31" s="228">
        <v>358</v>
      </c>
      <c r="AU31" s="228">
        <v>284</v>
      </c>
      <c r="AV31" s="229">
        <v>0.79520000000000002</v>
      </c>
      <c r="AW31" s="228">
        <v>617</v>
      </c>
      <c r="AX31" s="228">
        <v>343</v>
      </c>
      <c r="AY31" s="228">
        <v>274</v>
      </c>
      <c r="AZ31" s="229">
        <v>0.79790000000000005</v>
      </c>
      <c r="BA31" s="228">
        <v>20</v>
      </c>
      <c r="BB31" s="228">
        <v>11</v>
      </c>
      <c r="BC31" s="228">
        <v>9</v>
      </c>
      <c r="BD31" s="229">
        <v>0.83199999999999996</v>
      </c>
      <c r="BE31" s="228">
        <v>4</v>
      </c>
      <c r="BF31" s="228">
        <v>3</v>
      </c>
      <c r="BG31" s="228">
        <v>1</v>
      </c>
      <c r="BH31" s="229">
        <v>0.35289999999999999</v>
      </c>
      <c r="BI31" s="230">
        <v>1629</v>
      </c>
      <c r="BJ31" s="228">
        <v>675</v>
      </c>
      <c r="BK31" s="228">
        <v>954</v>
      </c>
      <c r="BL31" s="229">
        <v>1.4138999999999999</v>
      </c>
      <c r="BM31" s="230">
        <v>1227</v>
      </c>
      <c r="BN31" s="228">
        <v>640</v>
      </c>
      <c r="BO31" s="228">
        <v>587</v>
      </c>
      <c r="BP31" s="229">
        <v>0.91800000000000004</v>
      </c>
      <c r="BQ31" s="230">
        <v>3498</v>
      </c>
      <c r="BR31" s="230">
        <v>1672</v>
      </c>
      <c r="BS31" s="230">
        <v>1826</v>
      </c>
      <c r="BT31" s="229">
        <v>1.0919000000000001</v>
      </c>
      <c r="BU31" s="230">
        <v>1323620</v>
      </c>
      <c r="BV31" s="230">
        <v>854759</v>
      </c>
      <c r="BW31" s="230">
        <v>468861</v>
      </c>
      <c r="BX31" s="229">
        <v>0.54849999999999999</v>
      </c>
      <c r="BY31" s="230">
        <v>1191</v>
      </c>
      <c r="BZ31" s="230">
        <v>1163</v>
      </c>
      <c r="CA31" s="228">
        <v>27</v>
      </c>
      <c r="CB31" s="229">
        <v>2.35E-2</v>
      </c>
      <c r="CC31" s="230">
        <v>1161</v>
      </c>
      <c r="CD31" s="230">
        <v>1135</v>
      </c>
      <c r="CE31" s="228">
        <v>26</v>
      </c>
      <c r="CF31" s="229">
        <v>2.3E-2</v>
      </c>
      <c r="CG31" s="228">
        <v>25</v>
      </c>
      <c r="CH31" s="228">
        <v>24</v>
      </c>
      <c r="CI31" s="228">
        <v>1</v>
      </c>
      <c r="CJ31" s="229">
        <v>5.1999999999999998E-2</v>
      </c>
      <c r="CK31" s="228">
        <v>4</v>
      </c>
      <c r="CL31" s="228">
        <v>4</v>
      </c>
      <c r="CM31" s="228">
        <v>0</v>
      </c>
      <c r="CN31" s="229">
        <v>0</v>
      </c>
      <c r="CO31" s="228">
        <v>829</v>
      </c>
      <c r="CP31" s="228">
        <v>812</v>
      </c>
      <c r="CQ31" s="228">
        <v>17</v>
      </c>
      <c r="CR31" s="229">
        <v>2.0799999999999999E-2</v>
      </c>
      <c r="CS31" s="228">
        <v>503</v>
      </c>
      <c r="CT31" s="228">
        <v>506</v>
      </c>
      <c r="CU31" s="228">
        <v>-3</v>
      </c>
      <c r="CV31" s="229">
        <v>-6.8999999999999999E-3</v>
      </c>
      <c r="CW31" s="230">
        <v>2522</v>
      </c>
      <c r="CX31" s="230">
        <v>2481</v>
      </c>
      <c r="CY31" s="228">
        <v>41</v>
      </c>
      <c r="CZ31" s="229">
        <v>1.6400000000000001E-2</v>
      </c>
      <c r="DA31" s="228">
        <v>40.92</v>
      </c>
      <c r="DB31" s="228">
        <v>39.44</v>
      </c>
      <c r="DC31" s="228">
        <v>1.48</v>
      </c>
      <c r="DD31" s="228">
        <v>1.48</v>
      </c>
      <c r="DE31" s="228">
        <v>37.549999999999997</v>
      </c>
      <c r="DF31" s="228">
        <v>37.619999999999997</v>
      </c>
      <c r="DG31" s="228">
        <v>3.37</v>
      </c>
      <c r="DH31" s="228">
        <v>-7.0000000000000007E-2</v>
      </c>
      <c r="DI31" s="228">
        <v>40.58</v>
      </c>
      <c r="DJ31" s="228">
        <v>38.799999999999997</v>
      </c>
      <c r="DK31" s="228">
        <v>1.78</v>
      </c>
      <c r="DL31" s="228">
        <v>1.78</v>
      </c>
      <c r="DM31" s="228">
        <v>41.36</v>
      </c>
      <c r="DN31" s="228">
        <v>40.119999999999997</v>
      </c>
      <c r="DO31" s="228">
        <v>1.24</v>
      </c>
      <c r="DP31" s="228">
        <v>1.24</v>
      </c>
      <c r="DQ31" s="228">
        <v>0.61</v>
      </c>
      <c r="DR31" s="228">
        <v>0.62</v>
      </c>
      <c r="DS31" s="228">
        <v>-0.01</v>
      </c>
      <c r="DT31" s="229">
        <v>-1.61E-2</v>
      </c>
      <c r="DU31" s="231">
        <v>2120</v>
      </c>
      <c r="DV31" s="231">
        <v>1700</v>
      </c>
      <c r="DW31" s="228">
        <v>0.75</v>
      </c>
      <c r="DX31" s="228">
        <v>0.95</v>
      </c>
      <c r="DY31" s="228">
        <v>-0.2</v>
      </c>
      <c r="DZ31" s="229">
        <v>-0.21049999999999999</v>
      </c>
      <c r="EA31" s="229">
        <v>2.47E-2</v>
      </c>
      <c r="EB31" s="230">
        <v>157500</v>
      </c>
      <c r="EC31" s="229">
        <v>4.3E-3</v>
      </c>
      <c r="ED31" s="229">
        <v>2.47E-2</v>
      </c>
      <c r="EE31" s="228">
        <v>13.84</v>
      </c>
      <c r="EF31" s="229">
        <v>7.9000000000000008E-3</v>
      </c>
      <c r="EG31" s="230">
        <v>448785</v>
      </c>
      <c r="EH31" s="230">
        <v>392175</v>
      </c>
      <c r="EI31" s="229">
        <v>0.14430000000000001</v>
      </c>
      <c r="EJ31" s="229">
        <v>0.33910000000000001</v>
      </c>
      <c r="EK31" s="231">
        <v>1802.43</v>
      </c>
      <c r="EL31" s="231">
        <v>1194.97</v>
      </c>
      <c r="EM31" s="228">
        <v>633.13</v>
      </c>
      <c r="EN31" s="228">
        <v>59.85</v>
      </c>
      <c r="EO31" s="231">
        <v>3630.52</v>
      </c>
      <c r="EP31" s="231">
        <v>1754.49</v>
      </c>
      <c r="EQ31" s="231">
        <v>1876.03</v>
      </c>
      <c r="ER31" s="229">
        <v>1.0692999999999999</v>
      </c>
      <c r="ES31" s="228">
        <v>901.56</v>
      </c>
      <c r="ET31" s="228">
        <v>490.2</v>
      </c>
      <c r="EU31" s="231">
        <v>1190.67</v>
      </c>
      <c r="EV31" s="231">
        <v>40107751</v>
      </c>
      <c r="EW31" s="231">
        <v>2582.44</v>
      </c>
      <c r="EX31" s="231">
        <v>2560.02</v>
      </c>
      <c r="EY31" s="228">
        <v>22.42</v>
      </c>
      <c r="EZ31" s="229">
        <v>8.8000000000000005E-3</v>
      </c>
      <c r="FA31" s="229">
        <v>0.35239999999999999</v>
      </c>
      <c r="FB31" s="227" t="s">
        <v>567</v>
      </c>
      <c r="FC31">
        <f t="shared" si="0"/>
        <v>30</v>
      </c>
    </row>
    <row r="32" spans="1:159" ht="17.25" hidden="1" thickBot="1" x14ac:dyDescent="0.3">
      <c r="A32" s="226">
        <v>46093</v>
      </c>
      <c r="B32" s="227" t="s">
        <v>188</v>
      </c>
      <c r="C32" s="227" t="s">
        <v>189</v>
      </c>
      <c r="D32" s="228">
        <v>475</v>
      </c>
      <c r="E32" s="228">
        <v>18</v>
      </c>
      <c r="F32" s="231">
        <v>1807.3</v>
      </c>
      <c r="G32" s="231">
        <v>1811.3</v>
      </c>
      <c r="H32" s="228">
        <v>-4</v>
      </c>
      <c r="I32" s="229">
        <v>-2.2000000000000001E-3</v>
      </c>
      <c r="J32" s="231">
        <v>1801.3</v>
      </c>
      <c r="K32" s="231">
        <v>1807</v>
      </c>
      <c r="L32" s="228">
        <v>-5.7</v>
      </c>
      <c r="M32" s="229">
        <v>-3.2000000000000002E-3</v>
      </c>
      <c r="N32" s="231">
        <v>1807.3</v>
      </c>
      <c r="O32" s="231">
        <v>1811.3</v>
      </c>
      <c r="P32" s="228">
        <v>-4</v>
      </c>
      <c r="Q32" s="229">
        <v>-2.2000000000000001E-3</v>
      </c>
      <c r="R32" s="231">
        <v>1818.3</v>
      </c>
      <c r="S32" s="231">
        <v>1824</v>
      </c>
      <c r="T32" s="228">
        <v>-5.7</v>
      </c>
      <c r="U32" s="229">
        <v>-3.0999999999999999E-3</v>
      </c>
      <c r="V32" s="231">
        <v>1826.9</v>
      </c>
      <c r="W32" s="231">
        <v>1831.4</v>
      </c>
      <c r="X32" s="228">
        <v>-4.5</v>
      </c>
      <c r="Y32" s="229">
        <v>-2.5000000000000001E-3</v>
      </c>
      <c r="Z32" s="228">
        <v>6</v>
      </c>
      <c r="AA32" s="228">
        <v>4.3</v>
      </c>
      <c r="AB32" s="228">
        <v>1.7</v>
      </c>
      <c r="AC32" s="229">
        <v>3.3E-3</v>
      </c>
      <c r="AD32" s="228">
        <v>6</v>
      </c>
      <c r="AE32" s="228">
        <v>4.3</v>
      </c>
      <c r="AF32" s="228">
        <v>1.7</v>
      </c>
      <c r="AG32" s="229">
        <v>3.3E-3</v>
      </c>
      <c r="AH32" s="228">
        <v>17</v>
      </c>
      <c r="AI32" s="228">
        <v>17</v>
      </c>
      <c r="AJ32" s="228">
        <v>0</v>
      </c>
      <c r="AK32" s="229">
        <v>9.4000000000000004E-3</v>
      </c>
      <c r="AL32" s="228">
        <v>25.6</v>
      </c>
      <c r="AM32" s="228">
        <v>24.4</v>
      </c>
      <c r="AN32" s="228">
        <v>1.2</v>
      </c>
      <c r="AO32" s="229">
        <v>1.4200000000000001E-2</v>
      </c>
      <c r="AP32" s="231">
        <v>1809.71</v>
      </c>
      <c r="AQ32" s="231">
        <v>1819.26</v>
      </c>
      <c r="AR32" s="228">
        <v>0</v>
      </c>
      <c r="AS32" s="230">
        <v>1209</v>
      </c>
      <c r="AT32" s="230">
        <v>1561</v>
      </c>
      <c r="AU32" s="228">
        <v>-353</v>
      </c>
      <c r="AV32" s="229">
        <v>-0.22589999999999999</v>
      </c>
      <c r="AW32" s="230">
        <v>1036</v>
      </c>
      <c r="AX32" s="230">
        <v>1028</v>
      </c>
      <c r="AY32" s="228">
        <v>8</v>
      </c>
      <c r="AZ32" s="229">
        <v>7.6E-3</v>
      </c>
      <c r="BA32" s="228">
        <v>165</v>
      </c>
      <c r="BB32" s="228">
        <v>484</v>
      </c>
      <c r="BC32" s="228">
        <v>-319</v>
      </c>
      <c r="BD32" s="229">
        <v>-0.65900000000000003</v>
      </c>
      <c r="BE32" s="228">
        <v>8</v>
      </c>
      <c r="BF32" s="228">
        <v>50</v>
      </c>
      <c r="BG32" s="228">
        <v>-42</v>
      </c>
      <c r="BH32" s="229">
        <v>-0.84399999999999997</v>
      </c>
      <c r="BI32" s="230">
        <v>3869</v>
      </c>
      <c r="BJ32" s="230">
        <v>5724</v>
      </c>
      <c r="BK32" s="230">
        <v>-1855</v>
      </c>
      <c r="BL32" s="229">
        <v>-0.32400000000000001</v>
      </c>
      <c r="BM32" s="230">
        <v>2007</v>
      </c>
      <c r="BN32" s="230">
        <v>3440</v>
      </c>
      <c r="BO32" s="230">
        <v>-1434</v>
      </c>
      <c r="BP32" s="229">
        <v>-0.41670000000000001</v>
      </c>
      <c r="BQ32" s="230">
        <v>7085</v>
      </c>
      <c r="BR32" s="230">
        <v>10726</v>
      </c>
      <c r="BS32" s="230">
        <v>-3642</v>
      </c>
      <c r="BT32" s="229">
        <v>-0.33950000000000002</v>
      </c>
      <c r="BU32" s="230">
        <v>14724278</v>
      </c>
      <c r="BV32" s="230">
        <v>10217190</v>
      </c>
      <c r="BW32" s="230">
        <v>4507088</v>
      </c>
      <c r="BX32" s="229">
        <v>0.44109999999999999</v>
      </c>
      <c r="BY32" s="230">
        <v>11632</v>
      </c>
      <c r="BZ32" s="230">
        <v>11728</v>
      </c>
      <c r="CA32" s="228">
        <v>-96</v>
      </c>
      <c r="CB32" s="229">
        <v>-8.2000000000000007E-3</v>
      </c>
      <c r="CC32" s="230">
        <v>10647</v>
      </c>
      <c r="CD32" s="230">
        <v>10839</v>
      </c>
      <c r="CE32" s="228">
        <v>-192</v>
      </c>
      <c r="CF32" s="229">
        <v>-1.78E-2</v>
      </c>
      <c r="CG32" s="228">
        <v>920</v>
      </c>
      <c r="CH32" s="228">
        <v>824</v>
      </c>
      <c r="CI32" s="228">
        <v>96</v>
      </c>
      <c r="CJ32" s="229">
        <v>0.11600000000000001</v>
      </c>
      <c r="CK32" s="228">
        <v>66</v>
      </c>
      <c r="CL32" s="228">
        <v>65</v>
      </c>
      <c r="CM32" s="228">
        <v>1</v>
      </c>
      <c r="CN32" s="229">
        <v>1.8599999999999998E-2</v>
      </c>
      <c r="CO32" s="230">
        <v>4060</v>
      </c>
      <c r="CP32" s="230">
        <v>4052</v>
      </c>
      <c r="CQ32" s="228">
        <v>7</v>
      </c>
      <c r="CR32" s="229">
        <v>1.8E-3</v>
      </c>
      <c r="CS32" s="230">
        <v>1854</v>
      </c>
      <c r="CT32" s="230">
        <v>1870</v>
      </c>
      <c r="CU32" s="228">
        <v>-16</v>
      </c>
      <c r="CV32" s="229">
        <v>-8.3000000000000001E-3</v>
      </c>
      <c r="CW32" s="230">
        <v>17546</v>
      </c>
      <c r="CX32" s="230">
        <v>17650</v>
      </c>
      <c r="CY32" s="228">
        <v>-104</v>
      </c>
      <c r="CZ32" s="229">
        <v>-5.8999999999999999E-3</v>
      </c>
      <c r="DA32" s="228">
        <v>26.41</v>
      </c>
      <c r="DB32" s="228">
        <v>26.88</v>
      </c>
      <c r="DC32" s="228">
        <v>-0.47</v>
      </c>
      <c r="DD32" s="228">
        <v>-0.47</v>
      </c>
      <c r="DE32" s="228">
        <v>23.93</v>
      </c>
      <c r="DF32" s="228">
        <v>23.99</v>
      </c>
      <c r="DG32" s="228">
        <v>2.48</v>
      </c>
      <c r="DH32" s="228">
        <v>-0.06</v>
      </c>
      <c r="DI32" s="228">
        <v>26.18</v>
      </c>
      <c r="DJ32" s="228">
        <v>26.55</v>
      </c>
      <c r="DK32" s="228">
        <v>-0.37</v>
      </c>
      <c r="DL32" s="228">
        <v>-0.37</v>
      </c>
      <c r="DM32" s="228">
        <v>26.86</v>
      </c>
      <c r="DN32" s="228">
        <v>27.42</v>
      </c>
      <c r="DO32" s="228">
        <v>-0.56000000000000005</v>
      </c>
      <c r="DP32" s="228">
        <v>-0.56000000000000005</v>
      </c>
      <c r="DQ32" s="228">
        <v>0.46</v>
      </c>
      <c r="DR32" s="228">
        <v>0.46</v>
      </c>
      <c r="DS32" s="228">
        <v>0</v>
      </c>
      <c r="DT32" s="229">
        <v>0</v>
      </c>
      <c r="DU32" s="231">
        <v>2000</v>
      </c>
      <c r="DV32" s="231">
        <v>1800</v>
      </c>
      <c r="DW32" s="228">
        <v>0.52</v>
      </c>
      <c r="DX32" s="228">
        <v>0.6</v>
      </c>
      <c r="DY32" s="228">
        <v>-0.08</v>
      </c>
      <c r="DZ32" s="229">
        <v>-0.1333</v>
      </c>
      <c r="EA32" s="229">
        <v>8.4699999999999998E-2</v>
      </c>
      <c r="EB32" s="230">
        <v>4918150</v>
      </c>
      <c r="EC32" s="229">
        <v>6.1000000000000004E-3</v>
      </c>
      <c r="ED32" s="229">
        <v>8.4699999999999998E-2</v>
      </c>
      <c r="EE32" s="228">
        <v>9.5500000000000007</v>
      </c>
      <c r="EF32" s="229">
        <v>5.3E-3</v>
      </c>
      <c r="EG32" s="230">
        <v>10102569</v>
      </c>
      <c r="EH32" s="230">
        <v>6864984</v>
      </c>
      <c r="EI32" s="229">
        <v>0.47160000000000002</v>
      </c>
      <c r="EJ32" s="229">
        <v>0.68610000000000004</v>
      </c>
      <c r="EK32" s="231">
        <v>4082.66</v>
      </c>
      <c r="EL32" s="231">
        <v>2007.21</v>
      </c>
      <c r="EM32" s="231">
        <v>1211.28</v>
      </c>
      <c r="EN32" s="228">
        <v>133.46</v>
      </c>
      <c r="EO32" s="231">
        <v>7301.15</v>
      </c>
      <c r="EP32" s="231">
        <v>11138.99</v>
      </c>
      <c r="EQ32" s="231">
        <v>-3837.84</v>
      </c>
      <c r="ER32" s="229">
        <v>-0.34449999999999997</v>
      </c>
      <c r="ES32" s="231">
        <v>4427.22</v>
      </c>
      <c r="ET32" s="231">
        <v>1889.51</v>
      </c>
      <c r="EU32" s="231">
        <v>11638.55</v>
      </c>
      <c r="EV32" s="231">
        <v>367085962</v>
      </c>
      <c r="EW32" s="231">
        <v>17955.28</v>
      </c>
      <c r="EX32" s="231">
        <v>18094.78</v>
      </c>
      <c r="EY32" s="228">
        <v>-139.5</v>
      </c>
      <c r="EZ32" s="229">
        <v>-7.7000000000000002E-3</v>
      </c>
      <c r="FA32" s="229">
        <v>0.26450000000000001</v>
      </c>
      <c r="FB32" s="227" t="s">
        <v>568</v>
      </c>
      <c r="FC32">
        <f t="shared" si="0"/>
        <v>985</v>
      </c>
    </row>
    <row r="33" spans="1:159" ht="17.25" hidden="1" thickBot="1" x14ac:dyDescent="0.3">
      <c r="A33" s="226">
        <v>46093</v>
      </c>
      <c r="B33" s="227" t="s">
        <v>184</v>
      </c>
      <c r="C33" s="227" t="s">
        <v>190</v>
      </c>
      <c r="D33" s="228">
        <v>2625</v>
      </c>
      <c r="E33" s="228">
        <v>18</v>
      </c>
      <c r="F33" s="228">
        <v>268.85000000000002</v>
      </c>
      <c r="G33" s="228">
        <v>256.05</v>
      </c>
      <c r="H33" s="228">
        <v>12.8</v>
      </c>
      <c r="I33" s="229">
        <v>0.05</v>
      </c>
      <c r="J33" s="228">
        <v>267.85000000000002</v>
      </c>
      <c r="K33" s="228">
        <v>255.75</v>
      </c>
      <c r="L33" s="228">
        <v>12.1</v>
      </c>
      <c r="M33" s="229">
        <v>4.7300000000000002E-2</v>
      </c>
      <c r="N33" s="228">
        <v>268.85000000000002</v>
      </c>
      <c r="O33" s="228">
        <v>256.05</v>
      </c>
      <c r="P33" s="228">
        <v>12.8</v>
      </c>
      <c r="Q33" s="229">
        <v>0.05</v>
      </c>
      <c r="R33" s="228">
        <v>270.45</v>
      </c>
      <c r="S33" s="228">
        <v>257.64999999999998</v>
      </c>
      <c r="T33" s="228">
        <v>12.8</v>
      </c>
      <c r="U33" s="229">
        <v>4.9700000000000001E-2</v>
      </c>
      <c r="V33" s="228">
        <v>271.45</v>
      </c>
      <c r="W33" s="228">
        <v>259.45</v>
      </c>
      <c r="X33" s="228">
        <v>12</v>
      </c>
      <c r="Y33" s="229">
        <v>4.6300000000000001E-2</v>
      </c>
      <c r="Z33" s="228">
        <v>1</v>
      </c>
      <c r="AA33" s="228">
        <v>0.3</v>
      </c>
      <c r="AB33" s="228">
        <v>0.7</v>
      </c>
      <c r="AC33" s="229">
        <v>3.7000000000000002E-3</v>
      </c>
      <c r="AD33" s="228">
        <v>1</v>
      </c>
      <c r="AE33" s="228">
        <v>0.3</v>
      </c>
      <c r="AF33" s="228">
        <v>0.7</v>
      </c>
      <c r="AG33" s="229">
        <v>3.7000000000000002E-3</v>
      </c>
      <c r="AH33" s="228">
        <v>2.6</v>
      </c>
      <c r="AI33" s="228">
        <v>1.9</v>
      </c>
      <c r="AJ33" s="228">
        <v>0.7</v>
      </c>
      <c r="AK33" s="229">
        <v>9.7000000000000003E-3</v>
      </c>
      <c r="AL33" s="228">
        <v>3.6</v>
      </c>
      <c r="AM33" s="228">
        <v>3.7</v>
      </c>
      <c r="AN33" s="228">
        <v>-0.1</v>
      </c>
      <c r="AO33" s="229">
        <v>1.34E-2</v>
      </c>
      <c r="AP33" s="228">
        <v>264.91000000000003</v>
      </c>
      <c r="AQ33" s="228">
        <v>265.99</v>
      </c>
      <c r="AR33" s="228">
        <v>0</v>
      </c>
      <c r="AS33" s="228">
        <v>905</v>
      </c>
      <c r="AT33" s="228">
        <v>369</v>
      </c>
      <c r="AU33" s="228">
        <v>536</v>
      </c>
      <c r="AV33" s="229">
        <v>1.4515</v>
      </c>
      <c r="AW33" s="228">
        <v>843</v>
      </c>
      <c r="AX33" s="228">
        <v>348</v>
      </c>
      <c r="AY33" s="228">
        <v>496</v>
      </c>
      <c r="AZ33" s="229">
        <v>1.4258999999999999</v>
      </c>
      <c r="BA33" s="228">
        <v>55</v>
      </c>
      <c r="BB33" s="228">
        <v>20</v>
      </c>
      <c r="BC33" s="228">
        <v>36</v>
      </c>
      <c r="BD33" s="229">
        <v>1.8129</v>
      </c>
      <c r="BE33" s="228">
        <v>6</v>
      </c>
      <c r="BF33" s="228">
        <v>2</v>
      </c>
      <c r="BG33" s="228">
        <v>4</v>
      </c>
      <c r="BH33" s="229">
        <v>2.48</v>
      </c>
      <c r="BI33" s="230">
        <v>2695</v>
      </c>
      <c r="BJ33" s="228">
        <v>958</v>
      </c>
      <c r="BK33" s="230">
        <v>1738</v>
      </c>
      <c r="BL33" s="229">
        <v>1.8138000000000001</v>
      </c>
      <c r="BM33" s="230">
        <v>1375</v>
      </c>
      <c r="BN33" s="228">
        <v>726</v>
      </c>
      <c r="BO33" s="228">
        <v>650</v>
      </c>
      <c r="BP33" s="229">
        <v>0.89529999999999998</v>
      </c>
      <c r="BQ33" s="230">
        <v>4975</v>
      </c>
      <c r="BR33" s="230">
        <v>2053</v>
      </c>
      <c r="BS33" s="230">
        <v>2923</v>
      </c>
      <c r="BT33" s="229">
        <v>1.4239999999999999</v>
      </c>
      <c r="BU33" s="230">
        <v>18115478</v>
      </c>
      <c r="BV33" s="230">
        <v>6545443</v>
      </c>
      <c r="BW33" s="230">
        <v>11570035</v>
      </c>
      <c r="BX33" s="229">
        <v>1.7676000000000001</v>
      </c>
      <c r="BY33" s="230">
        <v>3462</v>
      </c>
      <c r="BZ33" s="230">
        <v>3497</v>
      </c>
      <c r="CA33" s="228">
        <v>-34</v>
      </c>
      <c r="CB33" s="229">
        <v>-9.7999999999999997E-3</v>
      </c>
      <c r="CC33" s="230">
        <v>3003</v>
      </c>
      <c r="CD33" s="230">
        <v>3043</v>
      </c>
      <c r="CE33" s="228">
        <v>-40</v>
      </c>
      <c r="CF33" s="229">
        <v>-1.32E-2</v>
      </c>
      <c r="CG33" s="228">
        <v>266</v>
      </c>
      <c r="CH33" s="228">
        <v>261</v>
      </c>
      <c r="CI33" s="228">
        <v>5</v>
      </c>
      <c r="CJ33" s="229">
        <v>1.89E-2</v>
      </c>
      <c r="CK33" s="228">
        <v>193</v>
      </c>
      <c r="CL33" s="228">
        <v>192</v>
      </c>
      <c r="CM33" s="228">
        <v>1</v>
      </c>
      <c r="CN33" s="229">
        <v>4.4000000000000003E-3</v>
      </c>
      <c r="CO33" s="228">
        <v>845</v>
      </c>
      <c r="CP33" s="228">
        <v>889</v>
      </c>
      <c r="CQ33" s="228">
        <v>-44</v>
      </c>
      <c r="CR33" s="229">
        <v>-4.9599999999999998E-2</v>
      </c>
      <c r="CS33" s="228">
        <v>747</v>
      </c>
      <c r="CT33" s="228">
        <v>701</v>
      </c>
      <c r="CU33" s="228">
        <v>46</v>
      </c>
      <c r="CV33" s="229">
        <v>6.5500000000000003E-2</v>
      </c>
      <c r="CW33" s="230">
        <v>5054</v>
      </c>
      <c r="CX33" s="230">
        <v>5087</v>
      </c>
      <c r="CY33" s="228">
        <v>-33</v>
      </c>
      <c r="CZ33" s="229">
        <v>-6.4000000000000003E-3</v>
      </c>
      <c r="DA33" s="228">
        <v>39.5</v>
      </c>
      <c r="DB33" s="228">
        <v>39.85</v>
      </c>
      <c r="DC33" s="228">
        <v>-0.35</v>
      </c>
      <c r="DD33" s="228">
        <v>-0.35</v>
      </c>
      <c r="DE33" s="228">
        <v>46.07</v>
      </c>
      <c r="DF33" s="228">
        <v>45.71</v>
      </c>
      <c r="DG33" s="228">
        <v>-6.57</v>
      </c>
      <c r="DH33" s="228">
        <v>0.36</v>
      </c>
      <c r="DI33" s="228">
        <v>38.119999999999997</v>
      </c>
      <c r="DJ33" s="228">
        <v>39.159999999999997</v>
      </c>
      <c r="DK33" s="228">
        <v>-1.04</v>
      </c>
      <c r="DL33" s="228">
        <v>-1.04</v>
      </c>
      <c r="DM33" s="228">
        <v>42.2</v>
      </c>
      <c r="DN33" s="228">
        <v>40.75</v>
      </c>
      <c r="DO33" s="228">
        <v>1.45</v>
      </c>
      <c r="DP33" s="228">
        <v>1.45</v>
      </c>
      <c r="DQ33" s="228">
        <v>0.88</v>
      </c>
      <c r="DR33" s="228">
        <v>0.79</v>
      </c>
      <c r="DS33" s="228">
        <v>0.09</v>
      </c>
      <c r="DT33" s="229">
        <v>0.1139</v>
      </c>
      <c r="DU33" s="228">
        <v>260</v>
      </c>
      <c r="DV33" s="228">
        <v>240</v>
      </c>
      <c r="DW33" s="228">
        <v>0.51</v>
      </c>
      <c r="DX33" s="228">
        <v>0.76</v>
      </c>
      <c r="DY33" s="228">
        <v>-0.25</v>
      </c>
      <c r="DZ33" s="229">
        <v>-0.32890000000000003</v>
      </c>
      <c r="EA33" s="229">
        <v>0.1326</v>
      </c>
      <c r="EB33" s="230">
        <v>16860375</v>
      </c>
      <c r="EC33" s="229">
        <v>6.0000000000000001E-3</v>
      </c>
      <c r="ED33" s="229">
        <v>0.1326</v>
      </c>
      <c r="EE33" s="228">
        <v>1.08</v>
      </c>
      <c r="EF33" s="229">
        <v>4.1000000000000003E-3</v>
      </c>
      <c r="EG33" s="230">
        <v>6640260</v>
      </c>
      <c r="EH33" s="230">
        <v>2424743</v>
      </c>
      <c r="EI33" s="229">
        <v>1.7384999999999999</v>
      </c>
      <c r="EJ33" s="229">
        <v>0.36659999999999998</v>
      </c>
      <c r="EK33" s="231">
        <v>2820.85</v>
      </c>
      <c r="EL33" s="231">
        <v>1323.11</v>
      </c>
      <c r="EM33" s="228">
        <v>891.73</v>
      </c>
      <c r="EN33" s="228">
        <v>72.069999999999993</v>
      </c>
      <c r="EO33" s="231">
        <v>5035.6899999999996</v>
      </c>
      <c r="EP33" s="231">
        <v>2032.68</v>
      </c>
      <c r="EQ33" s="231">
        <v>3003.01</v>
      </c>
      <c r="ER33" s="229">
        <v>1.4774</v>
      </c>
      <c r="ES33" s="228">
        <v>868.19</v>
      </c>
      <c r="ET33" s="228">
        <v>691.56</v>
      </c>
      <c r="EU33" s="231">
        <v>3465.77</v>
      </c>
      <c r="EV33" s="231">
        <v>192361942</v>
      </c>
      <c r="EW33" s="231">
        <v>5025.51</v>
      </c>
      <c r="EX33" s="231">
        <v>4895.97</v>
      </c>
      <c r="EY33" s="228">
        <v>129.54</v>
      </c>
      <c r="EZ33" s="229">
        <v>2.6499999999999999E-2</v>
      </c>
      <c r="FA33" s="229">
        <v>0.97729999999999995</v>
      </c>
      <c r="FB33" s="227" t="s">
        <v>556</v>
      </c>
      <c r="FC33">
        <f t="shared" si="0"/>
        <v>459</v>
      </c>
    </row>
    <row r="34" spans="1:159" ht="17.25" hidden="1" thickBot="1" x14ac:dyDescent="0.3">
      <c r="A34" s="226">
        <v>46093</v>
      </c>
      <c r="B34" s="227" t="s">
        <v>170</v>
      </c>
      <c r="C34" s="227" t="s">
        <v>191</v>
      </c>
      <c r="D34" s="228">
        <v>2500</v>
      </c>
      <c r="E34" s="228">
        <v>18</v>
      </c>
      <c r="F34" s="228">
        <v>393.4</v>
      </c>
      <c r="G34" s="228">
        <v>396.7</v>
      </c>
      <c r="H34" s="228">
        <v>-3.3</v>
      </c>
      <c r="I34" s="229">
        <v>-8.3000000000000001E-3</v>
      </c>
      <c r="J34" s="228">
        <v>392.2</v>
      </c>
      <c r="K34" s="228">
        <v>395.35</v>
      </c>
      <c r="L34" s="228">
        <v>-3.15</v>
      </c>
      <c r="M34" s="229">
        <v>-8.0000000000000002E-3</v>
      </c>
      <c r="N34" s="228">
        <v>393.4</v>
      </c>
      <c r="O34" s="228">
        <v>396.7</v>
      </c>
      <c r="P34" s="228">
        <v>-3.3</v>
      </c>
      <c r="Q34" s="229">
        <v>-8.3000000000000001E-3</v>
      </c>
      <c r="R34" s="228">
        <v>395.8</v>
      </c>
      <c r="S34" s="228">
        <v>399.4</v>
      </c>
      <c r="T34" s="228">
        <v>-3.6</v>
      </c>
      <c r="U34" s="229">
        <v>-8.9999999999999993E-3</v>
      </c>
      <c r="V34" s="228">
        <v>398.95</v>
      </c>
      <c r="W34" s="228">
        <v>401.2</v>
      </c>
      <c r="X34" s="228">
        <v>-2.25</v>
      </c>
      <c r="Y34" s="229">
        <v>-5.5999999999999999E-3</v>
      </c>
      <c r="Z34" s="228">
        <v>1.2</v>
      </c>
      <c r="AA34" s="228">
        <v>1.35</v>
      </c>
      <c r="AB34" s="228">
        <v>-0.15</v>
      </c>
      <c r="AC34" s="229">
        <v>3.0999999999999999E-3</v>
      </c>
      <c r="AD34" s="228">
        <v>1.2</v>
      </c>
      <c r="AE34" s="228">
        <v>1.35</v>
      </c>
      <c r="AF34" s="228">
        <v>-0.15</v>
      </c>
      <c r="AG34" s="229">
        <v>3.0999999999999999E-3</v>
      </c>
      <c r="AH34" s="228">
        <v>3.6</v>
      </c>
      <c r="AI34" s="228">
        <v>4.05</v>
      </c>
      <c r="AJ34" s="228">
        <v>-0.45</v>
      </c>
      <c r="AK34" s="229">
        <v>9.1999999999999998E-3</v>
      </c>
      <c r="AL34" s="228">
        <v>6.75</v>
      </c>
      <c r="AM34" s="228">
        <v>5.85</v>
      </c>
      <c r="AN34" s="228">
        <v>0.9</v>
      </c>
      <c r="AO34" s="229">
        <v>1.72E-2</v>
      </c>
      <c r="AP34" s="228">
        <v>393.66</v>
      </c>
      <c r="AQ34" s="228">
        <v>396.44</v>
      </c>
      <c r="AR34" s="228">
        <v>0</v>
      </c>
      <c r="AS34" s="228">
        <v>294</v>
      </c>
      <c r="AT34" s="228">
        <v>372</v>
      </c>
      <c r="AU34" s="228">
        <v>-78</v>
      </c>
      <c r="AV34" s="229">
        <v>-0.2087</v>
      </c>
      <c r="AW34" s="228">
        <v>258</v>
      </c>
      <c r="AX34" s="228">
        <v>314</v>
      </c>
      <c r="AY34" s="228">
        <v>-56</v>
      </c>
      <c r="AZ34" s="229">
        <v>-0.17949999999999999</v>
      </c>
      <c r="BA34" s="228">
        <v>32</v>
      </c>
      <c r="BB34" s="228">
        <v>53</v>
      </c>
      <c r="BC34" s="228">
        <v>-22</v>
      </c>
      <c r="BD34" s="229">
        <v>-0.40699999999999997</v>
      </c>
      <c r="BE34" s="228">
        <v>5</v>
      </c>
      <c r="BF34" s="228">
        <v>4</v>
      </c>
      <c r="BG34" s="228">
        <v>1</v>
      </c>
      <c r="BH34" s="229">
        <v>0.15</v>
      </c>
      <c r="BI34" s="228">
        <v>922</v>
      </c>
      <c r="BJ34" s="230">
        <v>1753</v>
      </c>
      <c r="BK34" s="228">
        <v>-831</v>
      </c>
      <c r="BL34" s="229">
        <v>-0.47389999999999999</v>
      </c>
      <c r="BM34" s="228">
        <v>491</v>
      </c>
      <c r="BN34" s="228">
        <v>556</v>
      </c>
      <c r="BO34" s="228">
        <v>-65</v>
      </c>
      <c r="BP34" s="229">
        <v>-0.11749999999999999</v>
      </c>
      <c r="BQ34" s="230">
        <v>1708</v>
      </c>
      <c r="BR34" s="230">
        <v>2681</v>
      </c>
      <c r="BS34" s="228">
        <v>-974</v>
      </c>
      <c r="BT34" s="229">
        <v>-0.36320000000000002</v>
      </c>
      <c r="BU34" s="230">
        <v>1995209</v>
      </c>
      <c r="BV34" s="230">
        <v>4071409</v>
      </c>
      <c r="BW34" s="230">
        <v>-2076200</v>
      </c>
      <c r="BX34" s="229">
        <v>-0.50990000000000002</v>
      </c>
      <c r="BY34" s="230">
        <v>1473</v>
      </c>
      <c r="BZ34" s="230">
        <v>1480</v>
      </c>
      <c r="CA34" s="228">
        <v>-7</v>
      </c>
      <c r="CB34" s="229">
        <v>-4.5999999999999999E-3</v>
      </c>
      <c r="CC34" s="230">
        <v>1366</v>
      </c>
      <c r="CD34" s="230">
        <v>1383</v>
      </c>
      <c r="CE34" s="228">
        <v>-18</v>
      </c>
      <c r="CF34" s="229">
        <v>-1.2699999999999999E-2</v>
      </c>
      <c r="CG34" s="228">
        <v>83</v>
      </c>
      <c r="CH34" s="228">
        <v>75</v>
      </c>
      <c r="CI34" s="228">
        <v>8</v>
      </c>
      <c r="CJ34" s="229">
        <v>0.10730000000000001</v>
      </c>
      <c r="CK34" s="228">
        <v>24</v>
      </c>
      <c r="CL34" s="228">
        <v>21</v>
      </c>
      <c r="CM34" s="228">
        <v>3</v>
      </c>
      <c r="CN34" s="229">
        <v>0.12559999999999999</v>
      </c>
      <c r="CO34" s="228">
        <v>720</v>
      </c>
      <c r="CP34" s="228">
        <v>686</v>
      </c>
      <c r="CQ34" s="228">
        <v>34</v>
      </c>
      <c r="CR34" s="229">
        <v>4.99E-2</v>
      </c>
      <c r="CS34" s="228">
        <v>559</v>
      </c>
      <c r="CT34" s="228">
        <v>537</v>
      </c>
      <c r="CU34" s="228">
        <v>22</v>
      </c>
      <c r="CV34" s="229">
        <v>4.0800000000000003E-2</v>
      </c>
      <c r="CW34" s="230">
        <v>2752</v>
      </c>
      <c r="CX34" s="230">
        <v>2702</v>
      </c>
      <c r="CY34" s="228">
        <v>49</v>
      </c>
      <c r="CZ34" s="229">
        <v>1.83E-2</v>
      </c>
      <c r="DA34" s="228">
        <v>32.25</v>
      </c>
      <c r="DB34" s="228">
        <v>31.8</v>
      </c>
      <c r="DC34" s="228">
        <v>0.45</v>
      </c>
      <c r="DD34" s="228">
        <v>0.45</v>
      </c>
      <c r="DE34" s="228">
        <v>35.159999999999997</v>
      </c>
      <c r="DF34" s="228">
        <v>35.229999999999997</v>
      </c>
      <c r="DG34" s="228">
        <v>-2.91</v>
      </c>
      <c r="DH34" s="228">
        <v>-7.0000000000000007E-2</v>
      </c>
      <c r="DI34" s="228">
        <v>30.93</v>
      </c>
      <c r="DJ34" s="228">
        <v>30.99</v>
      </c>
      <c r="DK34" s="228">
        <v>-0.06</v>
      </c>
      <c r="DL34" s="228">
        <v>-0.06</v>
      </c>
      <c r="DM34" s="228">
        <v>34.729999999999997</v>
      </c>
      <c r="DN34" s="228">
        <v>34.35</v>
      </c>
      <c r="DO34" s="228">
        <v>0.38</v>
      </c>
      <c r="DP34" s="228">
        <v>0.38</v>
      </c>
      <c r="DQ34" s="228">
        <v>0.78</v>
      </c>
      <c r="DR34" s="228">
        <v>0.78</v>
      </c>
      <c r="DS34" s="228">
        <v>0</v>
      </c>
      <c r="DT34" s="229">
        <v>0</v>
      </c>
      <c r="DU34" s="228">
        <v>420</v>
      </c>
      <c r="DV34" s="228">
        <v>370</v>
      </c>
      <c r="DW34" s="228">
        <v>0.53</v>
      </c>
      <c r="DX34" s="228">
        <v>0.32</v>
      </c>
      <c r="DY34" s="228">
        <v>0.21</v>
      </c>
      <c r="DZ34" s="229">
        <v>0.65629999999999999</v>
      </c>
      <c r="EA34" s="229">
        <v>7.2599999999999998E-2</v>
      </c>
      <c r="EB34" s="230">
        <v>2447500</v>
      </c>
      <c r="EC34" s="229">
        <v>6.1000000000000004E-3</v>
      </c>
      <c r="ED34" s="229">
        <v>7.2599999999999998E-2</v>
      </c>
      <c r="EE34" s="228">
        <v>2.78</v>
      </c>
      <c r="EF34" s="229">
        <v>7.1000000000000004E-3</v>
      </c>
      <c r="EG34" s="230">
        <v>827516</v>
      </c>
      <c r="EH34" s="230">
        <v>2005915</v>
      </c>
      <c r="EI34" s="229">
        <v>-0.58750000000000002</v>
      </c>
      <c r="EJ34" s="229">
        <v>0.4148</v>
      </c>
      <c r="EK34" s="228">
        <v>975.03</v>
      </c>
      <c r="EL34" s="228">
        <v>477.89</v>
      </c>
      <c r="EM34" s="228">
        <v>294.63</v>
      </c>
      <c r="EN34" s="228">
        <v>31.37</v>
      </c>
      <c r="EO34" s="231">
        <v>1747.54</v>
      </c>
      <c r="EP34" s="231">
        <v>2800.53</v>
      </c>
      <c r="EQ34" s="231">
        <v>-1052.99</v>
      </c>
      <c r="ER34" s="229">
        <v>-0.376</v>
      </c>
      <c r="ES34" s="228">
        <v>748.99</v>
      </c>
      <c r="ET34" s="228">
        <v>528.66999999999996</v>
      </c>
      <c r="EU34" s="231">
        <v>1473.83</v>
      </c>
      <c r="EV34" s="231">
        <v>91057772</v>
      </c>
      <c r="EW34" s="231">
        <v>2751.49</v>
      </c>
      <c r="EX34" s="231">
        <v>2715.22</v>
      </c>
      <c r="EY34" s="228">
        <v>36.270000000000003</v>
      </c>
      <c r="EZ34" s="229">
        <v>1.34E-2</v>
      </c>
      <c r="FA34" s="229">
        <v>0.76819999999999999</v>
      </c>
      <c r="FB34" s="227" t="s">
        <v>568</v>
      </c>
      <c r="FC34">
        <f t="shared" si="0"/>
        <v>107</v>
      </c>
    </row>
    <row r="35" spans="1:159" ht="17.25" hidden="1" thickBot="1" x14ac:dyDescent="0.3">
      <c r="A35" s="226">
        <v>46093</v>
      </c>
      <c r="B35" s="227" t="s">
        <v>184</v>
      </c>
      <c r="C35" s="227" t="s">
        <v>678</v>
      </c>
      <c r="D35" s="228">
        <v>325</v>
      </c>
      <c r="E35" s="228">
        <v>18</v>
      </c>
      <c r="F35" s="231">
        <v>1945.5</v>
      </c>
      <c r="G35" s="231">
        <v>1940.8</v>
      </c>
      <c r="H35" s="228">
        <v>4.7</v>
      </c>
      <c r="I35" s="229">
        <v>2.3999999999999998E-3</v>
      </c>
      <c r="J35" s="231">
        <v>1953.5</v>
      </c>
      <c r="K35" s="231">
        <v>1941.1</v>
      </c>
      <c r="L35" s="228">
        <v>12.4</v>
      </c>
      <c r="M35" s="229">
        <v>6.4000000000000003E-3</v>
      </c>
      <c r="N35" s="231">
        <v>1945.5</v>
      </c>
      <c r="O35" s="231">
        <v>1940.8</v>
      </c>
      <c r="P35" s="228">
        <v>4.7</v>
      </c>
      <c r="Q35" s="229">
        <v>2.3999999999999998E-3</v>
      </c>
      <c r="R35" s="231">
        <v>1944.5</v>
      </c>
      <c r="S35" s="231">
        <v>1944.8</v>
      </c>
      <c r="T35" s="228">
        <v>-0.3</v>
      </c>
      <c r="U35" s="229">
        <v>-2.0000000000000001E-4</v>
      </c>
      <c r="V35" s="231">
        <v>1940</v>
      </c>
      <c r="W35" s="231">
        <v>1949</v>
      </c>
      <c r="X35" s="228">
        <v>-9</v>
      </c>
      <c r="Y35" s="229">
        <v>-4.5999999999999999E-3</v>
      </c>
      <c r="Z35" s="228">
        <v>-8</v>
      </c>
      <c r="AA35" s="228">
        <v>-0.3</v>
      </c>
      <c r="AB35" s="228">
        <v>-7.7</v>
      </c>
      <c r="AC35" s="229">
        <v>-4.1000000000000003E-3</v>
      </c>
      <c r="AD35" s="228">
        <v>-8</v>
      </c>
      <c r="AE35" s="228">
        <v>-0.3</v>
      </c>
      <c r="AF35" s="228">
        <v>-7.7</v>
      </c>
      <c r="AG35" s="229">
        <v>-4.1000000000000003E-3</v>
      </c>
      <c r="AH35" s="228">
        <v>-9</v>
      </c>
      <c r="AI35" s="228">
        <v>3.7</v>
      </c>
      <c r="AJ35" s="228">
        <v>-12.7</v>
      </c>
      <c r="AK35" s="229">
        <v>-4.5999999999999999E-3</v>
      </c>
      <c r="AL35" s="228">
        <v>-13.5</v>
      </c>
      <c r="AM35" s="228">
        <v>7.9</v>
      </c>
      <c r="AN35" s="228">
        <v>-21.4</v>
      </c>
      <c r="AO35" s="229">
        <v>-6.8999999999999999E-3</v>
      </c>
      <c r="AP35" s="231">
        <v>1937.49</v>
      </c>
      <c r="AQ35" s="231">
        <v>1936.68</v>
      </c>
      <c r="AR35" s="228">
        <v>0</v>
      </c>
      <c r="AS35" s="228">
        <v>248</v>
      </c>
      <c r="AT35" s="228">
        <v>275</v>
      </c>
      <c r="AU35" s="228">
        <v>-27</v>
      </c>
      <c r="AV35" s="229">
        <v>-9.8599999999999993E-2</v>
      </c>
      <c r="AW35" s="228">
        <v>218</v>
      </c>
      <c r="AX35" s="228">
        <v>261</v>
      </c>
      <c r="AY35" s="228">
        <v>-43</v>
      </c>
      <c r="AZ35" s="229">
        <v>-0.16450000000000001</v>
      </c>
      <c r="BA35" s="228">
        <v>29</v>
      </c>
      <c r="BB35" s="228">
        <v>13</v>
      </c>
      <c r="BC35" s="228">
        <v>16</v>
      </c>
      <c r="BD35" s="229">
        <v>1.2512000000000001</v>
      </c>
      <c r="BE35" s="228">
        <v>1</v>
      </c>
      <c r="BF35" s="228">
        <v>1</v>
      </c>
      <c r="BG35" s="228">
        <v>0</v>
      </c>
      <c r="BH35" s="229">
        <v>-0.1875</v>
      </c>
      <c r="BI35" s="228">
        <v>473</v>
      </c>
      <c r="BJ35" s="230">
        <v>1570</v>
      </c>
      <c r="BK35" s="230">
        <v>-1097</v>
      </c>
      <c r="BL35" s="229">
        <v>-0.69879999999999998</v>
      </c>
      <c r="BM35" s="228">
        <v>93</v>
      </c>
      <c r="BN35" s="228">
        <v>302</v>
      </c>
      <c r="BO35" s="228">
        <v>-210</v>
      </c>
      <c r="BP35" s="229">
        <v>-0.69389999999999996</v>
      </c>
      <c r="BQ35" s="228">
        <v>813</v>
      </c>
      <c r="BR35" s="230">
        <v>2147</v>
      </c>
      <c r="BS35" s="230">
        <v>-1334</v>
      </c>
      <c r="BT35" s="229">
        <v>-0.62119999999999997</v>
      </c>
      <c r="BU35" s="230">
        <v>659479</v>
      </c>
      <c r="BV35" s="230">
        <v>949638</v>
      </c>
      <c r="BW35" s="230">
        <v>-290159</v>
      </c>
      <c r="BX35" s="229">
        <v>-0.30549999999999999</v>
      </c>
      <c r="BY35" s="228">
        <v>465</v>
      </c>
      <c r="BZ35" s="228">
        <v>473</v>
      </c>
      <c r="CA35" s="228">
        <v>-8</v>
      </c>
      <c r="CB35" s="229">
        <v>-1.6299999999999999E-2</v>
      </c>
      <c r="CC35" s="228">
        <v>447</v>
      </c>
      <c r="CD35" s="228">
        <v>455</v>
      </c>
      <c r="CE35" s="228">
        <v>-8</v>
      </c>
      <c r="CF35" s="229">
        <v>-1.8100000000000002E-2</v>
      </c>
      <c r="CG35" s="228">
        <v>17</v>
      </c>
      <c r="CH35" s="228">
        <v>17</v>
      </c>
      <c r="CI35" s="228">
        <v>0</v>
      </c>
      <c r="CJ35" s="229">
        <v>1.14E-2</v>
      </c>
      <c r="CK35" s="228">
        <v>1</v>
      </c>
      <c r="CL35" s="228">
        <v>1</v>
      </c>
      <c r="CM35" s="228">
        <v>0</v>
      </c>
      <c r="CN35" s="229">
        <v>0.3846</v>
      </c>
      <c r="CO35" s="228">
        <v>265</v>
      </c>
      <c r="CP35" s="228">
        <v>251</v>
      </c>
      <c r="CQ35" s="228">
        <v>14</v>
      </c>
      <c r="CR35" s="229">
        <v>5.6500000000000002E-2</v>
      </c>
      <c r="CS35" s="228">
        <v>142</v>
      </c>
      <c r="CT35" s="228">
        <v>135</v>
      </c>
      <c r="CU35" s="228">
        <v>6</v>
      </c>
      <c r="CV35" s="229">
        <v>4.6800000000000001E-2</v>
      </c>
      <c r="CW35" s="228">
        <v>871</v>
      </c>
      <c r="CX35" s="228">
        <v>859</v>
      </c>
      <c r="CY35" s="228">
        <v>13</v>
      </c>
      <c r="CZ35" s="229">
        <v>1.49E-2</v>
      </c>
      <c r="DA35" s="228">
        <v>41.32</v>
      </c>
      <c r="DB35" s="228">
        <v>40.75</v>
      </c>
      <c r="DC35" s="228">
        <v>0.56999999999999995</v>
      </c>
      <c r="DD35" s="228">
        <v>0.56999999999999995</v>
      </c>
      <c r="DE35" s="228">
        <v>39.159999999999997</v>
      </c>
      <c r="DF35" s="228">
        <v>39.26</v>
      </c>
      <c r="DG35" s="228">
        <v>2.16</v>
      </c>
      <c r="DH35" s="228">
        <v>-0.1</v>
      </c>
      <c r="DI35" s="228">
        <v>41.08</v>
      </c>
      <c r="DJ35" s="228">
        <v>40.76</v>
      </c>
      <c r="DK35" s="228">
        <v>0.32</v>
      </c>
      <c r="DL35" s="228">
        <v>0.32</v>
      </c>
      <c r="DM35" s="228">
        <v>42.51</v>
      </c>
      <c r="DN35" s="228">
        <v>40.72</v>
      </c>
      <c r="DO35" s="228">
        <v>1.79</v>
      </c>
      <c r="DP35" s="228">
        <v>1.79</v>
      </c>
      <c r="DQ35" s="228">
        <v>0.53</v>
      </c>
      <c r="DR35" s="228">
        <v>0.54</v>
      </c>
      <c r="DS35" s="228">
        <v>-0.01</v>
      </c>
      <c r="DT35" s="229">
        <v>-1.8499999999999999E-2</v>
      </c>
      <c r="DU35" s="231">
        <v>2200</v>
      </c>
      <c r="DV35" s="231">
        <v>1900</v>
      </c>
      <c r="DW35" s="228">
        <v>0.2</v>
      </c>
      <c r="DX35" s="228">
        <v>0.19</v>
      </c>
      <c r="DY35" s="228">
        <v>0.01</v>
      </c>
      <c r="DZ35" s="229">
        <v>5.2600000000000001E-2</v>
      </c>
      <c r="EA35" s="229">
        <v>3.8600000000000002E-2</v>
      </c>
      <c r="EB35" s="230">
        <v>89700</v>
      </c>
      <c r="EC35" s="229">
        <v>-5.0000000000000001E-4</v>
      </c>
      <c r="ED35" s="229">
        <v>3.8600000000000002E-2</v>
      </c>
      <c r="EE35" s="228">
        <v>-0.81</v>
      </c>
      <c r="EF35" s="229">
        <v>-4.0000000000000002E-4</v>
      </c>
      <c r="EG35" s="230">
        <v>317081</v>
      </c>
      <c r="EH35" s="230">
        <v>286138</v>
      </c>
      <c r="EI35" s="229">
        <v>0.1081</v>
      </c>
      <c r="EJ35" s="229">
        <v>0.48080000000000001</v>
      </c>
      <c r="EK35" s="228">
        <v>503.77</v>
      </c>
      <c r="EL35" s="228">
        <v>91.32</v>
      </c>
      <c r="EM35" s="228">
        <v>247.01</v>
      </c>
      <c r="EN35" s="228">
        <v>47.59</v>
      </c>
      <c r="EO35" s="228">
        <v>842.1</v>
      </c>
      <c r="EP35" s="231">
        <v>2260.56</v>
      </c>
      <c r="EQ35" s="231">
        <v>-1418.47</v>
      </c>
      <c r="ER35" s="229">
        <v>-0.62749999999999995</v>
      </c>
      <c r="ES35" s="228">
        <v>278.57</v>
      </c>
      <c r="ET35" s="228">
        <v>135.61000000000001</v>
      </c>
      <c r="EU35" s="228">
        <v>464.78</v>
      </c>
      <c r="EV35" s="231">
        <v>17213286</v>
      </c>
      <c r="EW35" s="228">
        <v>878.97</v>
      </c>
      <c r="EX35" s="228">
        <v>862.73</v>
      </c>
      <c r="EY35" s="228">
        <v>16.239999999999998</v>
      </c>
      <c r="EZ35" s="229">
        <v>1.8800000000000001E-2</v>
      </c>
      <c r="FA35" s="229">
        <v>0.26019999999999999</v>
      </c>
      <c r="FB35" s="227" t="s">
        <v>556</v>
      </c>
      <c r="FC35">
        <f t="shared" si="0"/>
        <v>18</v>
      </c>
    </row>
    <row r="36" spans="1:159" ht="17.25" hidden="1" thickBot="1" x14ac:dyDescent="0.3">
      <c r="A36" s="226">
        <v>46093</v>
      </c>
      <c r="B36" s="227" t="s">
        <v>162</v>
      </c>
      <c r="C36" s="227" t="s">
        <v>192</v>
      </c>
      <c r="D36" s="228">
        <v>25</v>
      </c>
      <c r="E36" s="228">
        <v>18</v>
      </c>
      <c r="F36" s="231">
        <v>31405</v>
      </c>
      <c r="G36" s="231">
        <v>31800</v>
      </c>
      <c r="H36" s="228">
        <v>-395</v>
      </c>
      <c r="I36" s="229">
        <v>-1.24E-2</v>
      </c>
      <c r="J36" s="231">
        <v>31305</v>
      </c>
      <c r="K36" s="231">
        <v>31715</v>
      </c>
      <c r="L36" s="228">
        <v>-410</v>
      </c>
      <c r="M36" s="229">
        <v>-1.29E-2</v>
      </c>
      <c r="N36" s="231">
        <v>31405</v>
      </c>
      <c r="O36" s="231">
        <v>31800</v>
      </c>
      <c r="P36" s="228">
        <v>-395</v>
      </c>
      <c r="Q36" s="229">
        <v>-1.24E-2</v>
      </c>
      <c r="R36" s="231">
        <v>31595</v>
      </c>
      <c r="S36" s="231">
        <v>32035</v>
      </c>
      <c r="T36" s="228">
        <v>-440</v>
      </c>
      <c r="U36" s="229">
        <v>-1.37E-2</v>
      </c>
      <c r="V36" s="231">
        <v>31600</v>
      </c>
      <c r="W36" s="231">
        <v>32100</v>
      </c>
      <c r="X36" s="228">
        <v>-500</v>
      </c>
      <c r="Y36" s="229">
        <v>-1.5599999999999999E-2</v>
      </c>
      <c r="Z36" s="228">
        <v>100</v>
      </c>
      <c r="AA36" s="228">
        <v>85</v>
      </c>
      <c r="AB36" s="228">
        <v>15</v>
      </c>
      <c r="AC36" s="229">
        <v>3.2000000000000002E-3</v>
      </c>
      <c r="AD36" s="228">
        <v>100</v>
      </c>
      <c r="AE36" s="228">
        <v>85</v>
      </c>
      <c r="AF36" s="228">
        <v>15</v>
      </c>
      <c r="AG36" s="229">
        <v>3.2000000000000002E-3</v>
      </c>
      <c r="AH36" s="228">
        <v>290</v>
      </c>
      <c r="AI36" s="228">
        <v>320</v>
      </c>
      <c r="AJ36" s="228">
        <v>-30</v>
      </c>
      <c r="AK36" s="229">
        <v>9.2999999999999992E-3</v>
      </c>
      <c r="AL36" s="228">
        <v>295</v>
      </c>
      <c r="AM36" s="228">
        <v>385</v>
      </c>
      <c r="AN36" s="228">
        <v>-90</v>
      </c>
      <c r="AO36" s="229">
        <v>9.4000000000000004E-3</v>
      </c>
      <c r="AP36" s="231">
        <v>31302.47</v>
      </c>
      <c r="AQ36" s="231">
        <v>31443.49</v>
      </c>
      <c r="AR36" s="228">
        <v>0</v>
      </c>
      <c r="AS36" s="228">
        <v>127</v>
      </c>
      <c r="AT36" s="228">
        <v>108</v>
      </c>
      <c r="AU36" s="228">
        <v>19</v>
      </c>
      <c r="AV36" s="229">
        <v>0.17269999999999999</v>
      </c>
      <c r="AW36" s="228">
        <v>115</v>
      </c>
      <c r="AX36" s="228">
        <v>102</v>
      </c>
      <c r="AY36" s="228">
        <v>13</v>
      </c>
      <c r="AZ36" s="229">
        <v>0.1265</v>
      </c>
      <c r="BA36" s="228">
        <v>12</v>
      </c>
      <c r="BB36" s="228">
        <v>6</v>
      </c>
      <c r="BC36" s="228">
        <v>6</v>
      </c>
      <c r="BD36" s="229">
        <v>0.96050000000000002</v>
      </c>
      <c r="BE36" s="228">
        <v>1</v>
      </c>
      <c r="BF36" s="228">
        <v>0</v>
      </c>
      <c r="BG36" s="228">
        <v>0</v>
      </c>
      <c r="BH36" s="229">
        <v>0.16669999999999999</v>
      </c>
      <c r="BI36" s="228">
        <v>318</v>
      </c>
      <c r="BJ36" s="228">
        <v>681</v>
      </c>
      <c r="BK36" s="228">
        <v>-362</v>
      </c>
      <c r="BL36" s="229">
        <v>-0.5323</v>
      </c>
      <c r="BM36" s="228">
        <v>179</v>
      </c>
      <c r="BN36" s="228">
        <v>489</v>
      </c>
      <c r="BO36" s="228">
        <v>-310</v>
      </c>
      <c r="BP36" s="229">
        <v>-0.63360000000000005</v>
      </c>
      <c r="BQ36" s="228">
        <v>624</v>
      </c>
      <c r="BR36" s="230">
        <v>1278</v>
      </c>
      <c r="BS36" s="228">
        <v>-653</v>
      </c>
      <c r="BT36" s="229">
        <v>-0.51139999999999997</v>
      </c>
      <c r="BU36" s="230">
        <v>28194</v>
      </c>
      <c r="BV36" s="230">
        <v>19620</v>
      </c>
      <c r="BW36" s="230">
        <v>8574</v>
      </c>
      <c r="BX36" s="229">
        <v>0.437</v>
      </c>
      <c r="BY36" s="228">
        <v>689</v>
      </c>
      <c r="BZ36" s="228">
        <v>680</v>
      </c>
      <c r="CA36" s="228">
        <v>8</v>
      </c>
      <c r="CB36" s="229">
        <v>1.2500000000000001E-2</v>
      </c>
      <c r="CC36" s="228">
        <v>664</v>
      </c>
      <c r="CD36" s="228">
        <v>657</v>
      </c>
      <c r="CE36" s="228">
        <v>7</v>
      </c>
      <c r="CF36" s="229">
        <v>1.03E-2</v>
      </c>
      <c r="CG36" s="228">
        <v>24</v>
      </c>
      <c r="CH36" s="228">
        <v>22</v>
      </c>
      <c r="CI36" s="228">
        <v>2</v>
      </c>
      <c r="CJ36" s="229">
        <v>7.6899999999999996E-2</v>
      </c>
      <c r="CK36" s="228">
        <v>1</v>
      </c>
      <c r="CL36" s="228">
        <v>1</v>
      </c>
      <c r="CM36" s="228">
        <v>0</v>
      </c>
      <c r="CN36" s="229">
        <v>0</v>
      </c>
      <c r="CO36" s="228">
        <v>758</v>
      </c>
      <c r="CP36" s="228">
        <v>726</v>
      </c>
      <c r="CQ36" s="228">
        <v>33</v>
      </c>
      <c r="CR36" s="229">
        <v>4.4999999999999998E-2</v>
      </c>
      <c r="CS36" s="228">
        <v>446</v>
      </c>
      <c r="CT36" s="228">
        <v>438</v>
      </c>
      <c r="CU36" s="228">
        <v>8</v>
      </c>
      <c r="CV36" s="229">
        <v>1.78E-2</v>
      </c>
      <c r="CW36" s="230">
        <v>1893</v>
      </c>
      <c r="CX36" s="230">
        <v>1844</v>
      </c>
      <c r="CY36" s="228">
        <v>49</v>
      </c>
      <c r="CZ36" s="229">
        <v>2.6499999999999999E-2</v>
      </c>
      <c r="DA36" s="228">
        <v>34.19</v>
      </c>
      <c r="DB36" s="228">
        <v>33.92</v>
      </c>
      <c r="DC36" s="228">
        <v>0.27</v>
      </c>
      <c r="DD36" s="228">
        <v>0.27</v>
      </c>
      <c r="DE36" s="228">
        <v>30.82</v>
      </c>
      <c r="DF36" s="228">
        <v>30.84</v>
      </c>
      <c r="DG36" s="228">
        <v>3.37</v>
      </c>
      <c r="DH36" s="228">
        <v>-0.02</v>
      </c>
      <c r="DI36" s="228">
        <v>33.979999999999997</v>
      </c>
      <c r="DJ36" s="228">
        <v>33.950000000000003</v>
      </c>
      <c r="DK36" s="228">
        <v>0.03</v>
      </c>
      <c r="DL36" s="228">
        <v>0.03</v>
      </c>
      <c r="DM36" s="228">
        <v>34.57</v>
      </c>
      <c r="DN36" s="228">
        <v>33.869999999999997</v>
      </c>
      <c r="DO36" s="228">
        <v>0.7</v>
      </c>
      <c r="DP36" s="228">
        <v>0.7</v>
      </c>
      <c r="DQ36" s="228">
        <v>0.59</v>
      </c>
      <c r="DR36" s="228">
        <v>0.6</v>
      </c>
      <c r="DS36" s="228">
        <v>-0.01</v>
      </c>
      <c r="DT36" s="229">
        <v>-1.67E-2</v>
      </c>
      <c r="DU36" s="231">
        <v>40000</v>
      </c>
      <c r="DV36" s="231">
        <v>30000</v>
      </c>
      <c r="DW36" s="228">
        <v>0.56000000000000005</v>
      </c>
      <c r="DX36" s="228">
        <v>0.72</v>
      </c>
      <c r="DY36" s="228">
        <v>-0.16</v>
      </c>
      <c r="DZ36" s="229">
        <v>-0.22220000000000001</v>
      </c>
      <c r="EA36" s="229">
        <v>3.6799999999999999E-2</v>
      </c>
      <c r="EB36" s="230">
        <v>7525</v>
      </c>
      <c r="EC36" s="229">
        <v>6.0000000000000001E-3</v>
      </c>
      <c r="ED36" s="229">
        <v>3.6799999999999999E-2</v>
      </c>
      <c r="EE36" s="228">
        <v>141.02000000000001</v>
      </c>
      <c r="EF36" s="229">
        <v>4.4999999999999997E-3</v>
      </c>
      <c r="EG36" s="230">
        <v>11923</v>
      </c>
      <c r="EH36" s="230">
        <v>7731</v>
      </c>
      <c r="EI36" s="229">
        <v>0.54220000000000002</v>
      </c>
      <c r="EJ36" s="229">
        <v>0.4229</v>
      </c>
      <c r="EK36" s="228">
        <v>349.34</v>
      </c>
      <c r="EL36" s="228">
        <v>178.55</v>
      </c>
      <c r="EM36" s="228">
        <v>126.52</v>
      </c>
      <c r="EN36" s="228">
        <v>18.559999999999999</v>
      </c>
      <c r="EO36" s="228">
        <v>654.41</v>
      </c>
      <c r="EP36" s="231">
        <v>1354.77</v>
      </c>
      <c r="EQ36" s="228">
        <v>-700.35</v>
      </c>
      <c r="ER36" s="229">
        <v>-0.51700000000000002</v>
      </c>
      <c r="ES36" s="228">
        <v>875.76</v>
      </c>
      <c r="ET36" s="228">
        <v>463.76</v>
      </c>
      <c r="EU36" s="228">
        <v>689.02</v>
      </c>
      <c r="EV36" s="231">
        <v>882048</v>
      </c>
      <c r="EW36" s="231">
        <v>2028.54</v>
      </c>
      <c r="EX36" s="231">
        <v>1988.4</v>
      </c>
      <c r="EY36" s="228">
        <v>40.14</v>
      </c>
      <c r="EZ36" s="229">
        <v>2.0199999999999999E-2</v>
      </c>
      <c r="FA36" s="229">
        <v>0.68330000000000002</v>
      </c>
      <c r="FB36" s="227" t="s">
        <v>567</v>
      </c>
      <c r="FC36">
        <f t="shared" si="0"/>
        <v>25</v>
      </c>
    </row>
    <row r="37" spans="1:159" ht="17.25" hidden="1" thickBot="1" x14ac:dyDescent="0.3">
      <c r="A37" s="226">
        <v>46093</v>
      </c>
      <c r="B37" s="227" t="s">
        <v>193</v>
      </c>
      <c r="C37" s="227" t="s">
        <v>194</v>
      </c>
      <c r="D37" s="228">
        <v>1975</v>
      </c>
      <c r="E37" s="228">
        <v>18</v>
      </c>
      <c r="F37" s="228">
        <v>327.2</v>
      </c>
      <c r="G37" s="228">
        <v>325.64999999999998</v>
      </c>
      <c r="H37" s="228">
        <v>1.55</v>
      </c>
      <c r="I37" s="229">
        <v>4.7999999999999996E-3</v>
      </c>
      <c r="J37" s="228">
        <v>326.35000000000002</v>
      </c>
      <c r="K37" s="228">
        <v>325.05</v>
      </c>
      <c r="L37" s="228">
        <v>1.3</v>
      </c>
      <c r="M37" s="229">
        <v>4.0000000000000001E-3</v>
      </c>
      <c r="N37" s="228">
        <v>327.2</v>
      </c>
      <c r="O37" s="228">
        <v>325.64999999999998</v>
      </c>
      <c r="P37" s="228">
        <v>1.55</v>
      </c>
      <c r="Q37" s="229">
        <v>4.7999999999999996E-3</v>
      </c>
      <c r="R37" s="228">
        <v>328.95</v>
      </c>
      <c r="S37" s="228">
        <v>327.35000000000002</v>
      </c>
      <c r="T37" s="228">
        <v>1.6</v>
      </c>
      <c r="U37" s="229">
        <v>4.8999999999999998E-3</v>
      </c>
      <c r="V37" s="228">
        <v>330.7</v>
      </c>
      <c r="W37" s="228">
        <v>329.2</v>
      </c>
      <c r="X37" s="228">
        <v>1.5</v>
      </c>
      <c r="Y37" s="229">
        <v>4.5999999999999999E-3</v>
      </c>
      <c r="Z37" s="228">
        <v>0.85</v>
      </c>
      <c r="AA37" s="228">
        <v>0.6</v>
      </c>
      <c r="AB37" s="228">
        <v>0.25</v>
      </c>
      <c r="AC37" s="229">
        <v>2.5999999999999999E-3</v>
      </c>
      <c r="AD37" s="228">
        <v>0.85</v>
      </c>
      <c r="AE37" s="228">
        <v>0.6</v>
      </c>
      <c r="AF37" s="228">
        <v>0.25</v>
      </c>
      <c r="AG37" s="229">
        <v>2.5999999999999999E-3</v>
      </c>
      <c r="AH37" s="228">
        <v>2.6</v>
      </c>
      <c r="AI37" s="228">
        <v>2.2999999999999998</v>
      </c>
      <c r="AJ37" s="228">
        <v>0.3</v>
      </c>
      <c r="AK37" s="229">
        <v>8.0000000000000002E-3</v>
      </c>
      <c r="AL37" s="228">
        <v>4.3499999999999996</v>
      </c>
      <c r="AM37" s="228">
        <v>4.1500000000000004</v>
      </c>
      <c r="AN37" s="228">
        <v>0.2</v>
      </c>
      <c r="AO37" s="229">
        <v>1.3299999999999999E-2</v>
      </c>
      <c r="AP37" s="228">
        <v>325.20999999999998</v>
      </c>
      <c r="AQ37" s="228">
        <v>325.95</v>
      </c>
      <c r="AR37" s="228">
        <v>0</v>
      </c>
      <c r="AS37" s="228">
        <v>307</v>
      </c>
      <c r="AT37" s="228">
        <v>316</v>
      </c>
      <c r="AU37" s="228">
        <v>-9</v>
      </c>
      <c r="AV37" s="229">
        <v>-2.7199999999999998E-2</v>
      </c>
      <c r="AW37" s="228">
        <v>286</v>
      </c>
      <c r="AX37" s="228">
        <v>299</v>
      </c>
      <c r="AY37" s="228">
        <v>-14</v>
      </c>
      <c r="AZ37" s="229">
        <v>-4.5499999999999999E-2</v>
      </c>
      <c r="BA37" s="228">
        <v>19</v>
      </c>
      <c r="BB37" s="228">
        <v>14</v>
      </c>
      <c r="BC37" s="228">
        <v>5</v>
      </c>
      <c r="BD37" s="229">
        <v>0.37559999999999999</v>
      </c>
      <c r="BE37" s="228">
        <v>2</v>
      </c>
      <c r="BF37" s="228">
        <v>3</v>
      </c>
      <c r="BG37" s="228">
        <v>0</v>
      </c>
      <c r="BH37" s="229">
        <v>-0.05</v>
      </c>
      <c r="BI37" s="228">
        <v>982</v>
      </c>
      <c r="BJ37" s="228">
        <v>841</v>
      </c>
      <c r="BK37" s="228">
        <v>140</v>
      </c>
      <c r="BL37" s="229">
        <v>0.1668</v>
      </c>
      <c r="BM37" s="228">
        <v>972</v>
      </c>
      <c r="BN37" s="228">
        <v>596</v>
      </c>
      <c r="BO37" s="228">
        <v>376</v>
      </c>
      <c r="BP37" s="229">
        <v>0.63070000000000004</v>
      </c>
      <c r="BQ37" s="230">
        <v>2261</v>
      </c>
      <c r="BR37" s="230">
        <v>1753</v>
      </c>
      <c r="BS37" s="228">
        <v>508</v>
      </c>
      <c r="BT37" s="229">
        <v>0.28960000000000002</v>
      </c>
      <c r="BU37" s="230">
        <v>12023052</v>
      </c>
      <c r="BV37" s="230">
        <v>14398817</v>
      </c>
      <c r="BW37" s="230">
        <v>-2375765</v>
      </c>
      <c r="BX37" s="229">
        <v>-0.16500000000000001</v>
      </c>
      <c r="BY37" s="230">
        <v>1532</v>
      </c>
      <c r="BZ37" s="230">
        <v>1521</v>
      </c>
      <c r="CA37" s="228">
        <v>11</v>
      </c>
      <c r="CB37" s="229">
        <v>7.1000000000000004E-3</v>
      </c>
      <c r="CC37" s="230">
        <v>1488</v>
      </c>
      <c r="CD37" s="230">
        <v>1480</v>
      </c>
      <c r="CE37" s="228">
        <v>8</v>
      </c>
      <c r="CF37" s="229">
        <v>5.4999999999999997E-3</v>
      </c>
      <c r="CG37" s="228">
        <v>40</v>
      </c>
      <c r="CH37" s="228">
        <v>37</v>
      </c>
      <c r="CI37" s="228">
        <v>3</v>
      </c>
      <c r="CJ37" s="229">
        <v>9.0899999999999995E-2</v>
      </c>
      <c r="CK37" s="228">
        <v>3</v>
      </c>
      <c r="CL37" s="228">
        <v>4</v>
      </c>
      <c r="CM37" s="228">
        <v>-1</v>
      </c>
      <c r="CN37" s="229">
        <v>-0.1525</v>
      </c>
      <c r="CO37" s="228">
        <v>793</v>
      </c>
      <c r="CP37" s="228">
        <v>782</v>
      </c>
      <c r="CQ37" s="228">
        <v>11</v>
      </c>
      <c r="CR37" s="229">
        <v>1.3599999999999999E-2</v>
      </c>
      <c r="CS37" s="228">
        <v>624</v>
      </c>
      <c r="CT37" s="228">
        <v>593</v>
      </c>
      <c r="CU37" s="228">
        <v>32</v>
      </c>
      <c r="CV37" s="229">
        <v>5.3800000000000001E-2</v>
      </c>
      <c r="CW37" s="230">
        <v>2949</v>
      </c>
      <c r="CX37" s="230">
        <v>2896</v>
      </c>
      <c r="CY37" s="228">
        <v>53</v>
      </c>
      <c r="CZ37" s="229">
        <v>1.84E-2</v>
      </c>
      <c r="DA37" s="228">
        <v>43.28</v>
      </c>
      <c r="DB37" s="228">
        <v>42.56</v>
      </c>
      <c r="DC37" s="228">
        <v>0.72</v>
      </c>
      <c r="DD37" s="228">
        <v>0.72</v>
      </c>
      <c r="DE37" s="228">
        <v>33.79</v>
      </c>
      <c r="DF37" s="228">
        <v>33.869999999999997</v>
      </c>
      <c r="DG37" s="228">
        <v>9.49</v>
      </c>
      <c r="DH37" s="228">
        <v>-0.08</v>
      </c>
      <c r="DI37" s="228">
        <v>40.869999999999997</v>
      </c>
      <c r="DJ37" s="228">
        <v>41.16</v>
      </c>
      <c r="DK37" s="228">
        <v>-0.28999999999999998</v>
      </c>
      <c r="DL37" s="228">
        <v>-0.28999999999999998</v>
      </c>
      <c r="DM37" s="228">
        <v>45.71</v>
      </c>
      <c r="DN37" s="228">
        <v>44.54</v>
      </c>
      <c r="DO37" s="228">
        <v>1.17</v>
      </c>
      <c r="DP37" s="228">
        <v>1.17</v>
      </c>
      <c r="DQ37" s="228">
        <v>0.79</v>
      </c>
      <c r="DR37" s="228">
        <v>0.76</v>
      </c>
      <c r="DS37" s="228">
        <v>0.03</v>
      </c>
      <c r="DT37" s="229">
        <v>3.95E-2</v>
      </c>
      <c r="DU37" s="228">
        <v>440</v>
      </c>
      <c r="DV37" s="228">
        <v>300</v>
      </c>
      <c r="DW37" s="228">
        <v>0.99</v>
      </c>
      <c r="DX37" s="228">
        <v>0.71</v>
      </c>
      <c r="DY37" s="228">
        <v>0.28000000000000003</v>
      </c>
      <c r="DZ37" s="229">
        <v>0.39439999999999997</v>
      </c>
      <c r="EA37" s="229">
        <v>2.8400000000000002E-2</v>
      </c>
      <c r="EB37" s="230">
        <v>1246225</v>
      </c>
      <c r="EC37" s="229">
        <v>5.3E-3</v>
      </c>
      <c r="ED37" s="229">
        <v>2.8400000000000002E-2</v>
      </c>
      <c r="EE37" s="228">
        <v>0.74</v>
      </c>
      <c r="EF37" s="229">
        <v>2.3E-3</v>
      </c>
      <c r="EG37" s="230">
        <v>5721075</v>
      </c>
      <c r="EH37" s="230">
        <v>8128556</v>
      </c>
      <c r="EI37" s="229">
        <v>-0.29620000000000002</v>
      </c>
      <c r="EJ37" s="229">
        <v>0.4758</v>
      </c>
      <c r="EK37" s="231">
        <v>1052.4000000000001</v>
      </c>
      <c r="EL37" s="228">
        <v>949.27</v>
      </c>
      <c r="EM37" s="228">
        <v>305.41000000000003</v>
      </c>
      <c r="EN37" s="228">
        <v>84.87</v>
      </c>
      <c r="EO37" s="231">
        <v>2307.08</v>
      </c>
      <c r="EP37" s="231">
        <v>1821.47</v>
      </c>
      <c r="EQ37" s="228">
        <v>485.61</v>
      </c>
      <c r="ER37" s="229">
        <v>0.2666</v>
      </c>
      <c r="ES37" s="228">
        <v>888.88</v>
      </c>
      <c r="ET37" s="228">
        <v>626.80999999999995</v>
      </c>
      <c r="EU37" s="231">
        <v>1531.86</v>
      </c>
      <c r="EV37" s="231">
        <v>306020745</v>
      </c>
      <c r="EW37" s="231">
        <v>3047.54</v>
      </c>
      <c r="EX37" s="231">
        <v>2996.45</v>
      </c>
      <c r="EY37" s="228">
        <v>51.09</v>
      </c>
      <c r="EZ37" s="229">
        <v>1.7100000000000001E-2</v>
      </c>
      <c r="FA37" s="229">
        <v>0.29449999999999998</v>
      </c>
      <c r="FB37" s="227" t="s">
        <v>555</v>
      </c>
      <c r="FC37">
        <f t="shared" si="0"/>
        <v>44</v>
      </c>
    </row>
    <row r="38" spans="1:159" ht="17.25" hidden="1" thickBot="1" x14ac:dyDescent="0.3">
      <c r="A38" s="226">
        <v>46093</v>
      </c>
      <c r="B38" s="227" t="s">
        <v>168</v>
      </c>
      <c r="C38" s="227" t="s">
        <v>195</v>
      </c>
      <c r="D38" s="228">
        <v>125</v>
      </c>
      <c r="E38" s="228">
        <v>18</v>
      </c>
      <c r="F38" s="231">
        <v>5793</v>
      </c>
      <c r="G38" s="231">
        <v>5927</v>
      </c>
      <c r="H38" s="228">
        <v>-134</v>
      </c>
      <c r="I38" s="229">
        <v>-2.2599999999999999E-2</v>
      </c>
      <c r="J38" s="231">
        <v>5787</v>
      </c>
      <c r="K38" s="231">
        <v>5921.5</v>
      </c>
      <c r="L38" s="228">
        <v>-134.5</v>
      </c>
      <c r="M38" s="229">
        <v>-2.2700000000000001E-2</v>
      </c>
      <c r="N38" s="231">
        <v>5793</v>
      </c>
      <c r="O38" s="231">
        <v>5927</v>
      </c>
      <c r="P38" s="228">
        <v>-134</v>
      </c>
      <c r="Q38" s="229">
        <v>-2.2599999999999999E-2</v>
      </c>
      <c r="R38" s="231">
        <v>5834</v>
      </c>
      <c r="S38" s="231">
        <v>5960.5</v>
      </c>
      <c r="T38" s="228">
        <v>-126.5</v>
      </c>
      <c r="U38" s="229">
        <v>-2.12E-2</v>
      </c>
      <c r="V38" s="231">
        <v>5860.5</v>
      </c>
      <c r="W38" s="231">
        <v>5983</v>
      </c>
      <c r="X38" s="228">
        <v>-122.5</v>
      </c>
      <c r="Y38" s="229">
        <v>-2.0500000000000001E-2</v>
      </c>
      <c r="Z38" s="228">
        <v>6</v>
      </c>
      <c r="AA38" s="228">
        <v>5.5</v>
      </c>
      <c r="AB38" s="228">
        <v>0.5</v>
      </c>
      <c r="AC38" s="229">
        <v>1E-3</v>
      </c>
      <c r="AD38" s="228">
        <v>6</v>
      </c>
      <c r="AE38" s="228">
        <v>5.5</v>
      </c>
      <c r="AF38" s="228">
        <v>0.5</v>
      </c>
      <c r="AG38" s="229">
        <v>1E-3</v>
      </c>
      <c r="AH38" s="228">
        <v>47</v>
      </c>
      <c r="AI38" s="228">
        <v>39</v>
      </c>
      <c r="AJ38" s="228">
        <v>8</v>
      </c>
      <c r="AK38" s="229">
        <v>8.0999999999999996E-3</v>
      </c>
      <c r="AL38" s="228">
        <v>73.5</v>
      </c>
      <c r="AM38" s="228">
        <v>61.5</v>
      </c>
      <c r="AN38" s="228">
        <v>12</v>
      </c>
      <c r="AO38" s="229">
        <v>1.2699999999999999E-2</v>
      </c>
      <c r="AP38" s="231">
        <v>5780.63</v>
      </c>
      <c r="AQ38" s="231">
        <v>5840.18</v>
      </c>
      <c r="AR38" s="228">
        <v>0</v>
      </c>
      <c r="AS38" s="228">
        <v>573</v>
      </c>
      <c r="AT38" s="228">
        <v>203</v>
      </c>
      <c r="AU38" s="228">
        <v>370</v>
      </c>
      <c r="AV38" s="229">
        <v>1.8252999999999999</v>
      </c>
      <c r="AW38" s="228">
        <v>558</v>
      </c>
      <c r="AX38" s="228">
        <v>197</v>
      </c>
      <c r="AY38" s="228">
        <v>361</v>
      </c>
      <c r="AZ38" s="229">
        <v>1.8360000000000001</v>
      </c>
      <c r="BA38" s="228">
        <v>13</v>
      </c>
      <c r="BB38" s="228">
        <v>6</v>
      </c>
      <c r="BC38" s="228">
        <v>8</v>
      </c>
      <c r="BD38" s="229">
        <v>1.3635999999999999</v>
      </c>
      <c r="BE38" s="228">
        <v>1</v>
      </c>
      <c r="BF38" s="228">
        <v>0</v>
      </c>
      <c r="BG38" s="228">
        <v>1</v>
      </c>
      <c r="BH38" s="229">
        <v>4</v>
      </c>
      <c r="BI38" s="228">
        <v>658</v>
      </c>
      <c r="BJ38" s="228">
        <v>280</v>
      </c>
      <c r="BK38" s="228">
        <v>379</v>
      </c>
      <c r="BL38" s="229">
        <v>1.3539000000000001</v>
      </c>
      <c r="BM38" s="228">
        <v>753</v>
      </c>
      <c r="BN38" s="228">
        <v>497</v>
      </c>
      <c r="BO38" s="228">
        <v>255</v>
      </c>
      <c r="BP38" s="229">
        <v>0.51300000000000001</v>
      </c>
      <c r="BQ38" s="230">
        <v>1984</v>
      </c>
      <c r="BR38" s="228">
        <v>980</v>
      </c>
      <c r="BS38" s="230">
        <v>1004</v>
      </c>
      <c r="BT38" s="229">
        <v>1.0245</v>
      </c>
      <c r="BU38" s="230">
        <v>1005308</v>
      </c>
      <c r="BV38" s="230">
        <v>300449</v>
      </c>
      <c r="BW38" s="230">
        <v>704859</v>
      </c>
      <c r="BX38" s="229">
        <v>2.3460000000000001</v>
      </c>
      <c r="BY38" s="230">
        <v>1646</v>
      </c>
      <c r="BZ38" s="230">
        <v>1800</v>
      </c>
      <c r="CA38" s="228">
        <v>-154</v>
      </c>
      <c r="CB38" s="229">
        <v>-8.5599999999999996E-2</v>
      </c>
      <c r="CC38" s="230">
        <v>1631</v>
      </c>
      <c r="CD38" s="230">
        <v>1789</v>
      </c>
      <c r="CE38" s="228">
        <v>-157</v>
      </c>
      <c r="CF38" s="229">
        <v>-8.7900000000000006E-2</v>
      </c>
      <c r="CG38" s="228">
        <v>14</v>
      </c>
      <c r="CH38" s="228">
        <v>11</v>
      </c>
      <c r="CI38" s="228">
        <v>3</v>
      </c>
      <c r="CJ38" s="229">
        <v>0.29049999999999998</v>
      </c>
      <c r="CK38" s="228">
        <v>1</v>
      </c>
      <c r="CL38" s="228">
        <v>1</v>
      </c>
      <c r="CM38" s="228">
        <v>0</v>
      </c>
      <c r="CN38" s="229">
        <v>0.16669999999999999</v>
      </c>
      <c r="CO38" s="228">
        <v>460</v>
      </c>
      <c r="CP38" s="228">
        <v>422</v>
      </c>
      <c r="CQ38" s="228">
        <v>38</v>
      </c>
      <c r="CR38" s="229">
        <v>0.09</v>
      </c>
      <c r="CS38" s="228">
        <v>243</v>
      </c>
      <c r="CT38" s="228">
        <v>232</v>
      </c>
      <c r="CU38" s="228">
        <v>11</v>
      </c>
      <c r="CV38" s="229">
        <v>4.8099999999999997E-2</v>
      </c>
      <c r="CW38" s="230">
        <v>2349</v>
      </c>
      <c r="CX38" s="230">
        <v>2454</v>
      </c>
      <c r="CY38" s="228">
        <v>-105</v>
      </c>
      <c r="CZ38" s="229">
        <v>-4.2799999999999998E-2</v>
      </c>
      <c r="DA38" s="228">
        <v>26.31</v>
      </c>
      <c r="DB38" s="228">
        <v>23.57</v>
      </c>
      <c r="DC38" s="228">
        <v>2.74</v>
      </c>
      <c r="DD38" s="228">
        <v>2.74</v>
      </c>
      <c r="DE38" s="228">
        <v>23.99</v>
      </c>
      <c r="DF38" s="228">
        <v>23.85</v>
      </c>
      <c r="DG38" s="228">
        <v>2.3199999999999998</v>
      </c>
      <c r="DH38" s="228">
        <v>0.14000000000000001</v>
      </c>
      <c r="DI38" s="228">
        <v>24.8</v>
      </c>
      <c r="DJ38" s="228">
        <v>22.32</v>
      </c>
      <c r="DK38" s="228">
        <v>2.48</v>
      </c>
      <c r="DL38" s="228">
        <v>2.48</v>
      </c>
      <c r="DM38" s="228">
        <v>27.63</v>
      </c>
      <c r="DN38" s="228">
        <v>24.27</v>
      </c>
      <c r="DO38" s="228">
        <v>3.36</v>
      </c>
      <c r="DP38" s="228">
        <v>3.36</v>
      </c>
      <c r="DQ38" s="228">
        <v>0.53</v>
      </c>
      <c r="DR38" s="228">
        <v>0.55000000000000004</v>
      </c>
      <c r="DS38" s="228">
        <v>-0.02</v>
      </c>
      <c r="DT38" s="229">
        <v>-3.6400000000000002E-2</v>
      </c>
      <c r="DU38" s="231">
        <v>6700</v>
      </c>
      <c r="DV38" s="231">
        <v>5500</v>
      </c>
      <c r="DW38" s="228">
        <v>1.1399999999999999</v>
      </c>
      <c r="DX38" s="228">
        <v>1.78</v>
      </c>
      <c r="DY38" s="228">
        <v>-0.64</v>
      </c>
      <c r="DZ38" s="229">
        <v>-0.35959999999999998</v>
      </c>
      <c r="EA38" s="229">
        <v>8.9999999999999993E-3</v>
      </c>
      <c r="EB38" s="230">
        <v>20000</v>
      </c>
      <c r="EC38" s="229">
        <v>7.1000000000000004E-3</v>
      </c>
      <c r="ED38" s="229">
        <v>8.9999999999999993E-3</v>
      </c>
      <c r="EE38" s="228">
        <v>59.55</v>
      </c>
      <c r="EF38" s="229">
        <v>1.03E-2</v>
      </c>
      <c r="EG38" s="230">
        <v>663205</v>
      </c>
      <c r="EH38" s="230">
        <v>195738</v>
      </c>
      <c r="EI38" s="229">
        <v>2.3881999999999999</v>
      </c>
      <c r="EJ38" s="229">
        <v>0.65969999999999995</v>
      </c>
      <c r="EK38" s="228">
        <v>691.21</v>
      </c>
      <c r="EL38" s="228">
        <v>734.15</v>
      </c>
      <c r="EM38" s="228">
        <v>571.57000000000005</v>
      </c>
      <c r="EN38" s="228">
        <v>23.22</v>
      </c>
      <c r="EO38" s="231">
        <v>1996.93</v>
      </c>
      <c r="EP38" s="231">
        <v>1013.57</v>
      </c>
      <c r="EQ38" s="228">
        <v>983.36</v>
      </c>
      <c r="ER38" s="229">
        <v>0.97019999999999995</v>
      </c>
      <c r="ES38" s="228">
        <v>502.94</v>
      </c>
      <c r="ET38" s="228">
        <v>237.44</v>
      </c>
      <c r="EU38" s="231">
        <v>1646.41</v>
      </c>
      <c r="EV38" s="231">
        <v>16370935</v>
      </c>
      <c r="EW38" s="231">
        <v>2386.7800000000002</v>
      </c>
      <c r="EX38" s="231">
        <v>2535.96</v>
      </c>
      <c r="EY38" s="228">
        <v>-149.18</v>
      </c>
      <c r="EZ38" s="229">
        <v>-5.8799999999999998E-2</v>
      </c>
      <c r="FA38" s="229">
        <v>0.2477</v>
      </c>
      <c r="FB38" s="227" t="s">
        <v>568</v>
      </c>
      <c r="FC38">
        <f t="shared" si="0"/>
        <v>15</v>
      </c>
    </row>
    <row r="39" spans="1:159" ht="17.25" hidden="1" thickBot="1" x14ac:dyDescent="0.3">
      <c r="A39" s="226">
        <v>46093</v>
      </c>
      <c r="B39" s="227" t="s">
        <v>175</v>
      </c>
      <c r="C39" s="227" t="s">
        <v>584</v>
      </c>
      <c r="D39" s="228">
        <v>375</v>
      </c>
      <c r="E39" s="228">
        <v>18</v>
      </c>
      <c r="F39" s="231">
        <v>2851.7</v>
      </c>
      <c r="G39" s="231">
        <v>2836.5</v>
      </c>
      <c r="H39" s="228">
        <v>15.2</v>
      </c>
      <c r="I39" s="229">
        <v>5.4000000000000003E-3</v>
      </c>
      <c r="J39" s="231">
        <v>2850.6</v>
      </c>
      <c r="K39" s="231">
        <v>2837.4</v>
      </c>
      <c r="L39" s="228">
        <v>13.2</v>
      </c>
      <c r="M39" s="229">
        <v>4.7000000000000002E-3</v>
      </c>
      <c r="N39" s="231">
        <v>2851.7</v>
      </c>
      <c r="O39" s="231">
        <v>2836.5</v>
      </c>
      <c r="P39" s="228">
        <v>15.2</v>
      </c>
      <c r="Q39" s="229">
        <v>5.4000000000000003E-3</v>
      </c>
      <c r="R39" s="231">
        <v>2864</v>
      </c>
      <c r="S39" s="231">
        <v>2849.3</v>
      </c>
      <c r="T39" s="228">
        <v>14.7</v>
      </c>
      <c r="U39" s="229">
        <v>5.1999999999999998E-3</v>
      </c>
      <c r="V39" s="231">
        <v>2869.8</v>
      </c>
      <c r="W39" s="231">
        <v>2859.8</v>
      </c>
      <c r="X39" s="228">
        <v>10</v>
      </c>
      <c r="Y39" s="229">
        <v>3.5000000000000001E-3</v>
      </c>
      <c r="Z39" s="228">
        <v>1.1000000000000001</v>
      </c>
      <c r="AA39" s="228">
        <v>-0.9</v>
      </c>
      <c r="AB39" s="228">
        <v>2</v>
      </c>
      <c r="AC39" s="229">
        <v>4.0000000000000002E-4</v>
      </c>
      <c r="AD39" s="228">
        <v>1.1000000000000001</v>
      </c>
      <c r="AE39" s="228">
        <v>-0.9</v>
      </c>
      <c r="AF39" s="228">
        <v>2</v>
      </c>
      <c r="AG39" s="229">
        <v>4.0000000000000002E-4</v>
      </c>
      <c r="AH39" s="228">
        <v>13.4</v>
      </c>
      <c r="AI39" s="228">
        <v>11.9</v>
      </c>
      <c r="AJ39" s="228">
        <v>1.5</v>
      </c>
      <c r="AK39" s="229">
        <v>4.7000000000000002E-3</v>
      </c>
      <c r="AL39" s="228">
        <v>19.2</v>
      </c>
      <c r="AM39" s="228">
        <v>22.4</v>
      </c>
      <c r="AN39" s="228">
        <v>-3.2</v>
      </c>
      <c r="AO39" s="229">
        <v>6.7000000000000002E-3</v>
      </c>
      <c r="AP39" s="231">
        <v>2833.85</v>
      </c>
      <c r="AQ39" s="231">
        <v>2848.93</v>
      </c>
      <c r="AR39" s="228">
        <v>0</v>
      </c>
      <c r="AS39" s="228">
        <v>863</v>
      </c>
      <c r="AT39" s="228">
        <v>808</v>
      </c>
      <c r="AU39" s="228">
        <v>55</v>
      </c>
      <c r="AV39" s="229">
        <v>6.7699999999999996E-2</v>
      </c>
      <c r="AW39" s="228">
        <v>779</v>
      </c>
      <c r="AX39" s="228">
        <v>744</v>
      </c>
      <c r="AY39" s="228">
        <v>35</v>
      </c>
      <c r="AZ39" s="229">
        <v>4.6600000000000003E-2</v>
      </c>
      <c r="BA39" s="228">
        <v>74</v>
      </c>
      <c r="BB39" s="228">
        <v>54</v>
      </c>
      <c r="BC39" s="228">
        <v>20</v>
      </c>
      <c r="BD39" s="229">
        <v>0.3755</v>
      </c>
      <c r="BE39" s="228">
        <v>10</v>
      </c>
      <c r="BF39" s="228">
        <v>10</v>
      </c>
      <c r="BG39" s="228">
        <v>0</v>
      </c>
      <c r="BH39" s="229">
        <v>-2.1299999999999999E-2</v>
      </c>
      <c r="BI39" s="230">
        <v>3327</v>
      </c>
      <c r="BJ39" s="230">
        <v>3128</v>
      </c>
      <c r="BK39" s="228">
        <v>200</v>
      </c>
      <c r="BL39" s="229">
        <v>6.3899999999999998E-2</v>
      </c>
      <c r="BM39" s="230">
        <v>2986</v>
      </c>
      <c r="BN39" s="230">
        <v>2902</v>
      </c>
      <c r="BO39" s="228">
        <v>84</v>
      </c>
      <c r="BP39" s="229">
        <v>2.9100000000000001E-2</v>
      </c>
      <c r="BQ39" s="230">
        <v>7177</v>
      </c>
      <c r="BR39" s="230">
        <v>6838</v>
      </c>
      <c r="BS39" s="228">
        <v>339</v>
      </c>
      <c r="BT39" s="229">
        <v>4.9599999999999998E-2</v>
      </c>
      <c r="BU39" s="230">
        <v>2988021</v>
      </c>
      <c r="BV39" s="230">
        <v>2802847</v>
      </c>
      <c r="BW39" s="230">
        <v>185174</v>
      </c>
      <c r="BX39" s="229">
        <v>6.6100000000000006E-2</v>
      </c>
      <c r="BY39" s="230">
        <v>2322</v>
      </c>
      <c r="BZ39" s="230">
        <v>2301</v>
      </c>
      <c r="CA39" s="228">
        <v>22</v>
      </c>
      <c r="CB39" s="229">
        <v>9.4000000000000004E-3</v>
      </c>
      <c r="CC39" s="230">
        <v>2119</v>
      </c>
      <c r="CD39" s="230">
        <v>2101</v>
      </c>
      <c r="CE39" s="228">
        <v>18</v>
      </c>
      <c r="CF39" s="229">
        <v>8.3999999999999995E-3</v>
      </c>
      <c r="CG39" s="228">
        <v>181</v>
      </c>
      <c r="CH39" s="228">
        <v>174</v>
      </c>
      <c r="CI39" s="228">
        <v>7</v>
      </c>
      <c r="CJ39" s="229">
        <v>3.7499999999999999E-2</v>
      </c>
      <c r="CK39" s="228">
        <v>23</v>
      </c>
      <c r="CL39" s="228">
        <v>25</v>
      </c>
      <c r="CM39" s="228">
        <v>-2</v>
      </c>
      <c r="CN39" s="229">
        <v>-9.6600000000000005E-2</v>
      </c>
      <c r="CO39" s="230">
        <v>1955</v>
      </c>
      <c r="CP39" s="230">
        <v>1920</v>
      </c>
      <c r="CQ39" s="228">
        <v>35</v>
      </c>
      <c r="CR39" s="229">
        <v>1.84E-2</v>
      </c>
      <c r="CS39" s="230">
        <v>1646</v>
      </c>
      <c r="CT39" s="230">
        <v>1611</v>
      </c>
      <c r="CU39" s="228">
        <v>35</v>
      </c>
      <c r="CV39" s="229">
        <v>2.1499999999999998E-2</v>
      </c>
      <c r="CW39" s="230">
        <v>5924</v>
      </c>
      <c r="CX39" s="230">
        <v>5832</v>
      </c>
      <c r="CY39" s="228">
        <v>92</v>
      </c>
      <c r="CZ39" s="229">
        <v>1.5699999999999999E-2</v>
      </c>
      <c r="DA39" s="228">
        <v>43.5</v>
      </c>
      <c r="DB39" s="228">
        <v>43.6</v>
      </c>
      <c r="DC39" s="228">
        <v>-0.1</v>
      </c>
      <c r="DD39" s="228">
        <v>-0.1</v>
      </c>
      <c r="DE39" s="228">
        <v>58.7</v>
      </c>
      <c r="DF39" s="228">
        <v>58.85</v>
      </c>
      <c r="DG39" s="228">
        <v>-15.2</v>
      </c>
      <c r="DH39" s="228">
        <v>-0.15</v>
      </c>
      <c r="DI39" s="228">
        <v>41.35</v>
      </c>
      <c r="DJ39" s="228">
        <v>41.72</v>
      </c>
      <c r="DK39" s="228">
        <v>-0.37</v>
      </c>
      <c r="DL39" s="228">
        <v>-0.37</v>
      </c>
      <c r="DM39" s="228">
        <v>45.9</v>
      </c>
      <c r="DN39" s="228">
        <v>45.62</v>
      </c>
      <c r="DO39" s="228">
        <v>0.28000000000000003</v>
      </c>
      <c r="DP39" s="228">
        <v>0.28000000000000003</v>
      </c>
      <c r="DQ39" s="228">
        <v>0.84</v>
      </c>
      <c r="DR39" s="228">
        <v>0.84</v>
      </c>
      <c r="DS39" s="228">
        <v>0</v>
      </c>
      <c r="DT39" s="229">
        <v>0</v>
      </c>
      <c r="DU39" s="231">
        <v>3000</v>
      </c>
      <c r="DV39" s="231">
        <v>2700</v>
      </c>
      <c r="DW39" s="228">
        <v>0.9</v>
      </c>
      <c r="DX39" s="228">
        <v>0.93</v>
      </c>
      <c r="DY39" s="228">
        <v>-0.03</v>
      </c>
      <c r="DZ39" s="229">
        <v>-3.2300000000000002E-2</v>
      </c>
      <c r="EA39" s="229">
        <v>8.7599999999999997E-2</v>
      </c>
      <c r="EB39" s="230">
        <v>699375</v>
      </c>
      <c r="EC39" s="229">
        <v>4.3E-3</v>
      </c>
      <c r="ED39" s="229">
        <v>8.7599999999999997E-2</v>
      </c>
      <c r="EE39" s="228">
        <v>15.08</v>
      </c>
      <c r="EF39" s="229">
        <v>5.3E-3</v>
      </c>
      <c r="EG39" s="230">
        <v>614906</v>
      </c>
      <c r="EH39" s="230">
        <v>971143</v>
      </c>
      <c r="EI39" s="229">
        <v>-0.36680000000000001</v>
      </c>
      <c r="EJ39" s="229">
        <v>0.20580000000000001</v>
      </c>
      <c r="EK39" s="231">
        <v>3518.08</v>
      </c>
      <c r="EL39" s="231">
        <v>2865.21</v>
      </c>
      <c r="EM39" s="228">
        <v>858.32</v>
      </c>
      <c r="EN39" s="228">
        <v>113.82</v>
      </c>
      <c r="EO39" s="231">
        <v>7241.61</v>
      </c>
      <c r="EP39" s="231">
        <v>6977.57</v>
      </c>
      <c r="EQ39" s="228">
        <v>264.04000000000002</v>
      </c>
      <c r="ER39" s="229">
        <v>3.78E-2</v>
      </c>
      <c r="ES39" s="231">
        <v>2045.41</v>
      </c>
      <c r="ET39" s="231">
        <v>1526.43</v>
      </c>
      <c r="EU39" s="231">
        <v>2323.31</v>
      </c>
      <c r="EV39" s="231">
        <v>61094861</v>
      </c>
      <c r="EW39" s="231">
        <v>5895.16</v>
      </c>
      <c r="EX39" s="231">
        <v>5795.3</v>
      </c>
      <c r="EY39" s="228">
        <v>99.86</v>
      </c>
      <c r="EZ39" s="229">
        <v>1.72E-2</v>
      </c>
      <c r="FA39" s="229">
        <v>0.34</v>
      </c>
      <c r="FB39" s="227" t="s">
        <v>555</v>
      </c>
      <c r="FC39">
        <f t="shared" si="0"/>
        <v>203</v>
      </c>
    </row>
    <row r="40" spans="1:159" ht="17.25" hidden="1" thickBot="1" x14ac:dyDescent="0.3">
      <c r="A40" s="226">
        <v>46093</v>
      </c>
      <c r="B40" s="227" t="s">
        <v>175</v>
      </c>
      <c r="C40" s="227" t="s">
        <v>611</v>
      </c>
      <c r="D40" s="228">
        <v>750</v>
      </c>
      <c r="E40" s="228">
        <v>18</v>
      </c>
      <c r="F40" s="228">
        <v>663.9</v>
      </c>
      <c r="G40" s="228">
        <v>676.4</v>
      </c>
      <c r="H40" s="228">
        <v>-12.5</v>
      </c>
      <c r="I40" s="229">
        <v>-1.8499999999999999E-2</v>
      </c>
      <c r="J40" s="228">
        <v>663.75</v>
      </c>
      <c r="K40" s="228">
        <v>676.2</v>
      </c>
      <c r="L40" s="228">
        <v>-12.45</v>
      </c>
      <c r="M40" s="229">
        <v>-1.84E-2</v>
      </c>
      <c r="N40" s="228">
        <v>663.9</v>
      </c>
      <c r="O40" s="228">
        <v>676.4</v>
      </c>
      <c r="P40" s="228">
        <v>-12.5</v>
      </c>
      <c r="Q40" s="229">
        <v>-1.8499999999999999E-2</v>
      </c>
      <c r="R40" s="228">
        <v>667.55</v>
      </c>
      <c r="S40" s="228">
        <v>679.6</v>
      </c>
      <c r="T40" s="228">
        <v>-12.05</v>
      </c>
      <c r="U40" s="229">
        <v>-1.77E-2</v>
      </c>
      <c r="V40" s="228">
        <v>669.85</v>
      </c>
      <c r="W40" s="228">
        <v>682.35</v>
      </c>
      <c r="X40" s="228">
        <v>-12.5</v>
      </c>
      <c r="Y40" s="229">
        <v>-1.83E-2</v>
      </c>
      <c r="Z40" s="228">
        <v>0.15</v>
      </c>
      <c r="AA40" s="228">
        <v>0.2</v>
      </c>
      <c r="AB40" s="228">
        <v>-0.05</v>
      </c>
      <c r="AC40" s="229">
        <v>2.0000000000000001E-4</v>
      </c>
      <c r="AD40" s="228">
        <v>0.15</v>
      </c>
      <c r="AE40" s="228">
        <v>0.2</v>
      </c>
      <c r="AF40" s="228">
        <v>-0.05</v>
      </c>
      <c r="AG40" s="229">
        <v>2.0000000000000001E-4</v>
      </c>
      <c r="AH40" s="228">
        <v>3.8</v>
      </c>
      <c r="AI40" s="228">
        <v>3.4</v>
      </c>
      <c r="AJ40" s="228">
        <v>0.4</v>
      </c>
      <c r="AK40" s="229">
        <v>5.7000000000000002E-3</v>
      </c>
      <c r="AL40" s="228">
        <v>6.1</v>
      </c>
      <c r="AM40" s="228">
        <v>6.15</v>
      </c>
      <c r="AN40" s="228">
        <v>-0.05</v>
      </c>
      <c r="AO40" s="229">
        <v>9.1999999999999998E-3</v>
      </c>
      <c r="AP40" s="228">
        <v>663.37</v>
      </c>
      <c r="AQ40" s="228">
        <v>665.95</v>
      </c>
      <c r="AR40" s="228">
        <v>0</v>
      </c>
      <c r="AS40" s="228">
        <v>112</v>
      </c>
      <c r="AT40" s="228">
        <v>141</v>
      </c>
      <c r="AU40" s="228">
        <v>-28</v>
      </c>
      <c r="AV40" s="229">
        <v>-0.20219999999999999</v>
      </c>
      <c r="AW40" s="228">
        <v>102</v>
      </c>
      <c r="AX40" s="228">
        <v>132</v>
      </c>
      <c r="AY40" s="228">
        <v>-30</v>
      </c>
      <c r="AZ40" s="229">
        <v>-0.2273</v>
      </c>
      <c r="BA40" s="228">
        <v>10</v>
      </c>
      <c r="BB40" s="228">
        <v>8</v>
      </c>
      <c r="BC40" s="228">
        <v>1</v>
      </c>
      <c r="BD40" s="229">
        <v>0.18179999999999999</v>
      </c>
      <c r="BE40" s="228">
        <v>1</v>
      </c>
      <c r="BF40" s="228">
        <v>0</v>
      </c>
      <c r="BG40" s="228">
        <v>0</v>
      </c>
      <c r="BH40" s="229">
        <v>0.1</v>
      </c>
      <c r="BI40" s="228">
        <v>137</v>
      </c>
      <c r="BJ40" s="228">
        <v>154</v>
      </c>
      <c r="BK40" s="228">
        <v>-18</v>
      </c>
      <c r="BL40" s="229">
        <v>-0.11550000000000001</v>
      </c>
      <c r="BM40" s="228">
        <v>106</v>
      </c>
      <c r="BN40" s="228">
        <v>76</v>
      </c>
      <c r="BO40" s="228">
        <v>30</v>
      </c>
      <c r="BP40" s="229">
        <v>0.38850000000000001</v>
      </c>
      <c r="BQ40" s="228">
        <v>354</v>
      </c>
      <c r="BR40" s="228">
        <v>371</v>
      </c>
      <c r="BS40" s="228">
        <v>-17</v>
      </c>
      <c r="BT40" s="229">
        <v>-4.4900000000000002E-2</v>
      </c>
      <c r="BU40" s="230">
        <v>1721199</v>
      </c>
      <c r="BV40" s="230">
        <v>2361108</v>
      </c>
      <c r="BW40" s="230">
        <v>-639909</v>
      </c>
      <c r="BX40" s="229">
        <v>-0.27100000000000002</v>
      </c>
      <c r="BY40" s="228">
        <v>433</v>
      </c>
      <c r="BZ40" s="228">
        <v>449</v>
      </c>
      <c r="CA40" s="228">
        <v>-16</v>
      </c>
      <c r="CB40" s="229">
        <v>-3.6200000000000003E-2</v>
      </c>
      <c r="CC40" s="228">
        <v>401</v>
      </c>
      <c r="CD40" s="228">
        <v>420</v>
      </c>
      <c r="CE40" s="228">
        <v>-19</v>
      </c>
      <c r="CF40" s="229">
        <v>-4.4299999999999999E-2</v>
      </c>
      <c r="CG40" s="228">
        <v>30</v>
      </c>
      <c r="CH40" s="228">
        <v>27</v>
      </c>
      <c r="CI40" s="228">
        <v>2</v>
      </c>
      <c r="CJ40" s="229">
        <v>8.3799999999999999E-2</v>
      </c>
      <c r="CK40" s="228">
        <v>2</v>
      </c>
      <c r="CL40" s="228">
        <v>2</v>
      </c>
      <c r="CM40" s="228">
        <v>0</v>
      </c>
      <c r="CN40" s="229">
        <v>0</v>
      </c>
      <c r="CO40" s="228">
        <v>242</v>
      </c>
      <c r="CP40" s="228">
        <v>218</v>
      </c>
      <c r="CQ40" s="228">
        <v>23</v>
      </c>
      <c r="CR40" s="229">
        <v>0.1072</v>
      </c>
      <c r="CS40" s="228">
        <v>193</v>
      </c>
      <c r="CT40" s="228">
        <v>190</v>
      </c>
      <c r="CU40" s="228">
        <v>3</v>
      </c>
      <c r="CV40" s="229">
        <v>1.3299999999999999E-2</v>
      </c>
      <c r="CW40" s="228">
        <v>868</v>
      </c>
      <c r="CX40" s="228">
        <v>858</v>
      </c>
      <c r="CY40" s="228">
        <v>10</v>
      </c>
      <c r="CZ40" s="229">
        <v>1.1299999999999999E-2</v>
      </c>
      <c r="DA40" s="228">
        <v>35.840000000000003</v>
      </c>
      <c r="DB40" s="228">
        <v>35.89</v>
      </c>
      <c r="DC40" s="228">
        <v>-0.05</v>
      </c>
      <c r="DD40" s="228">
        <v>-0.05</v>
      </c>
      <c r="DE40" s="228">
        <v>40.04</v>
      </c>
      <c r="DF40" s="228">
        <v>40.06</v>
      </c>
      <c r="DG40" s="228">
        <v>-4.2</v>
      </c>
      <c r="DH40" s="228">
        <v>-0.02</v>
      </c>
      <c r="DI40" s="228">
        <v>34.56</v>
      </c>
      <c r="DJ40" s="228">
        <v>34.619999999999997</v>
      </c>
      <c r="DK40" s="228">
        <v>-0.06</v>
      </c>
      <c r="DL40" s="228">
        <v>-0.06</v>
      </c>
      <c r="DM40" s="228">
        <v>37.5</v>
      </c>
      <c r="DN40" s="228">
        <v>38.46</v>
      </c>
      <c r="DO40" s="228">
        <v>-0.96</v>
      </c>
      <c r="DP40" s="228">
        <v>-0.96</v>
      </c>
      <c r="DQ40" s="228">
        <v>0.8</v>
      </c>
      <c r="DR40" s="228">
        <v>0.87</v>
      </c>
      <c r="DS40" s="228">
        <v>-7.0000000000000007E-2</v>
      </c>
      <c r="DT40" s="229">
        <v>-8.0500000000000002E-2</v>
      </c>
      <c r="DU40" s="228">
        <v>700</v>
      </c>
      <c r="DV40" s="228">
        <v>660</v>
      </c>
      <c r="DW40" s="228">
        <v>0.77</v>
      </c>
      <c r="DX40" s="228">
        <v>0.49</v>
      </c>
      <c r="DY40" s="228">
        <v>0.28000000000000003</v>
      </c>
      <c r="DZ40" s="229">
        <v>0.57140000000000002</v>
      </c>
      <c r="EA40" s="229">
        <v>7.3800000000000004E-2</v>
      </c>
      <c r="EB40" s="230">
        <v>447000</v>
      </c>
      <c r="EC40" s="229">
        <v>5.4999999999999997E-3</v>
      </c>
      <c r="ED40" s="229">
        <v>7.3800000000000004E-2</v>
      </c>
      <c r="EE40" s="228">
        <v>2.58</v>
      </c>
      <c r="EF40" s="229">
        <v>3.8999999999999998E-3</v>
      </c>
      <c r="EG40" s="230">
        <v>885169</v>
      </c>
      <c r="EH40" s="230">
        <v>1589018</v>
      </c>
      <c r="EI40" s="229">
        <v>-0.44290000000000002</v>
      </c>
      <c r="EJ40" s="229">
        <v>0.51429999999999998</v>
      </c>
      <c r="EK40" s="228">
        <v>144.74</v>
      </c>
      <c r="EL40" s="228">
        <v>106.15</v>
      </c>
      <c r="EM40" s="228">
        <v>112.13</v>
      </c>
      <c r="EN40" s="228">
        <v>33.270000000000003</v>
      </c>
      <c r="EO40" s="228">
        <v>363.03</v>
      </c>
      <c r="EP40" s="228">
        <v>385.51</v>
      </c>
      <c r="EQ40" s="228">
        <v>-22.48</v>
      </c>
      <c r="ER40" s="229">
        <v>-5.8299999999999998E-2</v>
      </c>
      <c r="ES40" s="228">
        <v>257.8</v>
      </c>
      <c r="ET40" s="228">
        <v>194.11</v>
      </c>
      <c r="EU40" s="228">
        <v>433.23</v>
      </c>
      <c r="EV40" s="231">
        <v>37122288</v>
      </c>
      <c r="EW40" s="228">
        <v>885.13</v>
      </c>
      <c r="EX40" s="228">
        <v>883.08</v>
      </c>
      <c r="EY40" s="228">
        <v>2.0499999999999998</v>
      </c>
      <c r="EZ40" s="229">
        <v>2.3E-3</v>
      </c>
      <c r="FA40" s="229">
        <v>0.35199999999999998</v>
      </c>
      <c r="FB40" s="227" t="s">
        <v>568</v>
      </c>
      <c r="FC40">
        <f t="shared" si="0"/>
        <v>32</v>
      </c>
    </row>
    <row r="41" spans="1:159" ht="17.25" hidden="1" thickBot="1" x14ac:dyDescent="0.3">
      <c r="A41" s="226">
        <v>46093</v>
      </c>
      <c r="B41" s="227" t="s">
        <v>172</v>
      </c>
      <c r="C41" s="227" t="s">
        <v>196</v>
      </c>
      <c r="D41" s="228">
        <v>6750</v>
      </c>
      <c r="E41" s="228">
        <v>18</v>
      </c>
      <c r="F41" s="228">
        <v>140.59</v>
      </c>
      <c r="G41" s="228">
        <v>139.68</v>
      </c>
      <c r="H41" s="228">
        <v>0.91</v>
      </c>
      <c r="I41" s="229">
        <v>6.4999999999999997E-3</v>
      </c>
      <c r="J41" s="228">
        <v>140.34</v>
      </c>
      <c r="K41" s="228">
        <v>139.41</v>
      </c>
      <c r="L41" s="228">
        <v>0.93</v>
      </c>
      <c r="M41" s="229">
        <v>6.7000000000000002E-3</v>
      </c>
      <c r="N41" s="228">
        <v>140.59</v>
      </c>
      <c r="O41" s="228">
        <v>139.68</v>
      </c>
      <c r="P41" s="228">
        <v>0.91</v>
      </c>
      <c r="Q41" s="229">
        <v>6.4999999999999997E-3</v>
      </c>
      <c r="R41" s="228">
        <v>141.5</v>
      </c>
      <c r="S41" s="228">
        <v>140.63</v>
      </c>
      <c r="T41" s="228">
        <v>0.87</v>
      </c>
      <c r="U41" s="229">
        <v>6.1999999999999998E-3</v>
      </c>
      <c r="V41" s="228">
        <v>142.36000000000001</v>
      </c>
      <c r="W41" s="228">
        <v>141.44999999999999</v>
      </c>
      <c r="X41" s="228">
        <v>0.91</v>
      </c>
      <c r="Y41" s="229">
        <v>6.4000000000000003E-3</v>
      </c>
      <c r="Z41" s="228">
        <v>0.25</v>
      </c>
      <c r="AA41" s="228">
        <v>0.27</v>
      </c>
      <c r="AB41" s="228">
        <v>-0.02</v>
      </c>
      <c r="AC41" s="229">
        <v>1.8E-3</v>
      </c>
      <c r="AD41" s="228">
        <v>0.25</v>
      </c>
      <c r="AE41" s="228">
        <v>0.27</v>
      </c>
      <c r="AF41" s="228">
        <v>-0.02</v>
      </c>
      <c r="AG41" s="229">
        <v>1.8E-3</v>
      </c>
      <c r="AH41" s="228">
        <v>1.1599999999999999</v>
      </c>
      <c r="AI41" s="228">
        <v>1.22</v>
      </c>
      <c r="AJ41" s="228">
        <v>-0.06</v>
      </c>
      <c r="AK41" s="229">
        <v>8.3000000000000001E-3</v>
      </c>
      <c r="AL41" s="228">
        <v>2.02</v>
      </c>
      <c r="AM41" s="228">
        <v>2.04</v>
      </c>
      <c r="AN41" s="228">
        <v>-0.02</v>
      </c>
      <c r="AO41" s="229">
        <v>1.44E-2</v>
      </c>
      <c r="AP41" s="228">
        <v>140.07</v>
      </c>
      <c r="AQ41" s="228">
        <v>140.88</v>
      </c>
      <c r="AR41" s="228">
        <v>0</v>
      </c>
      <c r="AS41" s="228">
        <v>714</v>
      </c>
      <c r="AT41" s="228">
        <v>413</v>
      </c>
      <c r="AU41" s="228">
        <v>301</v>
      </c>
      <c r="AV41" s="229">
        <v>0.72950000000000004</v>
      </c>
      <c r="AW41" s="228">
        <v>646</v>
      </c>
      <c r="AX41" s="228">
        <v>360</v>
      </c>
      <c r="AY41" s="228">
        <v>286</v>
      </c>
      <c r="AZ41" s="229">
        <v>0.79430000000000001</v>
      </c>
      <c r="BA41" s="228">
        <v>60</v>
      </c>
      <c r="BB41" s="228">
        <v>44</v>
      </c>
      <c r="BC41" s="228">
        <v>16</v>
      </c>
      <c r="BD41" s="229">
        <v>0.36209999999999998</v>
      </c>
      <c r="BE41" s="228">
        <v>8</v>
      </c>
      <c r="BF41" s="228">
        <v>9</v>
      </c>
      <c r="BG41" s="228">
        <v>-1</v>
      </c>
      <c r="BH41" s="229">
        <v>-8.6999999999999994E-2</v>
      </c>
      <c r="BI41" s="230">
        <v>1235</v>
      </c>
      <c r="BJ41" s="228">
        <v>665</v>
      </c>
      <c r="BK41" s="228">
        <v>570</v>
      </c>
      <c r="BL41" s="229">
        <v>0.85809999999999997</v>
      </c>
      <c r="BM41" s="228">
        <v>691</v>
      </c>
      <c r="BN41" s="228">
        <v>394</v>
      </c>
      <c r="BO41" s="228">
        <v>297</v>
      </c>
      <c r="BP41" s="229">
        <v>0.75470000000000004</v>
      </c>
      <c r="BQ41" s="230">
        <v>2639</v>
      </c>
      <c r="BR41" s="230">
        <v>1471</v>
      </c>
      <c r="BS41" s="230">
        <v>1168</v>
      </c>
      <c r="BT41" s="229">
        <v>0.79430000000000001</v>
      </c>
      <c r="BU41" s="230">
        <v>22563981</v>
      </c>
      <c r="BV41" s="230">
        <v>13899915</v>
      </c>
      <c r="BW41" s="230">
        <v>8664066</v>
      </c>
      <c r="BX41" s="229">
        <v>0.62329999999999997</v>
      </c>
      <c r="BY41" s="230">
        <v>2601</v>
      </c>
      <c r="BZ41" s="230">
        <v>2588</v>
      </c>
      <c r="CA41" s="228">
        <v>13</v>
      </c>
      <c r="CB41" s="229">
        <v>4.8999999999999998E-3</v>
      </c>
      <c r="CC41" s="230">
        <v>2398</v>
      </c>
      <c r="CD41" s="230">
        <v>2398</v>
      </c>
      <c r="CE41" s="228">
        <v>0</v>
      </c>
      <c r="CF41" s="229">
        <v>-2.0000000000000001E-4</v>
      </c>
      <c r="CG41" s="228">
        <v>172</v>
      </c>
      <c r="CH41" s="228">
        <v>159</v>
      </c>
      <c r="CI41" s="228">
        <v>13</v>
      </c>
      <c r="CJ41" s="229">
        <v>8.1699999999999995E-2</v>
      </c>
      <c r="CK41" s="228">
        <v>31</v>
      </c>
      <c r="CL41" s="228">
        <v>31</v>
      </c>
      <c r="CM41" s="228">
        <v>0</v>
      </c>
      <c r="CN41" s="229">
        <v>6.1000000000000004E-3</v>
      </c>
      <c r="CO41" s="230">
        <v>1528</v>
      </c>
      <c r="CP41" s="230">
        <v>1507</v>
      </c>
      <c r="CQ41" s="228">
        <v>21</v>
      </c>
      <c r="CR41" s="229">
        <v>1.4E-2</v>
      </c>
      <c r="CS41" s="230">
        <v>1152</v>
      </c>
      <c r="CT41" s="230">
        <v>1086</v>
      </c>
      <c r="CU41" s="228">
        <v>66</v>
      </c>
      <c r="CV41" s="229">
        <v>6.0999999999999999E-2</v>
      </c>
      <c r="CW41" s="230">
        <v>5281</v>
      </c>
      <c r="CX41" s="230">
        <v>5181</v>
      </c>
      <c r="CY41" s="228">
        <v>100</v>
      </c>
      <c r="CZ41" s="229">
        <v>1.9300000000000001E-2</v>
      </c>
      <c r="DA41" s="228">
        <v>39.17</v>
      </c>
      <c r="DB41" s="228">
        <v>38.950000000000003</v>
      </c>
      <c r="DC41" s="228">
        <v>0.22</v>
      </c>
      <c r="DD41" s="228">
        <v>0.22</v>
      </c>
      <c r="DE41" s="228">
        <v>36.270000000000003</v>
      </c>
      <c r="DF41" s="228">
        <v>36.35</v>
      </c>
      <c r="DG41" s="228">
        <v>2.9</v>
      </c>
      <c r="DH41" s="228">
        <v>-0.08</v>
      </c>
      <c r="DI41" s="228">
        <v>38.67</v>
      </c>
      <c r="DJ41" s="228">
        <v>38.72</v>
      </c>
      <c r="DK41" s="228">
        <v>-0.05</v>
      </c>
      <c r="DL41" s="228">
        <v>-0.05</v>
      </c>
      <c r="DM41" s="228">
        <v>40.07</v>
      </c>
      <c r="DN41" s="228">
        <v>39.36</v>
      </c>
      <c r="DO41" s="228">
        <v>0.71</v>
      </c>
      <c r="DP41" s="228">
        <v>0.71</v>
      </c>
      <c r="DQ41" s="228">
        <v>0.75</v>
      </c>
      <c r="DR41" s="228">
        <v>0.72</v>
      </c>
      <c r="DS41" s="228">
        <v>0.03</v>
      </c>
      <c r="DT41" s="229">
        <v>4.1700000000000001E-2</v>
      </c>
      <c r="DU41" s="228">
        <v>160</v>
      </c>
      <c r="DV41" s="228">
        <v>140</v>
      </c>
      <c r="DW41" s="228">
        <v>0.56000000000000005</v>
      </c>
      <c r="DX41" s="228">
        <v>0.59</v>
      </c>
      <c r="DY41" s="228">
        <v>-0.03</v>
      </c>
      <c r="DZ41" s="229">
        <v>-5.0799999999999998E-2</v>
      </c>
      <c r="EA41" s="229">
        <v>7.8100000000000003E-2</v>
      </c>
      <c r="EB41" s="230">
        <v>13520250</v>
      </c>
      <c r="EC41" s="229">
        <v>6.4999999999999997E-3</v>
      </c>
      <c r="ED41" s="229">
        <v>7.8100000000000003E-2</v>
      </c>
      <c r="EE41" s="228">
        <v>0.81</v>
      </c>
      <c r="EF41" s="229">
        <v>5.7999999999999996E-3</v>
      </c>
      <c r="EG41" s="230">
        <v>9144557</v>
      </c>
      <c r="EH41" s="230">
        <v>5772389</v>
      </c>
      <c r="EI41" s="229">
        <v>0.58420000000000005</v>
      </c>
      <c r="EJ41" s="229">
        <v>0.40529999999999999</v>
      </c>
      <c r="EK41" s="231">
        <v>1327.25</v>
      </c>
      <c r="EL41" s="228">
        <v>692.56</v>
      </c>
      <c r="EM41" s="228">
        <v>711.4</v>
      </c>
      <c r="EN41" s="228">
        <v>74.02</v>
      </c>
      <c r="EO41" s="231">
        <v>2731.21</v>
      </c>
      <c r="EP41" s="231">
        <v>1531.89</v>
      </c>
      <c r="EQ41" s="231">
        <v>1199.32</v>
      </c>
      <c r="ER41" s="229">
        <v>0.78290000000000004</v>
      </c>
      <c r="ES41" s="231">
        <v>1684.92</v>
      </c>
      <c r="ET41" s="231">
        <v>1195.1099999999999</v>
      </c>
      <c r="EU41" s="231">
        <v>2602.7600000000002</v>
      </c>
      <c r="EV41" s="231">
        <v>504315430</v>
      </c>
      <c r="EW41" s="231">
        <v>5482.8</v>
      </c>
      <c r="EX41" s="231">
        <v>5370.11</v>
      </c>
      <c r="EY41" s="228">
        <v>112.69</v>
      </c>
      <c r="EZ41" s="229">
        <v>2.1000000000000001E-2</v>
      </c>
      <c r="FA41" s="229">
        <v>0.74490000000000001</v>
      </c>
      <c r="FB41" s="227" t="s">
        <v>555</v>
      </c>
      <c r="FC41">
        <f t="shared" si="0"/>
        <v>203</v>
      </c>
    </row>
    <row r="42" spans="1:159" ht="17.25" hidden="1" thickBot="1" x14ac:dyDescent="0.3">
      <c r="A42" s="226">
        <v>46093</v>
      </c>
      <c r="B42" s="227" t="s">
        <v>175</v>
      </c>
      <c r="C42" s="227" t="s">
        <v>597</v>
      </c>
      <c r="D42" s="228">
        <v>475</v>
      </c>
      <c r="E42" s="228">
        <v>18</v>
      </c>
      <c r="F42" s="231">
        <v>1208.7</v>
      </c>
      <c r="G42" s="231">
        <v>1218.8</v>
      </c>
      <c r="H42" s="228">
        <v>-10.1</v>
      </c>
      <c r="I42" s="229">
        <v>-8.3000000000000001E-3</v>
      </c>
      <c r="J42" s="231">
        <v>1210.8</v>
      </c>
      <c r="K42" s="231">
        <v>1219.4000000000001</v>
      </c>
      <c r="L42" s="228">
        <v>-8.6</v>
      </c>
      <c r="M42" s="229">
        <v>-7.1000000000000004E-3</v>
      </c>
      <c r="N42" s="231">
        <v>1208.7</v>
      </c>
      <c r="O42" s="231">
        <v>1218.8</v>
      </c>
      <c r="P42" s="228">
        <v>-10.1</v>
      </c>
      <c r="Q42" s="229">
        <v>-8.3000000000000001E-3</v>
      </c>
      <c r="R42" s="231">
        <v>1207</v>
      </c>
      <c r="S42" s="231">
        <v>1217.4000000000001</v>
      </c>
      <c r="T42" s="228">
        <v>-10.4</v>
      </c>
      <c r="U42" s="229">
        <v>-8.5000000000000006E-3</v>
      </c>
      <c r="V42" s="231">
        <v>1207.2</v>
      </c>
      <c r="W42" s="231">
        <v>1218.5999999999999</v>
      </c>
      <c r="X42" s="228">
        <v>-11.4</v>
      </c>
      <c r="Y42" s="229">
        <v>-9.4000000000000004E-3</v>
      </c>
      <c r="Z42" s="228">
        <v>-2.1</v>
      </c>
      <c r="AA42" s="228">
        <v>-0.6</v>
      </c>
      <c r="AB42" s="228">
        <v>-1.5</v>
      </c>
      <c r="AC42" s="229">
        <v>-1.6999999999999999E-3</v>
      </c>
      <c r="AD42" s="228">
        <v>-2.1</v>
      </c>
      <c r="AE42" s="228">
        <v>-0.6</v>
      </c>
      <c r="AF42" s="228">
        <v>-1.5</v>
      </c>
      <c r="AG42" s="229">
        <v>-1.6999999999999999E-3</v>
      </c>
      <c r="AH42" s="228">
        <v>-3.8</v>
      </c>
      <c r="AI42" s="228">
        <v>-2</v>
      </c>
      <c r="AJ42" s="228">
        <v>-1.8</v>
      </c>
      <c r="AK42" s="229">
        <v>-3.0999999999999999E-3</v>
      </c>
      <c r="AL42" s="228">
        <v>-3.6</v>
      </c>
      <c r="AM42" s="228">
        <v>-0.8</v>
      </c>
      <c r="AN42" s="228">
        <v>-2.8</v>
      </c>
      <c r="AO42" s="229">
        <v>-3.0000000000000001E-3</v>
      </c>
      <c r="AP42" s="231">
        <v>1203.0899999999999</v>
      </c>
      <c r="AQ42" s="231">
        <v>1199.8399999999999</v>
      </c>
      <c r="AR42" s="228">
        <v>0</v>
      </c>
      <c r="AS42" s="228">
        <v>264</v>
      </c>
      <c r="AT42" s="228">
        <v>188</v>
      </c>
      <c r="AU42" s="228">
        <v>76</v>
      </c>
      <c r="AV42" s="229">
        <v>0.40600000000000003</v>
      </c>
      <c r="AW42" s="228">
        <v>193</v>
      </c>
      <c r="AX42" s="228">
        <v>145</v>
      </c>
      <c r="AY42" s="228">
        <v>48</v>
      </c>
      <c r="AZ42" s="229">
        <v>0.33029999999999998</v>
      </c>
      <c r="BA42" s="228">
        <v>62</v>
      </c>
      <c r="BB42" s="228">
        <v>37</v>
      </c>
      <c r="BC42" s="228">
        <v>25</v>
      </c>
      <c r="BD42" s="229">
        <v>0.66100000000000003</v>
      </c>
      <c r="BE42" s="228">
        <v>9</v>
      </c>
      <c r="BF42" s="228">
        <v>6</v>
      </c>
      <c r="BG42" s="228">
        <v>4</v>
      </c>
      <c r="BH42" s="229">
        <v>0.67710000000000004</v>
      </c>
      <c r="BI42" s="228">
        <v>766</v>
      </c>
      <c r="BJ42" s="228">
        <v>658</v>
      </c>
      <c r="BK42" s="228">
        <v>107</v>
      </c>
      <c r="BL42" s="229">
        <v>0.16300000000000001</v>
      </c>
      <c r="BM42" s="228">
        <v>324</v>
      </c>
      <c r="BN42" s="228">
        <v>343</v>
      </c>
      <c r="BO42" s="228">
        <v>-19</v>
      </c>
      <c r="BP42" s="229">
        <v>-5.4899999999999997E-2</v>
      </c>
      <c r="BQ42" s="230">
        <v>1354</v>
      </c>
      <c r="BR42" s="230">
        <v>1190</v>
      </c>
      <c r="BS42" s="228">
        <v>165</v>
      </c>
      <c r="BT42" s="229">
        <v>0.1386</v>
      </c>
      <c r="BU42" s="230">
        <v>1620635</v>
      </c>
      <c r="BV42" s="230">
        <v>1531624</v>
      </c>
      <c r="BW42" s="230">
        <v>89011</v>
      </c>
      <c r="BX42" s="229">
        <v>5.8099999999999999E-2</v>
      </c>
      <c r="BY42" s="230">
        <v>1467</v>
      </c>
      <c r="BZ42" s="230">
        <v>1392</v>
      </c>
      <c r="CA42" s="228">
        <v>75</v>
      </c>
      <c r="CB42" s="229">
        <v>5.3600000000000002E-2</v>
      </c>
      <c r="CC42" s="230">
        <v>1234</v>
      </c>
      <c r="CD42" s="230">
        <v>1189</v>
      </c>
      <c r="CE42" s="228">
        <v>46</v>
      </c>
      <c r="CF42" s="229">
        <v>3.8300000000000001E-2</v>
      </c>
      <c r="CG42" s="228">
        <v>209</v>
      </c>
      <c r="CH42" s="228">
        <v>184</v>
      </c>
      <c r="CI42" s="228">
        <v>25</v>
      </c>
      <c r="CJ42" s="229">
        <v>0.13400000000000001</v>
      </c>
      <c r="CK42" s="228">
        <v>24</v>
      </c>
      <c r="CL42" s="228">
        <v>19</v>
      </c>
      <c r="CM42" s="228">
        <v>4</v>
      </c>
      <c r="CN42" s="229">
        <v>0.23280000000000001</v>
      </c>
      <c r="CO42" s="228">
        <v>839</v>
      </c>
      <c r="CP42" s="228">
        <v>803</v>
      </c>
      <c r="CQ42" s="228">
        <v>36</v>
      </c>
      <c r="CR42" s="229">
        <v>4.5100000000000001E-2</v>
      </c>
      <c r="CS42" s="228">
        <v>605</v>
      </c>
      <c r="CT42" s="228">
        <v>609</v>
      </c>
      <c r="CU42" s="228">
        <v>-4</v>
      </c>
      <c r="CV42" s="229">
        <v>-5.8999999999999999E-3</v>
      </c>
      <c r="CW42" s="230">
        <v>2912</v>
      </c>
      <c r="CX42" s="230">
        <v>2804</v>
      </c>
      <c r="CY42" s="228">
        <v>107</v>
      </c>
      <c r="CZ42" s="229">
        <v>3.8300000000000001E-2</v>
      </c>
      <c r="DA42" s="228">
        <v>38.409999999999997</v>
      </c>
      <c r="DB42" s="228">
        <v>38.49</v>
      </c>
      <c r="DC42" s="228">
        <v>-0.08</v>
      </c>
      <c r="DD42" s="228">
        <v>-0.08</v>
      </c>
      <c r="DE42" s="228">
        <v>44.92</v>
      </c>
      <c r="DF42" s="228">
        <v>45.02</v>
      </c>
      <c r="DG42" s="228">
        <v>-6.51</v>
      </c>
      <c r="DH42" s="228">
        <v>-0.1</v>
      </c>
      <c r="DI42" s="228">
        <v>38.130000000000003</v>
      </c>
      <c r="DJ42" s="228">
        <v>38.33</v>
      </c>
      <c r="DK42" s="228">
        <v>-0.2</v>
      </c>
      <c r="DL42" s="228">
        <v>-0.2</v>
      </c>
      <c r="DM42" s="228">
        <v>39.090000000000003</v>
      </c>
      <c r="DN42" s="228">
        <v>38.82</v>
      </c>
      <c r="DO42" s="228">
        <v>0.27</v>
      </c>
      <c r="DP42" s="228">
        <v>0.27</v>
      </c>
      <c r="DQ42" s="228">
        <v>0.72</v>
      </c>
      <c r="DR42" s="228">
        <v>0.76</v>
      </c>
      <c r="DS42" s="228">
        <v>-0.04</v>
      </c>
      <c r="DT42" s="229">
        <v>-5.2600000000000001E-2</v>
      </c>
      <c r="DU42" s="231">
        <v>1400</v>
      </c>
      <c r="DV42" s="231">
        <v>1300</v>
      </c>
      <c r="DW42" s="228">
        <v>0.42</v>
      </c>
      <c r="DX42" s="228">
        <v>0.52</v>
      </c>
      <c r="DY42" s="228">
        <v>-0.1</v>
      </c>
      <c r="DZ42" s="229">
        <v>-0.1923</v>
      </c>
      <c r="EA42" s="229">
        <v>0.15859999999999999</v>
      </c>
      <c r="EB42" s="230">
        <v>1683400</v>
      </c>
      <c r="EC42" s="229">
        <v>-1.4E-3</v>
      </c>
      <c r="ED42" s="229">
        <v>0.15859999999999999</v>
      </c>
      <c r="EE42" s="228">
        <v>-3.25</v>
      </c>
      <c r="EF42" s="229">
        <v>-2.7000000000000001E-3</v>
      </c>
      <c r="EG42" s="230">
        <v>530639</v>
      </c>
      <c r="EH42" s="230">
        <v>572391</v>
      </c>
      <c r="EI42" s="229">
        <v>-7.2900000000000006E-2</v>
      </c>
      <c r="EJ42" s="229">
        <v>0.32740000000000002</v>
      </c>
      <c r="EK42" s="228">
        <v>820.24</v>
      </c>
      <c r="EL42" s="228">
        <v>326.89999999999998</v>
      </c>
      <c r="EM42" s="228">
        <v>263.02999999999997</v>
      </c>
      <c r="EN42" s="228">
        <v>43.31</v>
      </c>
      <c r="EO42" s="231">
        <v>1410.17</v>
      </c>
      <c r="EP42" s="231">
        <v>1271.3399999999999</v>
      </c>
      <c r="EQ42" s="228">
        <v>138.83000000000001</v>
      </c>
      <c r="ER42" s="229">
        <v>0.10920000000000001</v>
      </c>
      <c r="ES42" s="228">
        <v>938.07</v>
      </c>
      <c r="ET42" s="228">
        <v>646.37</v>
      </c>
      <c r="EU42" s="231">
        <v>1466.81</v>
      </c>
      <c r="EV42" s="231">
        <v>26647500</v>
      </c>
      <c r="EW42" s="231">
        <v>3051.25</v>
      </c>
      <c r="EX42" s="231">
        <v>2956.2</v>
      </c>
      <c r="EY42" s="228">
        <v>95.05</v>
      </c>
      <c r="EZ42" s="229">
        <v>3.2199999999999999E-2</v>
      </c>
      <c r="FA42" s="229">
        <v>0.90400000000000003</v>
      </c>
      <c r="FB42" s="227" t="s">
        <v>567</v>
      </c>
      <c r="FC42">
        <f t="shared" si="0"/>
        <v>233</v>
      </c>
    </row>
    <row r="43" spans="1:159" ht="17.25" hidden="1" thickBot="1" x14ac:dyDescent="0.3">
      <c r="A43" s="226">
        <v>46093</v>
      </c>
      <c r="B43" s="227" t="s">
        <v>161</v>
      </c>
      <c r="C43" s="227" t="s">
        <v>612</v>
      </c>
      <c r="D43" s="228">
        <v>850</v>
      </c>
      <c r="E43" s="228">
        <v>18</v>
      </c>
      <c r="F43" s="228">
        <v>740</v>
      </c>
      <c r="G43" s="228">
        <v>727.6</v>
      </c>
      <c r="H43" s="228">
        <v>12.4</v>
      </c>
      <c r="I43" s="229">
        <v>1.7000000000000001E-2</v>
      </c>
      <c r="J43" s="228">
        <v>737.3</v>
      </c>
      <c r="K43" s="228">
        <v>726.3</v>
      </c>
      <c r="L43" s="228">
        <v>11</v>
      </c>
      <c r="M43" s="229">
        <v>1.5100000000000001E-2</v>
      </c>
      <c r="N43" s="228">
        <v>740</v>
      </c>
      <c r="O43" s="228">
        <v>727.6</v>
      </c>
      <c r="P43" s="228">
        <v>12.4</v>
      </c>
      <c r="Q43" s="229">
        <v>1.7000000000000001E-2</v>
      </c>
      <c r="R43" s="228">
        <v>744.1</v>
      </c>
      <c r="S43" s="228">
        <v>731.7</v>
      </c>
      <c r="T43" s="228">
        <v>12.4</v>
      </c>
      <c r="U43" s="229">
        <v>1.6899999999999998E-2</v>
      </c>
      <c r="V43" s="228">
        <v>744</v>
      </c>
      <c r="W43" s="228">
        <v>734.55</v>
      </c>
      <c r="X43" s="228">
        <v>9.4499999999999993</v>
      </c>
      <c r="Y43" s="229">
        <v>1.29E-2</v>
      </c>
      <c r="Z43" s="228">
        <v>2.7</v>
      </c>
      <c r="AA43" s="228">
        <v>1.3</v>
      </c>
      <c r="AB43" s="228">
        <v>1.4</v>
      </c>
      <c r="AC43" s="229">
        <v>3.7000000000000002E-3</v>
      </c>
      <c r="AD43" s="228">
        <v>2.7</v>
      </c>
      <c r="AE43" s="228">
        <v>1.3</v>
      </c>
      <c r="AF43" s="228">
        <v>1.4</v>
      </c>
      <c r="AG43" s="229">
        <v>3.7000000000000002E-3</v>
      </c>
      <c r="AH43" s="228">
        <v>6.8</v>
      </c>
      <c r="AI43" s="228">
        <v>5.4</v>
      </c>
      <c r="AJ43" s="228">
        <v>1.4</v>
      </c>
      <c r="AK43" s="229">
        <v>9.1999999999999998E-3</v>
      </c>
      <c r="AL43" s="228">
        <v>6.7</v>
      </c>
      <c r="AM43" s="228">
        <v>8.25</v>
      </c>
      <c r="AN43" s="228">
        <v>-1.55</v>
      </c>
      <c r="AO43" s="229">
        <v>9.1000000000000004E-3</v>
      </c>
      <c r="AP43" s="228">
        <v>729.2</v>
      </c>
      <c r="AQ43" s="228">
        <v>730.33</v>
      </c>
      <c r="AR43" s="228">
        <v>0</v>
      </c>
      <c r="AS43" s="228">
        <v>356</v>
      </c>
      <c r="AT43" s="228">
        <v>240</v>
      </c>
      <c r="AU43" s="228">
        <v>116</v>
      </c>
      <c r="AV43" s="229">
        <v>0.48480000000000001</v>
      </c>
      <c r="AW43" s="228">
        <v>335</v>
      </c>
      <c r="AX43" s="228">
        <v>225</v>
      </c>
      <c r="AY43" s="228">
        <v>110</v>
      </c>
      <c r="AZ43" s="229">
        <v>0.4874</v>
      </c>
      <c r="BA43" s="228">
        <v>19</v>
      </c>
      <c r="BB43" s="228">
        <v>13</v>
      </c>
      <c r="BC43" s="228">
        <v>6</v>
      </c>
      <c r="BD43" s="229">
        <v>0.45540000000000003</v>
      </c>
      <c r="BE43" s="228">
        <v>1</v>
      </c>
      <c r="BF43" s="228">
        <v>1</v>
      </c>
      <c r="BG43" s="228">
        <v>0</v>
      </c>
      <c r="BH43" s="229">
        <v>0.26669999999999999</v>
      </c>
      <c r="BI43" s="230">
        <v>1220</v>
      </c>
      <c r="BJ43" s="228">
        <v>782</v>
      </c>
      <c r="BK43" s="228">
        <v>438</v>
      </c>
      <c r="BL43" s="229">
        <v>0.56030000000000002</v>
      </c>
      <c r="BM43" s="228">
        <v>398</v>
      </c>
      <c r="BN43" s="228">
        <v>303</v>
      </c>
      <c r="BO43" s="228">
        <v>95</v>
      </c>
      <c r="BP43" s="229">
        <v>0.31430000000000002</v>
      </c>
      <c r="BQ43" s="230">
        <v>1974</v>
      </c>
      <c r="BR43" s="230">
        <v>1325</v>
      </c>
      <c r="BS43" s="228">
        <v>650</v>
      </c>
      <c r="BT43" s="229">
        <v>0.49030000000000001</v>
      </c>
      <c r="BU43" s="230">
        <v>3817325</v>
      </c>
      <c r="BV43" s="230">
        <v>2883149</v>
      </c>
      <c r="BW43" s="230">
        <v>934176</v>
      </c>
      <c r="BX43" s="229">
        <v>0.32400000000000001</v>
      </c>
      <c r="BY43" s="230">
        <v>1281</v>
      </c>
      <c r="BZ43" s="230">
        <v>1240</v>
      </c>
      <c r="CA43" s="228">
        <v>40</v>
      </c>
      <c r="CB43" s="229">
        <v>3.2399999999999998E-2</v>
      </c>
      <c r="CC43" s="230">
        <v>1260</v>
      </c>
      <c r="CD43" s="230">
        <v>1222</v>
      </c>
      <c r="CE43" s="228">
        <v>38</v>
      </c>
      <c r="CF43" s="229">
        <v>3.1399999999999997E-2</v>
      </c>
      <c r="CG43" s="228">
        <v>19</v>
      </c>
      <c r="CH43" s="228">
        <v>17</v>
      </c>
      <c r="CI43" s="228">
        <v>2</v>
      </c>
      <c r="CJ43" s="229">
        <v>0.1018</v>
      </c>
      <c r="CK43" s="228">
        <v>1</v>
      </c>
      <c r="CL43" s="228">
        <v>1</v>
      </c>
      <c r="CM43" s="228">
        <v>0</v>
      </c>
      <c r="CN43" s="229">
        <v>4.7600000000000003E-2</v>
      </c>
      <c r="CO43" s="228">
        <v>379</v>
      </c>
      <c r="CP43" s="228">
        <v>324</v>
      </c>
      <c r="CQ43" s="228">
        <v>54</v>
      </c>
      <c r="CR43" s="229">
        <v>0.16789999999999999</v>
      </c>
      <c r="CS43" s="228">
        <v>250</v>
      </c>
      <c r="CT43" s="228">
        <v>223</v>
      </c>
      <c r="CU43" s="228">
        <v>27</v>
      </c>
      <c r="CV43" s="229">
        <v>0.1188</v>
      </c>
      <c r="CW43" s="230">
        <v>1909</v>
      </c>
      <c r="CX43" s="230">
        <v>1788</v>
      </c>
      <c r="CY43" s="228">
        <v>121</v>
      </c>
      <c r="CZ43" s="229">
        <v>6.7799999999999999E-2</v>
      </c>
      <c r="DA43" s="228">
        <v>39.57</v>
      </c>
      <c r="DB43" s="228">
        <v>38.26</v>
      </c>
      <c r="DC43" s="228">
        <v>1.31</v>
      </c>
      <c r="DD43" s="228">
        <v>1.31</v>
      </c>
      <c r="DE43" s="228">
        <v>41.82</v>
      </c>
      <c r="DF43" s="228">
        <v>41.86</v>
      </c>
      <c r="DG43" s="228">
        <v>-2.25</v>
      </c>
      <c r="DH43" s="228">
        <v>-0.04</v>
      </c>
      <c r="DI43" s="228">
        <v>38.92</v>
      </c>
      <c r="DJ43" s="228">
        <v>38.049999999999997</v>
      </c>
      <c r="DK43" s="228">
        <v>0.87</v>
      </c>
      <c r="DL43" s="228">
        <v>0.87</v>
      </c>
      <c r="DM43" s="228">
        <v>41.53</v>
      </c>
      <c r="DN43" s="228">
        <v>38.799999999999997</v>
      </c>
      <c r="DO43" s="228">
        <v>2.73</v>
      </c>
      <c r="DP43" s="228">
        <v>2.73</v>
      </c>
      <c r="DQ43" s="228">
        <v>0.66</v>
      </c>
      <c r="DR43" s="228">
        <v>0.69</v>
      </c>
      <c r="DS43" s="228">
        <v>-0.03</v>
      </c>
      <c r="DT43" s="229">
        <v>-4.3499999999999997E-2</v>
      </c>
      <c r="DU43" s="228">
        <v>800</v>
      </c>
      <c r="DV43" s="228">
        <v>650</v>
      </c>
      <c r="DW43" s="228">
        <v>0.33</v>
      </c>
      <c r="DX43" s="228">
        <v>0.39</v>
      </c>
      <c r="DY43" s="228">
        <v>-0.06</v>
      </c>
      <c r="DZ43" s="229">
        <v>-0.15379999999999999</v>
      </c>
      <c r="EA43" s="229">
        <v>1.6E-2</v>
      </c>
      <c r="EB43" s="230">
        <v>251600</v>
      </c>
      <c r="EC43" s="229">
        <v>5.4999999999999997E-3</v>
      </c>
      <c r="ED43" s="229">
        <v>1.6E-2</v>
      </c>
      <c r="EE43" s="228">
        <v>1.1299999999999999</v>
      </c>
      <c r="EF43" s="229">
        <v>1.5E-3</v>
      </c>
      <c r="EG43" s="230">
        <v>1534158</v>
      </c>
      <c r="EH43" s="230">
        <v>1209727</v>
      </c>
      <c r="EI43" s="229">
        <v>0.26819999999999999</v>
      </c>
      <c r="EJ43" s="229">
        <v>0.40189999999999998</v>
      </c>
      <c r="EK43" s="231">
        <v>1277.31</v>
      </c>
      <c r="EL43" s="228">
        <v>389.6</v>
      </c>
      <c r="EM43" s="228">
        <v>350.47</v>
      </c>
      <c r="EN43" s="228">
        <v>34.68</v>
      </c>
      <c r="EO43" s="231">
        <v>2017.38</v>
      </c>
      <c r="EP43" s="231">
        <v>1359.37</v>
      </c>
      <c r="EQ43" s="228">
        <v>658.01</v>
      </c>
      <c r="ER43" s="229">
        <v>0.48409999999999997</v>
      </c>
      <c r="ES43" s="228">
        <v>383.29</v>
      </c>
      <c r="ET43" s="228">
        <v>231.72</v>
      </c>
      <c r="EU43" s="231">
        <v>1280.6300000000001</v>
      </c>
      <c r="EV43" s="231">
        <v>103060454</v>
      </c>
      <c r="EW43" s="231">
        <v>1895.65</v>
      </c>
      <c r="EX43" s="231">
        <v>1752.72</v>
      </c>
      <c r="EY43" s="228">
        <v>142.93</v>
      </c>
      <c r="EZ43" s="229">
        <v>8.1500000000000003E-2</v>
      </c>
      <c r="FA43" s="229">
        <v>0.25030000000000002</v>
      </c>
      <c r="FB43" s="227" t="s">
        <v>555</v>
      </c>
      <c r="FC43">
        <f t="shared" si="0"/>
        <v>21</v>
      </c>
    </row>
    <row r="44" spans="1:159" ht="17.25" hidden="1" thickBot="1" x14ac:dyDescent="0.3">
      <c r="A44" s="226">
        <v>46093</v>
      </c>
      <c r="B44" s="227" t="s">
        <v>175</v>
      </c>
      <c r="C44" s="227" t="s">
        <v>198</v>
      </c>
      <c r="D44" s="228">
        <v>625</v>
      </c>
      <c r="E44" s="228">
        <v>18</v>
      </c>
      <c r="F44" s="231">
        <v>1532</v>
      </c>
      <c r="G44" s="231">
        <v>1561.1</v>
      </c>
      <c r="H44" s="228">
        <v>-29.1</v>
      </c>
      <c r="I44" s="229">
        <v>-1.8599999999999998E-2</v>
      </c>
      <c r="J44" s="231">
        <v>1526.1</v>
      </c>
      <c r="K44" s="231">
        <v>1557.4</v>
      </c>
      <c r="L44" s="228">
        <v>-31.3</v>
      </c>
      <c r="M44" s="229">
        <v>-2.01E-2</v>
      </c>
      <c r="N44" s="231">
        <v>1532</v>
      </c>
      <c r="O44" s="231">
        <v>1561.1</v>
      </c>
      <c r="P44" s="228">
        <v>-29.1</v>
      </c>
      <c r="Q44" s="229">
        <v>-1.8599999999999998E-2</v>
      </c>
      <c r="R44" s="231">
        <v>1542.2</v>
      </c>
      <c r="S44" s="231">
        <v>1569.9</v>
      </c>
      <c r="T44" s="228">
        <v>-27.7</v>
      </c>
      <c r="U44" s="229">
        <v>-1.7600000000000001E-2</v>
      </c>
      <c r="V44" s="231">
        <v>1571.2</v>
      </c>
      <c r="W44" s="231">
        <v>1577.2</v>
      </c>
      <c r="X44" s="228">
        <v>-6</v>
      </c>
      <c r="Y44" s="229">
        <v>-3.8E-3</v>
      </c>
      <c r="Z44" s="228">
        <v>5.9</v>
      </c>
      <c r="AA44" s="228">
        <v>3.7</v>
      </c>
      <c r="AB44" s="228">
        <v>2.2000000000000002</v>
      </c>
      <c r="AC44" s="229">
        <v>3.8999999999999998E-3</v>
      </c>
      <c r="AD44" s="228">
        <v>5.9</v>
      </c>
      <c r="AE44" s="228">
        <v>3.7</v>
      </c>
      <c r="AF44" s="228">
        <v>2.2000000000000002</v>
      </c>
      <c r="AG44" s="229">
        <v>3.8999999999999998E-3</v>
      </c>
      <c r="AH44" s="228">
        <v>16.100000000000001</v>
      </c>
      <c r="AI44" s="228">
        <v>12.5</v>
      </c>
      <c r="AJ44" s="228">
        <v>3.6</v>
      </c>
      <c r="AK44" s="229">
        <v>1.0500000000000001E-2</v>
      </c>
      <c r="AL44" s="228">
        <v>45.1</v>
      </c>
      <c r="AM44" s="228">
        <v>19.8</v>
      </c>
      <c r="AN44" s="228">
        <v>25.3</v>
      </c>
      <c r="AO44" s="229">
        <v>2.9600000000000001E-2</v>
      </c>
      <c r="AP44" s="231">
        <v>1535.58</v>
      </c>
      <c r="AQ44" s="231">
        <v>1544.04</v>
      </c>
      <c r="AR44" s="228">
        <v>0</v>
      </c>
      <c r="AS44" s="228">
        <v>378</v>
      </c>
      <c r="AT44" s="228">
        <v>431</v>
      </c>
      <c r="AU44" s="228">
        <v>-52</v>
      </c>
      <c r="AV44" s="229">
        <v>-0.12139999999999999</v>
      </c>
      <c r="AW44" s="228">
        <v>359</v>
      </c>
      <c r="AX44" s="228">
        <v>413</v>
      </c>
      <c r="AY44" s="228">
        <v>-54</v>
      </c>
      <c r="AZ44" s="229">
        <v>-0.13139999999999999</v>
      </c>
      <c r="BA44" s="228">
        <v>18</v>
      </c>
      <c r="BB44" s="228">
        <v>14</v>
      </c>
      <c r="BC44" s="228">
        <v>4</v>
      </c>
      <c r="BD44" s="229">
        <v>0.26669999999999999</v>
      </c>
      <c r="BE44" s="228">
        <v>1</v>
      </c>
      <c r="BF44" s="228">
        <v>3</v>
      </c>
      <c r="BG44" s="228">
        <v>-2</v>
      </c>
      <c r="BH44" s="229">
        <v>-0.57579999999999998</v>
      </c>
      <c r="BI44" s="228">
        <v>618</v>
      </c>
      <c r="BJ44" s="228">
        <v>648</v>
      </c>
      <c r="BK44" s="228">
        <v>-30</v>
      </c>
      <c r="BL44" s="229">
        <v>-4.5999999999999999E-2</v>
      </c>
      <c r="BM44" s="228">
        <v>485</v>
      </c>
      <c r="BN44" s="228">
        <v>734</v>
      </c>
      <c r="BO44" s="228">
        <v>-248</v>
      </c>
      <c r="BP44" s="229">
        <v>-0.33839999999999998</v>
      </c>
      <c r="BQ44" s="230">
        <v>1482</v>
      </c>
      <c r="BR44" s="230">
        <v>1812</v>
      </c>
      <c r="BS44" s="228">
        <v>-330</v>
      </c>
      <c r="BT44" s="229">
        <v>-0.18229999999999999</v>
      </c>
      <c r="BU44" s="230">
        <v>2393863</v>
      </c>
      <c r="BV44" s="230">
        <v>1666891</v>
      </c>
      <c r="BW44" s="230">
        <v>726972</v>
      </c>
      <c r="BX44" s="229">
        <v>0.43609999999999999</v>
      </c>
      <c r="BY44" s="230">
        <v>2628</v>
      </c>
      <c r="BZ44" s="230">
        <v>2556</v>
      </c>
      <c r="CA44" s="228">
        <v>73</v>
      </c>
      <c r="CB44" s="229">
        <v>2.8400000000000002E-2</v>
      </c>
      <c r="CC44" s="230">
        <v>2594</v>
      </c>
      <c r="CD44" s="230">
        <v>2528</v>
      </c>
      <c r="CE44" s="228">
        <v>66</v>
      </c>
      <c r="CF44" s="229">
        <v>2.6200000000000001E-2</v>
      </c>
      <c r="CG44" s="228">
        <v>31</v>
      </c>
      <c r="CH44" s="228">
        <v>25</v>
      </c>
      <c r="CI44" s="228">
        <v>6</v>
      </c>
      <c r="CJ44" s="229">
        <v>0.23949999999999999</v>
      </c>
      <c r="CK44" s="228">
        <v>3</v>
      </c>
      <c r="CL44" s="228">
        <v>3</v>
      </c>
      <c r="CM44" s="228">
        <v>0</v>
      </c>
      <c r="CN44" s="229">
        <v>0.1724</v>
      </c>
      <c r="CO44" s="228">
        <v>645</v>
      </c>
      <c r="CP44" s="228">
        <v>585</v>
      </c>
      <c r="CQ44" s="228">
        <v>61</v>
      </c>
      <c r="CR44" s="229">
        <v>0.1036</v>
      </c>
      <c r="CS44" s="228">
        <v>496</v>
      </c>
      <c r="CT44" s="228">
        <v>499</v>
      </c>
      <c r="CU44" s="228">
        <v>-3</v>
      </c>
      <c r="CV44" s="229">
        <v>-6.7000000000000002E-3</v>
      </c>
      <c r="CW44" s="230">
        <v>3769</v>
      </c>
      <c r="CX44" s="230">
        <v>3639</v>
      </c>
      <c r="CY44" s="228">
        <v>130</v>
      </c>
      <c r="CZ44" s="229">
        <v>3.5700000000000003E-2</v>
      </c>
      <c r="DA44" s="228">
        <v>37.85</v>
      </c>
      <c r="DB44" s="228">
        <v>37.53</v>
      </c>
      <c r="DC44" s="228">
        <v>0.32</v>
      </c>
      <c r="DD44" s="228">
        <v>0.32</v>
      </c>
      <c r="DE44" s="228">
        <v>37.43</v>
      </c>
      <c r="DF44" s="228">
        <v>37.42</v>
      </c>
      <c r="DG44" s="228">
        <v>0.42</v>
      </c>
      <c r="DH44" s="228">
        <v>0.01</v>
      </c>
      <c r="DI44" s="228">
        <v>36.5</v>
      </c>
      <c r="DJ44" s="228">
        <v>35.68</v>
      </c>
      <c r="DK44" s="228">
        <v>0.82</v>
      </c>
      <c r="DL44" s="228">
        <v>0.82</v>
      </c>
      <c r="DM44" s="228">
        <v>39.56</v>
      </c>
      <c r="DN44" s="228">
        <v>39.15</v>
      </c>
      <c r="DO44" s="228">
        <v>0.41</v>
      </c>
      <c r="DP44" s="228">
        <v>0.41</v>
      </c>
      <c r="DQ44" s="228">
        <v>0.77</v>
      </c>
      <c r="DR44" s="228">
        <v>0.85</v>
      </c>
      <c r="DS44" s="228">
        <v>-0.08</v>
      </c>
      <c r="DT44" s="229">
        <v>-9.4100000000000003E-2</v>
      </c>
      <c r="DU44" s="231">
        <v>1700</v>
      </c>
      <c r="DV44" s="231">
        <v>1600</v>
      </c>
      <c r="DW44" s="228">
        <v>0.79</v>
      </c>
      <c r="DX44" s="228">
        <v>1.1299999999999999</v>
      </c>
      <c r="DY44" s="228">
        <v>-0.34</v>
      </c>
      <c r="DZ44" s="229">
        <v>-0.3009</v>
      </c>
      <c r="EA44" s="229">
        <v>1.3100000000000001E-2</v>
      </c>
      <c r="EB44" s="230">
        <v>182500</v>
      </c>
      <c r="EC44" s="229">
        <v>6.7000000000000002E-3</v>
      </c>
      <c r="ED44" s="229">
        <v>1.3100000000000001E-2</v>
      </c>
      <c r="EE44" s="228">
        <v>8.4600000000000009</v>
      </c>
      <c r="EF44" s="229">
        <v>5.4999999999999997E-3</v>
      </c>
      <c r="EG44" s="230">
        <v>1541975</v>
      </c>
      <c r="EH44" s="230">
        <v>881232</v>
      </c>
      <c r="EI44" s="229">
        <v>0.74980000000000002</v>
      </c>
      <c r="EJ44" s="229">
        <v>0.64410000000000001</v>
      </c>
      <c r="EK44" s="228">
        <v>671.01</v>
      </c>
      <c r="EL44" s="228">
        <v>487.33</v>
      </c>
      <c r="EM44" s="228">
        <v>379.5</v>
      </c>
      <c r="EN44" s="228">
        <v>39.32</v>
      </c>
      <c r="EO44" s="231">
        <v>1537.84</v>
      </c>
      <c r="EP44" s="231">
        <v>1918.88</v>
      </c>
      <c r="EQ44" s="228">
        <v>-381.03</v>
      </c>
      <c r="ER44" s="229">
        <v>-0.1986</v>
      </c>
      <c r="ES44" s="228">
        <v>718.98</v>
      </c>
      <c r="ET44" s="228">
        <v>516.55999999999995</v>
      </c>
      <c r="EU44" s="231">
        <v>2628.63</v>
      </c>
      <c r="EV44" s="231">
        <v>63257923</v>
      </c>
      <c r="EW44" s="231">
        <v>3864.17</v>
      </c>
      <c r="EX44" s="231">
        <v>3782.43</v>
      </c>
      <c r="EY44" s="228">
        <v>81.739999999999995</v>
      </c>
      <c r="EZ44" s="229">
        <v>2.1600000000000001E-2</v>
      </c>
      <c r="FA44" s="229">
        <v>0.38900000000000001</v>
      </c>
      <c r="FB44" s="227" t="s">
        <v>567</v>
      </c>
      <c r="FC44">
        <f t="shared" si="0"/>
        <v>34</v>
      </c>
    </row>
    <row r="45" spans="1:159" ht="17.25" hidden="1" thickBot="1" x14ac:dyDescent="0.3">
      <c r="A45" s="226">
        <v>46093</v>
      </c>
      <c r="B45" s="227" t="s">
        <v>170</v>
      </c>
      <c r="C45" s="227" t="s">
        <v>199</v>
      </c>
      <c r="D45" s="228">
        <v>375</v>
      </c>
      <c r="E45" s="228">
        <v>18</v>
      </c>
      <c r="F45" s="231">
        <v>1329.8</v>
      </c>
      <c r="G45" s="231">
        <v>1330.2</v>
      </c>
      <c r="H45" s="228">
        <v>-0.4</v>
      </c>
      <c r="I45" s="229">
        <v>-2.9999999999999997E-4</v>
      </c>
      <c r="J45" s="231">
        <v>1324.3</v>
      </c>
      <c r="K45" s="231">
        <v>1329.5</v>
      </c>
      <c r="L45" s="228">
        <v>-5.2</v>
      </c>
      <c r="M45" s="229">
        <v>-3.8999999999999998E-3</v>
      </c>
      <c r="N45" s="231">
        <v>1329.8</v>
      </c>
      <c r="O45" s="231">
        <v>1330.2</v>
      </c>
      <c r="P45" s="228">
        <v>-0.4</v>
      </c>
      <c r="Q45" s="229">
        <v>-2.9999999999999997E-4</v>
      </c>
      <c r="R45" s="231">
        <v>1338</v>
      </c>
      <c r="S45" s="231">
        <v>1339.3</v>
      </c>
      <c r="T45" s="228">
        <v>-1.3</v>
      </c>
      <c r="U45" s="229">
        <v>-1E-3</v>
      </c>
      <c r="V45" s="231">
        <v>1345.8</v>
      </c>
      <c r="W45" s="231">
        <v>1342.4</v>
      </c>
      <c r="X45" s="228">
        <v>3.4</v>
      </c>
      <c r="Y45" s="229">
        <v>2.5000000000000001E-3</v>
      </c>
      <c r="Z45" s="228">
        <v>5.5</v>
      </c>
      <c r="AA45" s="228">
        <v>0.7</v>
      </c>
      <c r="AB45" s="228">
        <v>4.8</v>
      </c>
      <c r="AC45" s="229">
        <v>4.1999999999999997E-3</v>
      </c>
      <c r="AD45" s="228">
        <v>5.5</v>
      </c>
      <c r="AE45" s="228">
        <v>0.7</v>
      </c>
      <c r="AF45" s="228">
        <v>4.8</v>
      </c>
      <c r="AG45" s="229">
        <v>4.1999999999999997E-3</v>
      </c>
      <c r="AH45" s="228">
        <v>13.7</v>
      </c>
      <c r="AI45" s="228">
        <v>9.8000000000000007</v>
      </c>
      <c r="AJ45" s="228">
        <v>3.9</v>
      </c>
      <c r="AK45" s="229">
        <v>1.03E-2</v>
      </c>
      <c r="AL45" s="228">
        <v>21.5</v>
      </c>
      <c r="AM45" s="228">
        <v>12.9</v>
      </c>
      <c r="AN45" s="228">
        <v>8.6</v>
      </c>
      <c r="AO45" s="229">
        <v>1.6199999999999999E-2</v>
      </c>
      <c r="AP45" s="231">
        <v>1331.66</v>
      </c>
      <c r="AQ45" s="231">
        <v>1338.84</v>
      </c>
      <c r="AR45" s="228">
        <v>0</v>
      </c>
      <c r="AS45" s="228">
        <v>198</v>
      </c>
      <c r="AT45" s="228">
        <v>190</v>
      </c>
      <c r="AU45" s="228">
        <v>7</v>
      </c>
      <c r="AV45" s="229">
        <v>3.9300000000000002E-2</v>
      </c>
      <c r="AW45" s="228">
        <v>173</v>
      </c>
      <c r="AX45" s="228">
        <v>182</v>
      </c>
      <c r="AY45" s="228">
        <v>-8</v>
      </c>
      <c r="AZ45" s="229">
        <v>-4.53E-2</v>
      </c>
      <c r="BA45" s="228">
        <v>23</v>
      </c>
      <c r="BB45" s="228">
        <v>8</v>
      </c>
      <c r="BC45" s="228">
        <v>16</v>
      </c>
      <c r="BD45" s="229">
        <v>1.9873000000000001</v>
      </c>
      <c r="BE45" s="228">
        <v>1</v>
      </c>
      <c r="BF45" s="228">
        <v>1</v>
      </c>
      <c r="BG45" s="228">
        <v>0</v>
      </c>
      <c r="BH45" s="229">
        <v>0.21429999999999999</v>
      </c>
      <c r="BI45" s="230">
        <v>1247</v>
      </c>
      <c r="BJ45" s="228">
        <v>604</v>
      </c>
      <c r="BK45" s="228">
        <v>642</v>
      </c>
      <c r="BL45" s="229">
        <v>1.0627</v>
      </c>
      <c r="BM45" s="228">
        <v>401</v>
      </c>
      <c r="BN45" s="228">
        <v>202</v>
      </c>
      <c r="BO45" s="228">
        <v>199</v>
      </c>
      <c r="BP45" s="229">
        <v>0.9859</v>
      </c>
      <c r="BQ45" s="230">
        <v>1845</v>
      </c>
      <c r="BR45" s="228">
        <v>996</v>
      </c>
      <c r="BS45" s="228">
        <v>849</v>
      </c>
      <c r="BT45" s="229">
        <v>0.8518</v>
      </c>
      <c r="BU45" s="230">
        <v>1565307</v>
      </c>
      <c r="BV45" s="230">
        <v>1285997</v>
      </c>
      <c r="BW45" s="230">
        <v>279310</v>
      </c>
      <c r="BX45" s="229">
        <v>0.2172</v>
      </c>
      <c r="BY45" s="230">
        <v>1729</v>
      </c>
      <c r="BZ45" s="230">
        <v>1731</v>
      </c>
      <c r="CA45" s="228">
        <v>-2</v>
      </c>
      <c r="CB45" s="229">
        <v>-1.4E-3</v>
      </c>
      <c r="CC45" s="230">
        <v>1689</v>
      </c>
      <c r="CD45" s="230">
        <v>1699</v>
      </c>
      <c r="CE45" s="228">
        <v>-10</v>
      </c>
      <c r="CF45" s="229">
        <v>-6.0000000000000001E-3</v>
      </c>
      <c r="CG45" s="228">
        <v>35</v>
      </c>
      <c r="CH45" s="228">
        <v>27</v>
      </c>
      <c r="CI45" s="228">
        <v>8</v>
      </c>
      <c r="CJ45" s="229">
        <v>0.29289999999999999</v>
      </c>
      <c r="CK45" s="228">
        <v>5</v>
      </c>
      <c r="CL45" s="228">
        <v>5</v>
      </c>
      <c r="CM45" s="228">
        <v>0</v>
      </c>
      <c r="CN45" s="229">
        <v>0</v>
      </c>
      <c r="CO45" s="230">
        <v>1104</v>
      </c>
      <c r="CP45" s="228">
        <v>992</v>
      </c>
      <c r="CQ45" s="228">
        <v>112</v>
      </c>
      <c r="CR45" s="229">
        <v>0.1129</v>
      </c>
      <c r="CS45" s="228">
        <v>453</v>
      </c>
      <c r="CT45" s="228">
        <v>419</v>
      </c>
      <c r="CU45" s="228">
        <v>34</v>
      </c>
      <c r="CV45" s="229">
        <v>8.1100000000000005E-2</v>
      </c>
      <c r="CW45" s="230">
        <v>3285</v>
      </c>
      <c r="CX45" s="230">
        <v>3142</v>
      </c>
      <c r="CY45" s="228">
        <v>144</v>
      </c>
      <c r="CZ45" s="229">
        <v>4.5699999999999998E-2</v>
      </c>
      <c r="DA45" s="228">
        <v>23.14</v>
      </c>
      <c r="DB45" s="228">
        <v>22.36</v>
      </c>
      <c r="DC45" s="228">
        <v>0.78</v>
      </c>
      <c r="DD45" s="228">
        <v>0.78</v>
      </c>
      <c r="DE45" s="228">
        <v>25.01</v>
      </c>
      <c r="DF45" s="228">
        <v>25.07</v>
      </c>
      <c r="DG45" s="228">
        <v>-1.87</v>
      </c>
      <c r="DH45" s="228">
        <v>-0.06</v>
      </c>
      <c r="DI45" s="228">
        <v>22.39</v>
      </c>
      <c r="DJ45" s="228">
        <v>21.56</v>
      </c>
      <c r="DK45" s="228">
        <v>0.83</v>
      </c>
      <c r="DL45" s="228">
        <v>0.83</v>
      </c>
      <c r="DM45" s="228">
        <v>25.46</v>
      </c>
      <c r="DN45" s="228">
        <v>24.78</v>
      </c>
      <c r="DO45" s="228">
        <v>0.68</v>
      </c>
      <c r="DP45" s="228">
        <v>0.68</v>
      </c>
      <c r="DQ45" s="228">
        <v>0.41</v>
      </c>
      <c r="DR45" s="228">
        <v>0.42</v>
      </c>
      <c r="DS45" s="228">
        <v>-0.01</v>
      </c>
      <c r="DT45" s="229">
        <v>-2.3800000000000002E-2</v>
      </c>
      <c r="DU45" s="231">
        <v>1350</v>
      </c>
      <c r="DV45" s="231">
        <v>1260</v>
      </c>
      <c r="DW45" s="228">
        <v>0.32</v>
      </c>
      <c r="DX45" s="228">
        <v>0.33</v>
      </c>
      <c r="DY45" s="228">
        <v>-0.01</v>
      </c>
      <c r="DZ45" s="229">
        <v>-3.0300000000000001E-2</v>
      </c>
      <c r="EA45" s="229">
        <v>2.3099999999999999E-2</v>
      </c>
      <c r="EB45" s="230">
        <v>241500</v>
      </c>
      <c r="EC45" s="229">
        <v>6.1999999999999998E-3</v>
      </c>
      <c r="ED45" s="229">
        <v>2.3099999999999999E-2</v>
      </c>
      <c r="EE45" s="228">
        <v>7.18</v>
      </c>
      <c r="EF45" s="229">
        <v>5.4000000000000003E-3</v>
      </c>
      <c r="EG45" s="230">
        <v>950088</v>
      </c>
      <c r="EH45" s="230">
        <v>798717</v>
      </c>
      <c r="EI45" s="229">
        <v>0.1895</v>
      </c>
      <c r="EJ45" s="229">
        <v>0.60699999999999998</v>
      </c>
      <c r="EK45" s="231">
        <v>1289.29</v>
      </c>
      <c r="EL45" s="228">
        <v>396.87</v>
      </c>
      <c r="EM45" s="228">
        <v>198.09</v>
      </c>
      <c r="EN45" s="228">
        <v>34.799999999999997</v>
      </c>
      <c r="EO45" s="231">
        <v>1884.25</v>
      </c>
      <c r="EP45" s="231">
        <v>1018.67</v>
      </c>
      <c r="EQ45" s="228">
        <v>865.58</v>
      </c>
      <c r="ER45" s="229">
        <v>0.84970000000000001</v>
      </c>
      <c r="ES45" s="231">
        <v>1153.54</v>
      </c>
      <c r="ET45" s="228">
        <v>440.02</v>
      </c>
      <c r="EU45" s="231">
        <v>1728.79</v>
      </c>
      <c r="EV45" s="231">
        <v>59297360</v>
      </c>
      <c r="EW45" s="231">
        <v>3322.34</v>
      </c>
      <c r="EX45" s="231">
        <v>3177.94</v>
      </c>
      <c r="EY45" s="228">
        <v>144.4</v>
      </c>
      <c r="EZ45" s="229">
        <v>4.5400000000000003E-2</v>
      </c>
      <c r="FA45" s="229">
        <v>0.41660000000000003</v>
      </c>
      <c r="FB45" s="227" t="s">
        <v>568</v>
      </c>
      <c r="FC45">
        <f t="shared" si="0"/>
        <v>40</v>
      </c>
    </row>
    <row r="46" spans="1:159" ht="17.25" hidden="1" thickBot="1" x14ac:dyDescent="0.3">
      <c r="A46" s="226">
        <v>46093</v>
      </c>
      <c r="B46" s="227" t="s">
        <v>227</v>
      </c>
      <c r="C46" s="227" t="s">
        <v>200</v>
      </c>
      <c r="D46" s="228">
        <v>1350</v>
      </c>
      <c r="E46" s="228">
        <v>18</v>
      </c>
      <c r="F46" s="228">
        <v>470.55</v>
      </c>
      <c r="G46" s="228">
        <v>448.45</v>
      </c>
      <c r="H46" s="228">
        <v>22.1</v>
      </c>
      <c r="I46" s="229">
        <v>4.9299999999999997E-2</v>
      </c>
      <c r="J46" s="228">
        <v>470.1</v>
      </c>
      <c r="K46" s="228">
        <v>446.75</v>
      </c>
      <c r="L46" s="228">
        <v>23.35</v>
      </c>
      <c r="M46" s="229">
        <v>5.2299999999999999E-2</v>
      </c>
      <c r="N46" s="228">
        <v>470.55</v>
      </c>
      <c r="O46" s="228">
        <v>448.45</v>
      </c>
      <c r="P46" s="228">
        <v>22.1</v>
      </c>
      <c r="Q46" s="229">
        <v>4.9299999999999997E-2</v>
      </c>
      <c r="R46" s="228">
        <v>473.2</v>
      </c>
      <c r="S46" s="228">
        <v>451.25</v>
      </c>
      <c r="T46" s="228">
        <v>21.95</v>
      </c>
      <c r="U46" s="229">
        <v>4.8599999999999997E-2</v>
      </c>
      <c r="V46" s="228">
        <v>475.4</v>
      </c>
      <c r="W46" s="228">
        <v>453.5</v>
      </c>
      <c r="X46" s="228">
        <v>21.9</v>
      </c>
      <c r="Y46" s="229">
        <v>4.8300000000000003E-2</v>
      </c>
      <c r="Z46" s="228">
        <v>0.45</v>
      </c>
      <c r="AA46" s="228">
        <v>1.7</v>
      </c>
      <c r="AB46" s="228">
        <v>-1.25</v>
      </c>
      <c r="AC46" s="229">
        <v>1E-3</v>
      </c>
      <c r="AD46" s="228">
        <v>0.45</v>
      </c>
      <c r="AE46" s="228">
        <v>1.7</v>
      </c>
      <c r="AF46" s="228">
        <v>-1.25</v>
      </c>
      <c r="AG46" s="229">
        <v>1E-3</v>
      </c>
      <c r="AH46" s="228">
        <v>3.1</v>
      </c>
      <c r="AI46" s="228">
        <v>4.5</v>
      </c>
      <c r="AJ46" s="228">
        <v>-1.4</v>
      </c>
      <c r="AK46" s="229">
        <v>6.6E-3</v>
      </c>
      <c r="AL46" s="228">
        <v>5.3</v>
      </c>
      <c r="AM46" s="228">
        <v>6.75</v>
      </c>
      <c r="AN46" s="228">
        <v>-1.45</v>
      </c>
      <c r="AO46" s="229">
        <v>1.1299999999999999E-2</v>
      </c>
      <c r="AP46" s="228">
        <v>463.81</v>
      </c>
      <c r="AQ46" s="228">
        <v>467.43</v>
      </c>
      <c r="AR46" s="228">
        <v>0</v>
      </c>
      <c r="AS46" s="230">
        <v>1402</v>
      </c>
      <c r="AT46" s="228">
        <v>635</v>
      </c>
      <c r="AU46" s="228">
        <v>767</v>
      </c>
      <c r="AV46" s="229">
        <v>1.2069000000000001</v>
      </c>
      <c r="AW46" s="230">
        <v>1262</v>
      </c>
      <c r="AX46" s="228">
        <v>589</v>
      </c>
      <c r="AY46" s="228">
        <v>674</v>
      </c>
      <c r="AZ46" s="229">
        <v>1.1438999999999999</v>
      </c>
      <c r="BA46" s="228">
        <v>129</v>
      </c>
      <c r="BB46" s="228">
        <v>43</v>
      </c>
      <c r="BC46" s="228">
        <v>86</v>
      </c>
      <c r="BD46" s="229">
        <v>1.9941</v>
      </c>
      <c r="BE46" s="228">
        <v>11</v>
      </c>
      <c r="BF46" s="228">
        <v>4</v>
      </c>
      <c r="BG46" s="228">
        <v>8</v>
      </c>
      <c r="BH46" s="229">
        <v>2.0861999999999998</v>
      </c>
      <c r="BI46" s="230">
        <v>9562</v>
      </c>
      <c r="BJ46" s="230">
        <v>3112</v>
      </c>
      <c r="BK46" s="230">
        <v>6450</v>
      </c>
      <c r="BL46" s="229">
        <v>2.0726</v>
      </c>
      <c r="BM46" s="230">
        <v>3849</v>
      </c>
      <c r="BN46" s="230">
        <v>1490</v>
      </c>
      <c r="BO46" s="230">
        <v>2359</v>
      </c>
      <c r="BP46" s="229">
        <v>1.5834999999999999</v>
      </c>
      <c r="BQ46" s="230">
        <v>14813</v>
      </c>
      <c r="BR46" s="230">
        <v>5237</v>
      </c>
      <c r="BS46" s="230">
        <v>9576</v>
      </c>
      <c r="BT46" s="229">
        <v>1.8284</v>
      </c>
      <c r="BU46" s="230">
        <v>28382820</v>
      </c>
      <c r="BV46" s="230">
        <v>10402062</v>
      </c>
      <c r="BW46" s="230">
        <v>17980758</v>
      </c>
      <c r="BX46" s="229">
        <v>1.7285999999999999</v>
      </c>
      <c r="BY46" s="230">
        <v>2308</v>
      </c>
      <c r="BZ46" s="230">
        <v>2194</v>
      </c>
      <c r="CA46" s="228">
        <v>114</v>
      </c>
      <c r="CB46" s="229">
        <v>5.21E-2</v>
      </c>
      <c r="CC46" s="230">
        <v>2044</v>
      </c>
      <c r="CD46" s="230">
        <v>1938</v>
      </c>
      <c r="CE46" s="228">
        <v>106</v>
      </c>
      <c r="CF46" s="229">
        <v>5.4899999999999997E-2</v>
      </c>
      <c r="CG46" s="228">
        <v>254</v>
      </c>
      <c r="CH46" s="228">
        <v>247</v>
      </c>
      <c r="CI46" s="228">
        <v>7</v>
      </c>
      <c r="CJ46" s="229">
        <v>2.9100000000000001E-2</v>
      </c>
      <c r="CK46" s="228">
        <v>9</v>
      </c>
      <c r="CL46" s="228">
        <v>9</v>
      </c>
      <c r="CM46" s="228">
        <v>1</v>
      </c>
      <c r="CN46" s="229">
        <v>9.5600000000000004E-2</v>
      </c>
      <c r="CO46" s="230">
        <v>1745</v>
      </c>
      <c r="CP46" s="230">
        <v>1603</v>
      </c>
      <c r="CQ46" s="228">
        <v>142</v>
      </c>
      <c r="CR46" s="229">
        <v>8.8400000000000006E-2</v>
      </c>
      <c r="CS46" s="230">
        <v>1289</v>
      </c>
      <c r="CT46" s="230">
        <v>1042</v>
      </c>
      <c r="CU46" s="228">
        <v>247</v>
      </c>
      <c r="CV46" s="229">
        <v>0.23730000000000001</v>
      </c>
      <c r="CW46" s="230">
        <v>5342</v>
      </c>
      <c r="CX46" s="230">
        <v>4839</v>
      </c>
      <c r="CY46" s="228">
        <v>503</v>
      </c>
      <c r="CZ46" s="229">
        <v>0.104</v>
      </c>
      <c r="DA46" s="228">
        <v>31.17</v>
      </c>
      <c r="DB46" s="228">
        <v>28.69</v>
      </c>
      <c r="DC46" s="228">
        <v>2.48</v>
      </c>
      <c r="DD46" s="228">
        <v>2.48</v>
      </c>
      <c r="DE46" s="228">
        <v>30.56</v>
      </c>
      <c r="DF46" s="228">
        <v>29.93</v>
      </c>
      <c r="DG46" s="228">
        <v>0.61</v>
      </c>
      <c r="DH46" s="228">
        <v>0.63</v>
      </c>
      <c r="DI46" s="228">
        <v>30.54</v>
      </c>
      <c r="DJ46" s="228">
        <v>28.44</v>
      </c>
      <c r="DK46" s="228">
        <v>2.1</v>
      </c>
      <c r="DL46" s="228">
        <v>2.1</v>
      </c>
      <c r="DM46" s="228">
        <v>32.74</v>
      </c>
      <c r="DN46" s="228">
        <v>29.22</v>
      </c>
      <c r="DO46" s="228">
        <v>3.52</v>
      </c>
      <c r="DP46" s="228">
        <v>3.52</v>
      </c>
      <c r="DQ46" s="228">
        <v>0.74</v>
      </c>
      <c r="DR46" s="228">
        <v>0.65</v>
      </c>
      <c r="DS46" s="228">
        <v>0.09</v>
      </c>
      <c r="DT46" s="229">
        <v>0.13850000000000001</v>
      </c>
      <c r="DU46" s="228">
        <v>500</v>
      </c>
      <c r="DV46" s="228">
        <v>430</v>
      </c>
      <c r="DW46" s="228">
        <v>0.4</v>
      </c>
      <c r="DX46" s="228">
        <v>0.48</v>
      </c>
      <c r="DY46" s="228">
        <v>-0.08</v>
      </c>
      <c r="DZ46" s="229">
        <v>-0.16669999999999999</v>
      </c>
      <c r="EA46" s="229">
        <v>0.1142</v>
      </c>
      <c r="EB46" s="230">
        <v>5431050</v>
      </c>
      <c r="EC46" s="229">
        <v>5.5999999999999999E-3</v>
      </c>
      <c r="ED46" s="229">
        <v>0.1142</v>
      </c>
      <c r="EE46" s="228">
        <v>3.62</v>
      </c>
      <c r="EF46" s="229">
        <v>7.7999999999999996E-3</v>
      </c>
      <c r="EG46" s="230">
        <v>10477326</v>
      </c>
      <c r="EH46" s="230">
        <v>4122969</v>
      </c>
      <c r="EI46" s="229">
        <v>1.5411999999999999</v>
      </c>
      <c r="EJ46" s="229">
        <v>0.36909999999999998</v>
      </c>
      <c r="EK46" s="231">
        <v>9857.5300000000007</v>
      </c>
      <c r="EL46" s="231">
        <v>3685.35</v>
      </c>
      <c r="EM46" s="231">
        <v>1383.47</v>
      </c>
      <c r="EN46" s="228">
        <v>126.29</v>
      </c>
      <c r="EO46" s="231">
        <v>14926.35</v>
      </c>
      <c r="EP46" s="231">
        <v>5133.84</v>
      </c>
      <c r="EQ46" s="231">
        <v>9792.51</v>
      </c>
      <c r="ER46" s="229">
        <v>1.9074</v>
      </c>
      <c r="ES46" s="231">
        <v>1741.76</v>
      </c>
      <c r="ET46" s="231">
        <v>1183.83</v>
      </c>
      <c r="EU46" s="231">
        <v>2309.4899999999998</v>
      </c>
      <c r="EV46" s="231">
        <v>278206904</v>
      </c>
      <c r="EW46" s="231">
        <v>5235.09</v>
      </c>
      <c r="EX46" s="231">
        <v>4609.1000000000004</v>
      </c>
      <c r="EY46" s="228">
        <v>625.99</v>
      </c>
      <c r="EZ46" s="229">
        <v>0.1358</v>
      </c>
      <c r="FA46" s="229">
        <v>0.40810000000000002</v>
      </c>
      <c r="FB46" s="227" t="s">
        <v>555</v>
      </c>
      <c r="FC46">
        <f t="shared" si="0"/>
        <v>264</v>
      </c>
    </row>
    <row r="47" spans="1:159" ht="17.25" hidden="1" thickBot="1" x14ac:dyDescent="0.3">
      <c r="A47" s="226">
        <v>46093</v>
      </c>
      <c r="B47" s="227" t="s">
        <v>221</v>
      </c>
      <c r="C47" s="227" t="s">
        <v>470</v>
      </c>
      <c r="D47" s="228">
        <v>375</v>
      </c>
      <c r="E47" s="228">
        <v>18</v>
      </c>
      <c r="F47" s="231">
        <v>1110.5999999999999</v>
      </c>
      <c r="G47" s="231">
        <v>1113.0999999999999</v>
      </c>
      <c r="H47" s="228">
        <v>-2.5</v>
      </c>
      <c r="I47" s="229">
        <v>-2.2000000000000001E-3</v>
      </c>
      <c r="J47" s="231">
        <v>1107.9000000000001</v>
      </c>
      <c r="K47" s="231">
        <v>1108.8</v>
      </c>
      <c r="L47" s="228">
        <v>-0.9</v>
      </c>
      <c r="M47" s="229">
        <v>-8.0000000000000004E-4</v>
      </c>
      <c r="N47" s="231">
        <v>1110.5999999999999</v>
      </c>
      <c r="O47" s="231">
        <v>1113.0999999999999</v>
      </c>
      <c r="P47" s="228">
        <v>-2.5</v>
      </c>
      <c r="Q47" s="229">
        <v>-2.2000000000000001E-3</v>
      </c>
      <c r="R47" s="231">
        <v>1116.7</v>
      </c>
      <c r="S47" s="231">
        <v>1119.4000000000001</v>
      </c>
      <c r="T47" s="228">
        <v>-2.7</v>
      </c>
      <c r="U47" s="229">
        <v>-2.3999999999999998E-3</v>
      </c>
      <c r="V47" s="231">
        <v>1120.3</v>
      </c>
      <c r="W47" s="231">
        <v>1123.9000000000001</v>
      </c>
      <c r="X47" s="228">
        <v>-3.6</v>
      </c>
      <c r="Y47" s="229">
        <v>-3.2000000000000002E-3</v>
      </c>
      <c r="Z47" s="228">
        <v>2.7</v>
      </c>
      <c r="AA47" s="228">
        <v>4.3</v>
      </c>
      <c r="AB47" s="228">
        <v>-1.6</v>
      </c>
      <c r="AC47" s="229">
        <v>2.3999999999999998E-3</v>
      </c>
      <c r="AD47" s="228">
        <v>2.7</v>
      </c>
      <c r="AE47" s="228">
        <v>4.3</v>
      </c>
      <c r="AF47" s="228">
        <v>-1.6</v>
      </c>
      <c r="AG47" s="229">
        <v>2.3999999999999998E-3</v>
      </c>
      <c r="AH47" s="228">
        <v>8.8000000000000007</v>
      </c>
      <c r="AI47" s="228">
        <v>10.6</v>
      </c>
      <c r="AJ47" s="228">
        <v>-1.8</v>
      </c>
      <c r="AK47" s="229">
        <v>7.9000000000000008E-3</v>
      </c>
      <c r="AL47" s="228">
        <v>12.4</v>
      </c>
      <c r="AM47" s="228">
        <v>15.1</v>
      </c>
      <c r="AN47" s="228">
        <v>-2.7</v>
      </c>
      <c r="AO47" s="229">
        <v>1.12E-2</v>
      </c>
      <c r="AP47" s="231">
        <v>1108.9100000000001</v>
      </c>
      <c r="AQ47" s="231">
        <v>1114.24</v>
      </c>
      <c r="AR47" s="228">
        <v>0</v>
      </c>
      <c r="AS47" s="228">
        <v>520</v>
      </c>
      <c r="AT47" s="228">
        <v>458</v>
      </c>
      <c r="AU47" s="228">
        <v>61</v>
      </c>
      <c r="AV47" s="229">
        <v>0.13350000000000001</v>
      </c>
      <c r="AW47" s="228">
        <v>482</v>
      </c>
      <c r="AX47" s="228">
        <v>401</v>
      </c>
      <c r="AY47" s="228">
        <v>82</v>
      </c>
      <c r="AZ47" s="229">
        <v>0.2039</v>
      </c>
      <c r="BA47" s="228">
        <v>30</v>
      </c>
      <c r="BB47" s="228">
        <v>48</v>
      </c>
      <c r="BC47" s="228">
        <v>-18</v>
      </c>
      <c r="BD47" s="229">
        <v>-0.37959999999999999</v>
      </c>
      <c r="BE47" s="228">
        <v>8</v>
      </c>
      <c r="BF47" s="228">
        <v>10</v>
      </c>
      <c r="BG47" s="228">
        <v>-2</v>
      </c>
      <c r="BH47" s="229">
        <v>-0.2198</v>
      </c>
      <c r="BI47" s="230">
        <v>1582</v>
      </c>
      <c r="BJ47" s="230">
        <v>1335</v>
      </c>
      <c r="BK47" s="228">
        <v>246</v>
      </c>
      <c r="BL47" s="229">
        <v>0.18440000000000001</v>
      </c>
      <c r="BM47" s="228">
        <v>695</v>
      </c>
      <c r="BN47" s="228">
        <v>539</v>
      </c>
      <c r="BO47" s="228">
        <v>156</v>
      </c>
      <c r="BP47" s="229">
        <v>0.28860000000000002</v>
      </c>
      <c r="BQ47" s="230">
        <v>2796</v>
      </c>
      <c r="BR47" s="230">
        <v>2333</v>
      </c>
      <c r="BS47" s="228">
        <v>463</v>
      </c>
      <c r="BT47" s="229">
        <v>0.19850000000000001</v>
      </c>
      <c r="BU47" s="230">
        <v>4326871</v>
      </c>
      <c r="BV47" s="230">
        <v>3181708</v>
      </c>
      <c r="BW47" s="230">
        <v>1145163</v>
      </c>
      <c r="BX47" s="229">
        <v>0.3599</v>
      </c>
      <c r="BY47" s="230">
        <v>3001</v>
      </c>
      <c r="BZ47" s="230">
        <v>2980</v>
      </c>
      <c r="CA47" s="228">
        <v>21</v>
      </c>
      <c r="CB47" s="229">
        <v>7.1000000000000004E-3</v>
      </c>
      <c r="CC47" s="230">
        <v>2847</v>
      </c>
      <c r="CD47" s="230">
        <v>2829</v>
      </c>
      <c r="CE47" s="228">
        <v>18</v>
      </c>
      <c r="CF47" s="229">
        <v>6.4000000000000003E-3</v>
      </c>
      <c r="CG47" s="228">
        <v>132</v>
      </c>
      <c r="CH47" s="228">
        <v>131</v>
      </c>
      <c r="CI47" s="228">
        <v>1</v>
      </c>
      <c r="CJ47" s="229">
        <v>9.1999999999999998E-3</v>
      </c>
      <c r="CK47" s="228">
        <v>22</v>
      </c>
      <c r="CL47" s="228">
        <v>20</v>
      </c>
      <c r="CM47" s="228">
        <v>2</v>
      </c>
      <c r="CN47" s="229">
        <v>9.1700000000000004E-2</v>
      </c>
      <c r="CO47" s="230">
        <v>1491</v>
      </c>
      <c r="CP47" s="230">
        <v>1432</v>
      </c>
      <c r="CQ47" s="228">
        <v>59</v>
      </c>
      <c r="CR47" s="229">
        <v>4.1399999999999999E-2</v>
      </c>
      <c r="CS47" s="228">
        <v>558</v>
      </c>
      <c r="CT47" s="228">
        <v>534</v>
      </c>
      <c r="CU47" s="228">
        <v>24</v>
      </c>
      <c r="CV47" s="229">
        <v>4.5699999999999998E-2</v>
      </c>
      <c r="CW47" s="230">
        <v>5050</v>
      </c>
      <c r="CX47" s="230">
        <v>4945</v>
      </c>
      <c r="CY47" s="228">
        <v>105</v>
      </c>
      <c r="CZ47" s="229">
        <v>2.12E-2</v>
      </c>
      <c r="DA47" s="228">
        <v>47.13</v>
      </c>
      <c r="DB47" s="228">
        <v>48.52</v>
      </c>
      <c r="DC47" s="228">
        <v>-1.39</v>
      </c>
      <c r="DD47" s="228">
        <v>-1.39</v>
      </c>
      <c r="DE47" s="228">
        <v>42.15</v>
      </c>
      <c r="DF47" s="228">
        <v>42.25</v>
      </c>
      <c r="DG47" s="228">
        <v>4.9800000000000004</v>
      </c>
      <c r="DH47" s="228">
        <v>-0.1</v>
      </c>
      <c r="DI47" s="228">
        <v>46.94</v>
      </c>
      <c r="DJ47" s="228">
        <v>48.3</v>
      </c>
      <c r="DK47" s="228">
        <v>-1.36</v>
      </c>
      <c r="DL47" s="228">
        <v>-1.36</v>
      </c>
      <c r="DM47" s="228">
        <v>47.55</v>
      </c>
      <c r="DN47" s="228">
        <v>49.07</v>
      </c>
      <c r="DO47" s="228">
        <v>-1.52</v>
      </c>
      <c r="DP47" s="228">
        <v>-1.52</v>
      </c>
      <c r="DQ47" s="228">
        <v>0.37</v>
      </c>
      <c r="DR47" s="228">
        <v>0.37</v>
      </c>
      <c r="DS47" s="228">
        <v>0</v>
      </c>
      <c r="DT47" s="229">
        <v>0</v>
      </c>
      <c r="DU47" s="231">
        <v>1200</v>
      </c>
      <c r="DV47" s="231">
        <v>1100</v>
      </c>
      <c r="DW47" s="228">
        <v>0.44</v>
      </c>
      <c r="DX47" s="228">
        <v>0.4</v>
      </c>
      <c r="DY47" s="228">
        <v>0.04</v>
      </c>
      <c r="DZ47" s="229">
        <v>0.1</v>
      </c>
      <c r="EA47" s="229">
        <v>5.1299999999999998E-2</v>
      </c>
      <c r="EB47" s="230">
        <v>1359000</v>
      </c>
      <c r="EC47" s="229">
        <v>5.4999999999999997E-3</v>
      </c>
      <c r="ED47" s="229">
        <v>5.1299999999999998E-2</v>
      </c>
      <c r="EE47" s="228">
        <v>5.33</v>
      </c>
      <c r="EF47" s="229">
        <v>4.7999999999999996E-3</v>
      </c>
      <c r="EG47" s="230">
        <v>2019318</v>
      </c>
      <c r="EH47" s="230">
        <v>1353436</v>
      </c>
      <c r="EI47" s="229">
        <v>0.49199999999999999</v>
      </c>
      <c r="EJ47" s="229">
        <v>0.4667</v>
      </c>
      <c r="EK47" s="231">
        <v>1728.55</v>
      </c>
      <c r="EL47" s="228">
        <v>702.79</v>
      </c>
      <c r="EM47" s="228">
        <v>519.04999999999995</v>
      </c>
      <c r="EN47" s="228">
        <v>107.52</v>
      </c>
      <c r="EO47" s="231">
        <v>2950.4</v>
      </c>
      <c r="EP47" s="231">
        <v>2514.2399999999998</v>
      </c>
      <c r="EQ47" s="228">
        <v>436.16</v>
      </c>
      <c r="ER47" s="229">
        <v>0.17349999999999999</v>
      </c>
      <c r="ES47" s="231">
        <v>1744.48</v>
      </c>
      <c r="ET47" s="228">
        <v>601.57000000000005</v>
      </c>
      <c r="EU47" s="231">
        <v>3001.58</v>
      </c>
      <c r="EV47" s="231">
        <v>50189409</v>
      </c>
      <c r="EW47" s="231">
        <v>5347.63</v>
      </c>
      <c r="EX47" s="231">
        <v>5257.92</v>
      </c>
      <c r="EY47" s="228">
        <v>89.71</v>
      </c>
      <c r="EZ47" s="229">
        <v>1.7100000000000001E-2</v>
      </c>
      <c r="FA47" s="229">
        <v>0.90590000000000004</v>
      </c>
      <c r="FB47" s="227" t="s">
        <v>567</v>
      </c>
      <c r="FC47">
        <f t="shared" si="0"/>
        <v>154</v>
      </c>
    </row>
    <row r="48" spans="1:159" ht="17.25" hidden="1" thickBot="1" x14ac:dyDescent="0.3">
      <c r="A48" s="226">
        <v>46093</v>
      </c>
      <c r="B48" s="227" t="s">
        <v>168</v>
      </c>
      <c r="C48" s="227" t="s">
        <v>201</v>
      </c>
      <c r="D48" s="228">
        <v>225</v>
      </c>
      <c r="E48" s="228">
        <v>18</v>
      </c>
      <c r="F48" s="231">
        <v>1973.2</v>
      </c>
      <c r="G48" s="231">
        <v>2049.6999999999998</v>
      </c>
      <c r="H48" s="228">
        <v>-76.5</v>
      </c>
      <c r="I48" s="229">
        <v>-3.73E-2</v>
      </c>
      <c r="J48" s="231">
        <v>1975.8</v>
      </c>
      <c r="K48" s="231">
        <v>2055.6</v>
      </c>
      <c r="L48" s="228">
        <v>-79.8</v>
      </c>
      <c r="M48" s="229">
        <v>-3.8800000000000001E-2</v>
      </c>
      <c r="N48" s="231">
        <v>1973.2</v>
      </c>
      <c r="O48" s="231">
        <v>2049.6999999999998</v>
      </c>
      <c r="P48" s="228">
        <v>-76.5</v>
      </c>
      <c r="Q48" s="229">
        <v>-3.73E-2</v>
      </c>
      <c r="R48" s="231">
        <v>1977.8</v>
      </c>
      <c r="S48" s="231">
        <v>2056.1999999999998</v>
      </c>
      <c r="T48" s="228">
        <v>-78.400000000000006</v>
      </c>
      <c r="U48" s="229">
        <v>-3.8100000000000002E-2</v>
      </c>
      <c r="V48" s="231">
        <v>1978.8</v>
      </c>
      <c r="W48" s="231">
        <v>2057.4</v>
      </c>
      <c r="X48" s="228">
        <v>-78.599999999999994</v>
      </c>
      <c r="Y48" s="229">
        <v>-3.8199999999999998E-2</v>
      </c>
      <c r="Z48" s="228">
        <v>-2.6</v>
      </c>
      <c r="AA48" s="228">
        <v>-5.9</v>
      </c>
      <c r="AB48" s="228">
        <v>3.3</v>
      </c>
      <c r="AC48" s="229">
        <v>-1.2999999999999999E-3</v>
      </c>
      <c r="AD48" s="228">
        <v>-2.6</v>
      </c>
      <c r="AE48" s="228">
        <v>-5.9</v>
      </c>
      <c r="AF48" s="228">
        <v>3.3</v>
      </c>
      <c r="AG48" s="229">
        <v>-1.2999999999999999E-3</v>
      </c>
      <c r="AH48" s="228">
        <v>2</v>
      </c>
      <c r="AI48" s="228">
        <v>0.6</v>
      </c>
      <c r="AJ48" s="228">
        <v>1.4</v>
      </c>
      <c r="AK48" s="229">
        <v>1E-3</v>
      </c>
      <c r="AL48" s="228">
        <v>3</v>
      </c>
      <c r="AM48" s="228">
        <v>1.8</v>
      </c>
      <c r="AN48" s="228">
        <v>1.2</v>
      </c>
      <c r="AO48" s="229">
        <v>1.5E-3</v>
      </c>
      <c r="AP48" s="231">
        <v>1989.39</v>
      </c>
      <c r="AQ48" s="231">
        <v>1991.19</v>
      </c>
      <c r="AR48" s="228">
        <v>0</v>
      </c>
      <c r="AS48" s="228">
        <v>446</v>
      </c>
      <c r="AT48" s="228">
        <v>926</v>
      </c>
      <c r="AU48" s="228">
        <v>-481</v>
      </c>
      <c r="AV48" s="229">
        <v>-0.51880000000000004</v>
      </c>
      <c r="AW48" s="228">
        <v>385</v>
      </c>
      <c r="AX48" s="228">
        <v>834</v>
      </c>
      <c r="AY48" s="228">
        <v>-449</v>
      </c>
      <c r="AZ48" s="229">
        <v>-0.53839999999999999</v>
      </c>
      <c r="BA48" s="228">
        <v>54</v>
      </c>
      <c r="BB48" s="228">
        <v>80</v>
      </c>
      <c r="BC48" s="228">
        <v>-26</v>
      </c>
      <c r="BD48" s="229">
        <v>-0.32450000000000001</v>
      </c>
      <c r="BE48" s="228">
        <v>6</v>
      </c>
      <c r="BF48" s="228">
        <v>12</v>
      </c>
      <c r="BG48" s="228">
        <v>-5</v>
      </c>
      <c r="BH48" s="229">
        <v>-0.45590000000000003</v>
      </c>
      <c r="BI48" s="230">
        <v>1322</v>
      </c>
      <c r="BJ48" s="230">
        <v>2422</v>
      </c>
      <c r="BK48" s="230">
        <v>-1100</v>
      </c>
      <c r="BL48" s="229">
        <v>-0.45429999999999998</v>
      </c>
      <c r="BM48" s="228">
        <v>817</v>
      </c>
      <c r="BN48" s="230">
        <v>2832</v>
      </c>
      <c r="BO48" s="230">
        <v>-2015</v>
      </c>
      <c r="BP48" s="229">
        <v>-0.71150000000000002</v>
      </c>
      <c r="BQ48" s="230">
        <v>2585</v>
      </c>
      <c r="BR48" s="230">
        <v>6181</v>
      </c>
      <c r="BS48" s="230">
        <v>-3596</v>
      </c>
      <c r="BT48" s="229">
        <v>-0.58179999999999998</v>
      </c>
      <c r="BU48" s="230">
        <v>859654</v>
      </c>
      <c r="BV48" s="230">
        <v>1734148</v>
      </c>
      <c r="BW48" s="230">
        <v>-874494</v>
      </c>
      <c r="BX48" s="229">
        <v>-0.50429999999999997</v>
      </c>
      <c r="BY48" s="230">
        <v>1303</v>
      </c>
      <c r="BZ48" s="230">
        <v>1235</v>
      </c>
      <c r="CA48" s="228">
        <v>69</v>
      </c>
      <c r="CB48" s="229">
        <v>5.5599999999999997E-2</v>
      </c>
      <c r="CC48" s="230">
        <v>1217</v>
      </c>
      <c r="CD48" s="230">
        <v>1172</v>
      </c>
      <c r="CE48" s="228">
        <v>45</v>
      </c>
      <c r="CF48" s="229">
        <v>3.8699999999999998E-2</v>
      </c>
      <c r="CG48" s="228">
        <v>72</v>
      </c>
      <c r="CH48" s="228">
        <v>51</v>
      </c>
      <c r="CI48" s="228">
        <v>21</v>
      </c>
      <c r="CJ48" s="229">
        <v>0.4073</v>
      </c>
      <c r="CK48" s="228">
        <v>15</v>
      </c>
      <c r="CL48" s="228">
        <v>12</v>
      </c>
      <c r="CM48" s="228">
        <v>3</v>
      </c>
      <c r="CN48" s="229">
        <v>0.20649999999999999</v>
      </c>
      <c r="CO48" s="228">
        <v>837</v>
      </c>
      <c r="CP48" s="228">
        <v>714</v>
      </c>
      <c r="CQ48" s="228">
        <v>123</v>
      </c>
      <c r="CR48" s="229">
        <v>0.1726</v>
      </c>
      <c r="CS48" s="228">
        <v>506</v>
      </c>
      <c r="CT48" s="228">
        <v>464</v>
      </c>
      <c r="CU48" s="228">
        <v>43</v>
      </c>
      <c r="CV48" s="229">
        <v>9.2399999999999996E-2</v>
      </c>
      <c r="CW48" s="230">
        <v>2647</v>
      </c>
      <c r="CX48" s="230">
        <v>2412</v>
      </c>
      <c r="CY48" s="228">
        <v>235</v>
      </c>
      <c r="CZ48" s="229">
        <v>9.7299999999999998E-2</v>
      </c>
      <c r="DA48" s="228">
        <v>32.78</v>
      </c>
      <c r="DB48" s="228">
        <v>32.46</v>
      </c>
      <c r="DC48" s="228">
        <v>0.32</v>
      </c>
      <c r="DD48" s="228">
        <v>0.32</v>
      </c>
      <c r="DE48" s="228">
        <v>28.95</v>
      </c>
      <c r="DF48" s="228">
        <v>28.56</v>
      </c>
      <c r="DG48" s="228">
        <v>3.83</v>
      </c>
      <c r="DH48" s="228">
        <v>0.39</v>
      </c>
      <c r="DI48" s="228">
        <v>33.07</v>
      </c>
      <c r="DJ48" s="228">
        <v>32.450000000000003</v>
      </c>
      <c r="DK48" s="228">
        <v>0.62</v>
      </c>
      <c r="DL48" s="228">
        <v>0.62</v>
      </c>
      <c r="DM48" s="228">
        <v>32.31</v>
      </c>
      <c r="DN48" s="228">
        <v>32.479999999999997</v>
      </c>
      <c r="DO48" s="228">
        <v>-0.17</v>
      </c>
      <c r="DP48" s="228">
        <v>-0.17</v>
      </c>
      <c r="DQ48" s="228">
        <v>0.61</v>
      </c>
      <c r="DR48" s="228">
        <v>0.65</v>
      </c>
      <c r="DS48" s="228">
        <v>-0.04</v>
      </c>
      <c r="DT48" s="229">
        <v>-6.1499999999999999E-2</v>
      </c>
      <c r="DU48" s="231">
        <v>2100</v>
      </c>
      <c r="DV48" s="231">
        <v>2000</v>
      </c>
      <c r="DW48" s="228">
        <v>0.62</v>
      </c>
      <c r="DX48" s="228">
        <v>1.17</v>
      </c>
      <c r="DY48" s="228">
        <v>-0.55000000000000004</v>
      </c>
      <c r="DZ48" s="229">
        <v>-0.47010000000000002</v>
      </c>
      <c r="EA48" s="229">
        <v>6.6400000000000001E-2</v>
      </c>
      <c r="EB48" s="230">
        <v>320625</v>
      </c>
      <c r="EC48" s="229">
        <v>2.3E-3</v>
      </c>
      <c r="ED48" s="229">
        <v>6.6400000000000001E-2</v>
      </c>
      <c r="EE48" s="228">
        <v>1.8</v>
      </c>
      <c r="EF48" s="229">
        <v>8.9999999999999998E-4</v>
      </c>
      <c r="EG48" s="230">
        <v>331853</v>
      </c>
      <c r="EH48" s="230">
        <v>467080</v>
      </c>
      <c r="EI48" s="229">
        <v>-0.28949999999999998</v>
      </c>
      <c r="EJ48" s="229">
        <v>0.38600000000000001</v>
      </c>
      <c r="EK48" s="231">
        <v>1444.64</v>
      </c>
      <c r="EL48" s="228">
        <v>829.94</v>
      </c>
      <c r="EM48" s="228">
        <v>449.52</v>
      </c>
      <c r="EN48" s="228">
        <v>62.21</v>
      </c>
      <c r="EO48" s="231">
        <v>2724.11</v>
      </c>
      <c r="EP48" s="231">
        <v>6707.41</v>
      </c>
      <c r="EQ48" s="231">
        <v>-3983.31</v>
      </c>
      <c r="ER48" s="229">
        <v>-0.59389999999999998</v>
      </c>
      <c r="ES48" s="228">
        <v>940.36</v>
      </c>
      <c r="ET48" s="228">
        <v>532.25</v>
      </c>
      <c r="EU48" s="231">
        <v>1303.6600000000001</v>
      </c>
      <c r="EV48" s="231">
        <v>19546143</v>
      </c>
      <c r="EW48" s="231">
        <v>2776.27</v>
      </c>
      <c r="EX48" s="231">
        <v>2586.7800000000002</v>
      </c>
      <c r="EY48" s="228">
        <v>189.49</v>
      </c>
      <c r="EZ48" s="229">
        <v>7.3300000000000004E-2</v>
      </c>
      <c r="FA48" s="229">
        <v>0.68630000000000002</v>
      </c>
      <c r="FB48" s="227" t="s">
        <v>567</v>
      </c>
      <c r="FC48">
        <f t="shared" si="0"/>
        <v>86</v>
      </c>
    </row>
    <row r="49" spans="1:159" ht="17.25" hidden="1" thickBot="1" x14ac:dyDescent="0.3">
      <c r="A49" s="226">
        <v>46093</v>
      </c>
      <c r="B49" s="227" t="s">
        <v>215</v>
      </c>
      <c r="C49" s="227" t="s">
        <v>202</v>
      </c>
      <c r="D49" s="228">
        <v>1250</v>
      </c>
      <c r="E49" s="228">
        <v>18</v>
      </c>
      <c r="F49" s="228">
        <v>469.1</v>
      </c>
      <c r="G49" s="228">
        <v>470.8</v>
      </c>
      <c r="H49" s="228">
        <v>-1.7</v>
      </c>
      <c r="I49" s="229">
        <v>-3.5999999999999999E-3</v>
      </c>
      <c r="J49" s="228">
        <v>467.15</v>
      </c>
      <c r="K49" s="228">
        <v>470.45</v>
      </c>
      <c r="L49" s="228">
        <v>-3.3</v>
      </c>
      <c r="M49" s="229">
        <v>-7.0000000000000001E-3</v>
      </c>
      <c r="N49" s="228">
        <v>469.1</v>
      </c>
      <c r="O49" s="228">
        <v>470.8</v>
      </c>
      <c r="P49" s="228">
        <v>-1.7</v>
      </c>
      <c r="Q49" s="229">
        <v>-3.5999999999999999E-3</v>
      </c>
      <c r="R49" s="228">
        <v>472.05</v>
      </c>
      <c r="S49" s="228">
        <v>474.2</v>
      </c>
      <c r="T49" s="228">
        <v>-2.15</v>
      </c>
      <c r="U49" s="229">
        <v>-4.4999999999999997E-3</v>
      </c>
      <c r="V49" s="228">
        <v>474.75</v>
      </c>
      <c r="W49" s="228">
        <v>477.45</v>
      </c>
      <c r="X49" s="228">
        <v>-2.7</v>
      </c>
      <c r="Y49" s="229">
        <v>-5.7000000000000002E-3</v>
      </c>
      <c r="Z49" s="228">
        <v>1.95</v>
      </c>
      <c r="AA49" s="228">
        <v>0.35</v>
      </c>
      <c r="AB49" s="228">
        <v>1.6</v>
      </c>
      <c r="AC49" s="229">
        <v>4.1999999999999997E-3</v>
      </c>
      <c r="AD49" s="228">
        <v>1.95</v>
      </c>
      <c r="AE49" s="228">
        <v>0.35</v>
      </c>
      <c r="AF49" s="228">
        <v>1.6</v>
      </c>
      <c r="AG49" s="229">
        <v>4.1999999999999997E-3</v>
      </c>
      <c r="AH49" s="228">
        <v>4.9000000000000004</v>
      </c>
      <c r="AI49" s="228">
        <v>3.75</v>
      </c>
      <c r="AJ49" s="228">
        <v>1.1499999999999999</v>
      </c>
      <c r="AK49" s="229">
        <v>1.0500000000000001E-2</v>
      </c>
      <c r="AL49" s="228">
        <v>7.6</v>
      </c>
      <c r="AM49" s="228">
        <v>7</v>
      </c>
      <c r="AN49" s="228">
        <v>0.6</v>
      </c>
      <c r="AO49" s="229">
        <v>1.6299999999999999E-2</v>
      </c>
      <c r="AP49" s="228">
        <v>467.04</v>
      </c>
      <c r="AQ49" s="228">
        <v>470.99</v>
      </c>
      <c r="AR49" s="228">
        <v>0</v>
      </c>
      <c r="AS49" s="228">
        <v>162</v>
      </c>
      <c r="AT49" s="228">
        <v>130</v>
      </c>
      <c r="AU49" s="228">
        <v>32</v>
      </c>
      <c r="AV49" s="229">
        <v>0.24440000000000001</v>
      </c>
      <c r="AW49" s="228">
        <v>143</v>
      </c>
      <c r="AX49" s="228">
        <v>113</v>
      </c>
      <c r="AY49" s="228">
        <v>30</v>
      </c>
      <c r="AZ49" s="229">
        <v>0.26740000000000003</v>
      </c>
      <c r="BA49" s="228">
        <v>17</v>
      </c>
      <c r="BB49" s="228">
        <v>12</v>
      </c>
      <c r="BC49" s="228">
        <v>5</v>
      </c>
      <c r="BD49" s="229">
        <v>0.3846</v>
      </c>
      <c r="BE49" s="228">
        <v>2</v>
      </c>
      <c r="BF49" s="228">
        <v>5</v>
      </c>
      <c r="BG49" s="228">
        <v>-3</v>
      </c>
      <c r="BH49" s="229">
        <v>-0.59089999999999998</v>
      </c>
      <c r="BI49" s="228">
        <v>220</v>
      </c>
      <c r="BJ49" s="228">
        <v>240</v>
      </c>
      <c r="BK49" s="228">
        <v>-20</v>
      </c>
      <c r="BL49" s="229">
        <v>-8.4400000000000003E-2</v>
      </c>
      <c r="BM49" s="228">
        <v>85</v>
      </c>
      <c r="BN49" s="228">
        <v>119</v>
      </c>
      <c r="BO49" s="228">
        <v>-35</v>
      </c>
      <c r="BP49" s="229">
        <v>-0.28920000000000001</v>
      </c>
      <c r="BQ49" s="228">
        <v>467</v>
      </c>
      <c r="BR49" s="228">
        <v>490</v>
      </c>
      <c r="BS49" s="228">
        <v>-23</v>
      </c>
      <c r="BT49" s="229">
        <v>-4.6899999999999997E-2</v>
      </c>
      <c r="BU49" s="230">
        <v>4030358</v>
      </c>
      <c r="BV49" s="230">
        <v>1725143</v>
      </c>
      <c r="BW49" s="230">
        <v>2305215</v>
      </c>
      <c r="BX49" s="229">
        <v>1.3362000000000001</v>
      </c>
      <c r="BY49" s="230">
        <v>1381</v>
      </c>
      <c r="BZ49" s="230">
        <v>1354</v>
      </c>
      <c r="CA49" s="228">
        <v>27</v>
      </c>
      <c r="CB49" s="229">
        <v>2.01E-2</v>
      </c>
      <c r="CC49" s="230">
        <v>1306</v>
      </c>
      <c r="CD49" s="230">
        <v>1285</v>
      </c>
      <c r="CE49" s="228">
        <v>21</v>
      </c>
      <c r="CF49" s="229">
        <v>1.6299999999999999E-2</v>
      </c>
      <c r="CG49" s="228">
        <v>69</v>
      </c>
      <c r="CH49" s="228">
        <v>63</v>
      </c>
      <c r="CI49" s="228">
        <v>6</v>
      </c>
      <c r="CJ49" s="229">
        <v>8.9399999999999993E-2</v>
      </c>
      <c r="CK49" s="228">
        <v>7</v>
      </c>
      <c r="CL49" s="228">
        <v>6</v>
      </c>
      <c r="CM49" s="228">
        <v>1</v>
      </c>
      <c r="CN49" s="229">
        <v>9.2600000000000002E-2</v>
      </c>
      <c r="CO49" s="228">
        <v>493</v>
      </c>
      <c r="CP49" s="228">
        <v>483</v>
      </c>
      <c r="CQ49" s="228">
        <v>10</v>
      </c>
      <c r="CR49" s="229">
        <v>2.1000000000000001E-2</v>
      </c>
      <c r="CS49" s="228">
        <v>354</v>
      </c>
      <c r="CT49" s="228">
        <v>354</v>
      </c>
      <c r="CU49" s="228">
        <v>0</v>
      </c>
      <c r="CV49" s="229">
        <v>1.2999999999999999E-3</v>
      </c>
      <c r="CW49" s="230">
        <v>2228</v>
      </c>
      <c r="CX49" s="230">
        <v>2190</v>
      </c>
      <c r="CY49" s="228">
        <v>38</v>
      </c>
      <c r="CZ49" s="229">
        <v>1.7299999999999999E-2</v>
      </c>
      <c r="DA49" s="228">
        <v>32.89</v>
      </c>
      <c r="DB49" s="228">
        <v>33.020000000000003</v>
      </c>
      <c r="DC49" s="228">
        <v>-0.13</v>
      </c>
      <c r="DD49" s="228">
        <v>-0.13</v>
      </c>
      <c r="DE49" s="228">
        <v>32.85</v>
      </c>
      <c r="DF49" s="228">
        <v>32.92</v>
      </c>
      <c r="DG49" s="228">
        <v>0.04</v>
      </c>
      <c r="DH49" s="228">
        <v>-7.0000000000000007E-2</v>
      </c>
      <c r="DI49" s="228">
        <v>32</v>
      </c>
      <c r="DJ49" s="228">
        <v>32.69</v>
      </c>
      <c r="DK49" s="228">
        <v>-0.69</v>
      </c>
      <c r="DL49" s="228">
        <v>-0.69</v>
      </c>
      <c r="DM49" s="228">
        <v>35.17</v>
      </c>
      <c r="DN49" s="228">
        <v>33.68</v>
      </c>
      <c r="DO49" s="228">
        <v>1.49</v>
      </c>
      <c r="DP49" s="228">
        <v>1.49</v>
      </c>
      <c r="DQ49" s="228">
        <v>0.72</v>
      </c>
      <c r="DR49" s="228">
        <v>0.73</v>
      </c>
      <c r="DS49" s="228">
        <v>-0.01</v>
      </c>
      <c r="DT49" s="229">
        <v>-1.37E-2</v>
      </c>
      <c r="DU49" s="228">
        <v>520</v>
      </c>
      <c r="DV49" s="228">
        <v>500</v>
      </c>
      <c r="DW49" s="228">
        <v>0.39</v>
      </c>
      <c r="DX49" s="228">
        <v>0.5</v>
      </c>
      <c r="DY49" s="228">
        <v>-0.11</v>
      </c>
      <c r="DZ49" s="229">
        <v>-0.22</v>
      </c>
      <c r="EA49" s="229">
        <v>5.4699999999999999E-2</v>
      </c>
      <c r="EB49" s="230">
        <v>1477500</v>
      </c>
      <c r="EC49" s="229">
        <v>6.3E-3</v>
      </c>
      <c r="ED49" s="229">
        <v>5.4699999999999999E-2</v>
      </c>
      <c r="EE49" s="228">
        <v>3.95</v>
      </c>
      <c r="EF49" s="229">
        <v>8.5000000000000006E-3</v>
      </c>
      <c r="EG49" s="230">
        <v>2428821</v>
      </c>
      <c r="EH49" s="230">
        <v>879232</v>
      </c>
      <c r="EI49" s="229">
        <v>1.7624</v>
      </c>
      <c r="EJ49" s="229">
        <v>0.60260000000000002</v>
      </c>
      <c r="EK49" s="228">
        <v>235.11</v>
      </c>
      <c r="EL49" s="228">
        <v>83.07</v>
      </c>
      <c r="EM49" s="228">
        <v>161.58000000000001</v>
      </c>
      <c r="EN49" s="228">
        <v>25.73</v>
      </c>
      <c r="EO49" s="228">
        <v>479.77</v>
      </c>
      <c r="EP49" s="228">
        <v>511.05</v>
      </c>
      <c r="EQ49" s="228">
        <v>-31.29</v>
      </c>
      <c r="ER49" s="229">
        <v>-6.1199999999999997E-2</v>
      </c>
      <c r="ES49" s="228">
        <v>544.96</v>
      </c>
      <c r="ET49" s="228">
        <v>376.27</v>
      </c>
      <c r="EU49" s="231">
        <v>1381.55</v>
      </c>
      <c r="EV49" s="231">
        <v>51639257</v>
      </c>
      <c r="EW49" s="231">
        <v>2302.77</v>
      </c>
      <c r="EX49" s="231">
        <v>2271.1799999999998</v>
      </c>
      <c r="EY49" s="228">
        <v>31.59</v>
      </c>
      <c r="EZ49" s="229">
        <v>1.3899999999999999E-2</v>
      </c>
      <c r="FA49" s="229">
        <v>0.91990000000000005</v>
      </c>
      <c r="FB49" s="227" t="s">
        <v>567</v>
      </c>
      <c r="FC49">
        <f t="shared" si="0"/>
        <v>75</v>
      </c>
    </row>
    <row r="50" spans="1:159" ht="17.25" hidden="1" thickBot="1" x14ac:dyDescent="0.3">
      <c r="A50" s="226">
        <v>46093</v>
      </c>
      <c r="B50" s="227" t="s">
        <v>184</v>
      </c>
      <c r="C50" s="227" t="s">
        <v>523</v>
      </c>
      <c r="D50" s="228">
        <v>1800</v>
      </c>
      <c r="E50" s="228">
        <v>18</v>
      </c>
      <c r="F50" s="228">
        <v>247.7</v>
      </c>
      <c r="G50" s="228">
        <v>248.25</v>
      </c>
      <c r="H50" s="228">
        <v>-0.55000000000000004</v>
      </c>
      <c r="I50" s="229">
        <v>-2.2000000000000001E-3</v>
      </c>
      <c r="J50" s="228">
        <v>247.2</v>
      </c>
      <c r="K50" s="228">
        <v>247.5</v>
      </c>
      <c r="L50" s="228">
        <v>-0.3</v>
      </c>
      <c r="M50" s="229">
        <v>-1.1999999999999999E-3</v>
      </c>
      <c r="N50" s="228">
        <v>247.7</v>
      </c>
      <c r="O50" s="228">
        <v>248.25</v>
      </c>
      <c r="P50" s="228">
        <v>-0.55000000000000004</v>
      </c>
      <c r="Q50" s="229">
        <v>-2.2000000000000001E-3</v>
      </c>
      <c r="R50" s="228">
        <v>249.35</v>
      </c>
      <c r="S50" s="228">
        <v>250.05</v>
      </c>
      <c r="T50" s="228">
        <v>-0.7</v>
      </c>
      <c r="U50" s="229">
        <v>-2.8E-3</v>
      </c>
      <c r="V50" s="228">
        <v>250.6</v>
      </c>
      <c r="W50" s="228">
        <v>251</v>
      </c>
      <c r="X50" s="228">
        <v>-0.4</v>
      </c>
      <c r="Y50" s="229">
        <v>-1.6000000000000001E-3</v>
      </c>
      <c r="Z50" s="228">
        <v>0.5</v>
      </c>
      <c r="AA50" s="228">
        <v>0.75</v>
      </c>
      <c r="AB50" s="228">
        <v>-0.25</v>
      </c>
      <c r="AC50" s="229">
        <v>2E-3</v>
      </c>
      <c r="AD50" s="228">
        <v>0.5</v>
      </c>
      <c r="AE50" s="228">
        <v>0.75</v>
      </c>
      <c r="AF50" s="228">
        <v>-0.25</v>
      </c>
      <c r="AG50" s="229">
        <v>2E-3</v>
      </c>
      <c r="AH50" s="228">
        <v>2.15</v>
      </c>
      <c r="AI50" s="228">
        <v>2.5499999999999998</v>
      </c>
      <c r="AJ50" s="228">
        <v>-0.4</v>
      </c>
      <c r="AK50" s="229">
        <v>8.6999999999999994E-3</v>
      </c>
      <c r="AL50" s="228">
        <v>3.4</v>
      </c>
      <c r="AM50" s="228">
        <v>3.5</v>
      </c>
      <c r="AN50" s="228">
        <v>-0.1</v>
      </c>
      <c r="AO50" s="229">
        <v>1.38E-2</v>
      </c>
      <c r="AP50" s="228">
        <v>249.43</v>
      </c>
      <c r="AQ50" s="228">
        <v>251.52</v>
      </c>
      <c r="AR50" s="228">
        <v>0</v>
      </c>
      <c r="AS50" s="228">
        <v>163</v>
      </c>
      <c r="AT50" s="228">
        <v>100</v>
      </c>
      <c r="AU50" s="228">
        <v>63</v>
      </c>
      <c r="AV50" s="229">
        <v>0.62490000000000001</v>
      </c>
      <c r="AW50" s="228">
        <v>148</v>
      </c>
      <c r="AX50" s="228">
        <v>93</v>
      </c>
      <c r="AY50" s="228">
        <v>55</v>
      </c>
      <c r="AZ50" s="229">
        <v>0.59540000000000004</v>
      </c>
      <c r="BA50" s="228">
        <v>13</v>
      </c>
      <c r="BB50" s="228">
        <v>6</v>
      </c>
      <c r="BC50" s="228">
        <v>8</v>
      </c>
      <c r="BD50" s="229">
        <v>1.3281000000000001</v>
      </c>
      <c r="BE50" s="228">
        <v>1</v>
      </c>
      <c r="BF50" s="228">
        <v>1</v>
      </c>
      <c r="BG50" s="228">
        <v>0</v>
      </c>
      <c r="BH50" s="229">
        <v>-0.2903</v>
      </c>
      <c r="BI50" s="228">
        <v>298</v>
      </c>
      <c r="BJ50" s="228">
        <v>136</v>
      </c>
      <c r="BK50" s="228">
        <v>162</v>
      </c>
      <c r="BL50" s="229">
        <v>1.1836</v>
      </c>
      <c r="BM50" s="228">
        <v>84</v>
      </c>
      <c r="BN50" s="228">
        <v>45</v>
      </c>
      <c r="BO50" s="228">
        <v>39</v>
      </c>
      <c r="BP50" s="229">
        <v>0.86319999999999997</v>
      </c>
      <c r="BQ50" s="228">
        <v>545</v>
      </c>
      <c r="BR50" s="228">
        <v>282</v>
      </c>
      <c r="BS50" s="228">
        <v>263</v>
      </c>
      <c r="BT50" s="229">
        <v>0.93369999999999997</v>
      </c>
      <c r="BU50" s="230">
        <v>2606069</v>
      </c>
      <c r="BV50" s="230">
        <v>1456116</v>
      </c>
      <c r="BW50" s="230">
        <v>1149953</v>
      </c>
      <c r="BX50" s="229">
        <v>0.78969999999999996</v>
      </c>
      <c r="BY50" s="230">
        <v>1162</v>
      </c>
      <c r="BZ50" s="230">
        <v>1162</v>
      </c>
      <c r="CA50" s="228">
        <v>1</v>
      </c>
      <c r="CB50" s="229">
        <v>8.0000000000000004E-4</v>
      </c>
      <c r="CC50" s="230">
        <v>1136</v>
      </c>
      <c r="CD50" s="230">
        <v>1137</v>
      </c>
      <c r="CE50" s="228">
        <v>-1</v>
      </c>
      <c r="CF50" s="229">
        <v>-8.9999999999999998E-4</v>
      </c>
      <c r="CG50" s="228">
        <v>24</v>
      </c>
      <c r="CH50" s="228">
        <v>22</v>
      </c>
      <c r="CI50" s="228">
        <v>2</v>
      </c>
      <c r="CJ50" s="229">
        <v>8.8499999999999995E-2</v>
      </c>
      <c r="CK50" s="228">
        <v>3</v>
      </c>
      <c r="CL50" s="228">
        <v>3</v>
      </c>
      <c r="CM50" s="228">
        <v>0</v>
      </c>
      <c r="CN50" s="229">
        <v>4.1099999999999998E-2</v>
      </c>
      <c r="CO50" s="228">
        <v>244</v>
      </c>
      <c r="CP50" s="228">
        <v>232</v>
      </c>
      <c r="CQ50" s="228">
        <v>12</v>
      </c>
      <c r="CR50" s="229">
        <v>5.1200000000000002E-2</v>
      </c>
      <c r="CS50" s="228">
        <v>128</v>
      </c>
      <c r="CT50" s="228">
        <v>123</v>
      </c>
      <c r="CU50" s="228">
        <v>4</v>
      </c>
      <c r="CV50" s="229">
        <v>3.3599999999999998E-2</v>
      </c>
      <c r="CW50" s="230">
        <v>1534</v>
      </c>
      <c r="CX50" s="230">
        <v>1517</v>
      </c>
      <c r="CY50" s="228">
        <v>17</v>
      </c>
      <c r="CZ50" s="229">
        <v>1.12E-2</v>
      </c>
      <c r="DA50" s="228">
        <v>33.01</v>
      </c>
      <c r="DB50" s="228">
        <v>32.799999999999997</v>
      </c>
      <c r="DC50" s="228">
        <v>0.21</v>
      </c>
      <c r="DD50" s="228">
        <v>0.21</v>
      </c>
      <c r="DE50" s="228">
        <v>32.39</v>
      </c>
      <c r="DF50" s="228">
        <v>32.47</v>
      </c>
      <c r="DG50" s="228">
        <v>0.62</v>
      </c>
      <c r="DH50" s="228">
        <v>-0.08</v>
      </c>
      <c r="DI50" s="228">
        <v>32.82</v>
      </c>
      <c r="DJ50" s="228">
        <v>32.46</v>
      </c>
      <c r="DK50" s="228">
        <v>0.36</v>
      </c>
      <c r="DL50" s="228">
        <v>0.36</v>
      </c>
      <c r="DM50" s="228">
        <v>33.71</v>
      </c>
      <c r="DN50" s="228">
        <v>33.83</v>
      </c>
      <c r="DO50" s="228">
        <v>-0.12</v>
      </c>
      <c r="DP50" s="228">
        <v>-0.12</v>
      </c>
      <c r="DQ50" s="228">
        <v>0.52</v>
      </c>
      <c r="DR50" s="228">
        <v>0.53</v>
      </c>
      <c r="DS50" s="228">
        <v>-0.01</v>
      </c>
      <c r="DT50" s="229">
        <v>-1.89E-2</v>
      </c>
      <c r="DU50" s="228">
        <v>270</v>
      </c>
      <c r="DV50" s="228">
        <v>250</v>
      </c>
      <c r="DW50" s="228">
        <v>0.28000000000000003</v>
      </c>
      <c r="DX50" s="228">
        <v>0.33</v>
      </c>
      <c r="DY50" s="228">
        <v>-0.05</v>
      </c>
      <c r="DZ50" s="229">
        <v>-0.1515</v>
      </c>
      <c r="EA50" s="229">
        <v>2.3199999999999998E-2</v>
      </c>
      <c r="EB50" s="230">
        <v>1006200</v>
      </c>
      <c r="EC50" s="229">
        <v>6.7000000000000002E-3</v>
      </c>
      <c r="ED50" s="229">
        <v>2.3199999999999998E-2</v>
      </c>
      <c r="EE50" s="228">
        <v>2.09</v>
      </c>
      <c r="EF50" s="229">
        <v>8.3999999999999995E-3</v>
      </c>
      <c r="EG50" s="230">
        <v>997869</v>
      </c>
      <c r="EH50" s="230">
        <v>545083</v>
      </c>
      <c r="EI50" s="229">
        <v>0.83069999999999999</v>
      </c>
      <c r="EJ50" s="229">
        <v>0.38290000000000002</v>
      </c>
      <c r="EK50" s="228">
        <v>316.32</v>
      </c>
      <c r="EL50" s="228">
        <v>84.85</v>
      </c>
      <c r="EM50" s="228">
        <v>163.91</v>
      </c>
      <c r="EN50" s="228">
        <v>22.05</v>
      </c>
      <c r="EO50" s="228">
        <v>565.08000000000004</v>
      </c>
      <c r="EP50" s="228">
        <v>289.38</v>
      </c>
      <c r="EQ50" s="228">
        <v>275.7</v>
      </c>
      <c r="ER50" s="229">
        <v>0.95269999999999999</v>
      </c>
      <c r="ES50" s="228">
        <v>266.88</v>
      </c>
      <c r="ET50" s="228">
        <v>130.04</v>
      </c>
      <c r="EU50" s="231">
        <v>1162.69</v>
      </c>
      <c r="EV50" s="231">
        <v>96587231</v>
      </c>
      <c r="EW50" s="231">
        <v>1559.61</v>
      </c>
      <c r="EX50" s="231">
        <v>1545.02</v>
      </c>
      <c r="EY50" s="228">
        <v>14.59</v>
      </c>
      <c r="EZ50" s="229">
        <v>9.4000000000000004E-3</v>
      </c>
      <c r="FA50" s="229">
        <v>0.6411</v>
      </c>
      <c r="FB50" s="227" t="s">
        <v>567</v>
      </c>
      <c r="FC50">
        <f t="shared" si="0"/>
        <v>26</v>
      </c>
    </row>
    <row r="51" spans="1:159" ht="17.25" hidden="1" thickBot="1" x14ac:dyDescent="0.3">
      <c r="A51" s="226">
        <v>46093</v>
      </c>
      <c r="B51" s="227" t="s">
        <v>184</v>
      </c>
      <c r="C51" s="227" t="s">
        <v>203</v>
      </c>
      <c r="D51" s="228">
        <v>200</v>
      </c>
      <c r="E51" s="228">
        <v>18</v>
      </c>
      <c r="F51" s="231">
        <v>4759.5</v>
      </c>
      <c r="G51" s="231">
        <v>4634.8</v>
      </c>
      <c r="H51" s="228">
        <v>124.7</v>
      </c>
      <c r="I51" s="229">
        <v>2.69E-2</v>
      </c>
      <c r="J51" s="231">
        <v>4753.6000000000004</v>
      </c>
      <c r="K51" s="231">
        <v>4630.7</v>
      </c>
      <c r="L51" s="228">
        <v>122.9</v>
      </c>
      <c r="M51" s="229">
        <v>2.6499999999999999E-2</v>
      </c>
      <c r="N51" s="231">
        <v>4759.5</v>
      </c>
      <c r="O51" s="231">
        <v>4634.8</v>
      </c>
      <c r="P51" s="228">
        <v>124.7</v>
      </c>
      <c r="Q51" s="229">
        <v>2.69E-2</v>
      </c>
      <c r="R51" s="231">
        <v>4777.1000000000004</v>
      </c>
      <c r="S51" s="231">
        <v>4657.8999999999996</v>
      </c>
      <c r="T51" s="228">
        <v>119.2</v>
      </c>
      <c r="U51" s="229">
        <v>2.5600000000000001E-2</v>
      </c>
      <c r="V51" s="231">
        <v>4790.6000000000004</v>
      </c>
      <c r="W51" s="231">
        <v>4675.1000000000004</v>
      </c>
      <c r="X51" s="228">
        <v>115.5</v>
      </c>
      <c r="Y51" s="229">
        <v>2.47E-2</v>
      </c>
      <c r="Z51" s="228">
        <v>5.9</v>
      </c>
      <c r="AA51" s="228">
        <v>4.0999999999999996</v>
      </c>
      <c r="AB51" s="228">
        <v>1.8</v>
      </c>
      <c r="AC51" s="229">
        <v>1.1999999999999999E-3</v>
      </c>
      <c r="AD51" s="228">
        <v>5.9</v>
      </c>
      <c r="AE51" s="228">
        <v>4.0999999999999996</v>
      </c>
      <c r="AF51" s="228">
        <v>1.8</v>
      </c>
      <c r="AG51" s="229">
        <v>1.1999999999999999E-3</v>
      </c>
      <c r="AH51" s="228">
        <v>23.5</v>
      </c>
      <c r="AI51" s="228">
        <v>27.2</v>
      </c>
      <c r="AJ51" s="228">
        <v>-3.7</v>
      </c>
      <c r="AK51" s="229">
        <v>4.8999999999999998E-3</v>
      </c>
      <c r="AL51" s="228">
        <v>37</v>
      </c>
      <c r="AM51" s="228">
        <v>44.4</v>
      </c>
      <c r="AN51" s="228">
        <v>-7.4</v>
      </c>
      <c r="AO51" s="229">
        <v>7.7999999999999996E-3</v>
      </c>
      <c r="AP51" s="231">
        <v>4683.21</v>
      </c>
      <c r="AQ51" s="231">
        <v>4696.71</v>
      </c>
      <c r="AR51" s="228">
        <v>0</v>
      </c>
      <c r="AS51" s="228">
        <v>446</v>
      </c>
      <c r="AT51" s="228">
        <v>322</v>
      </c>
      <c r="AU51" s="228">
        <v>124</v>
      </c>
      <c r="AV51" s="229">
        <v>0.3856</v>
      </c>
      <c r="AW51" s="228">
        <v>425</v>
      </c>
      <c r="AX51" s="228">
        <v>298</v>
      </c>
      <c r="AY51" s="228">
        <v>127</v>
      </c>
      <c r="AZ51" s="229">
        <v>0.4259</v>
      </c>
      <c r="BA51" s="228">
        <v>19</v>
      </c>
      <c r="BB51" s="228">
        <v>18</v>
      </c>
      <c r="BC51" s="228">
        <v>1</v>
      </c>
      <c r="BD51" s="229">
        <v>4.6600000000000003E-2</v>
      </c>
      <c r="BE51" s="228">
        <v>2</v>
      </c>
      <c r="BF51" s="228">
        <v>6</v>
      </c>
      <c r="BG51" s="228">
        <v>-4</v>
      </c>
      <c r="BH51" s="229">
        <v>-0.64410000000000001</v>
      </c>
      <c r="BI51" s="230">
        <v>1631</v>
      </c>
      <c r="BJ51" s="230">
        <v>1457</v>
      </c>
      <c r="BK51" s="228">
        <v>173</v>
      </c>
      <c r="BL51" s="229">
        <v>0.11899999999999999</v>
      </c>
      <c r="BM51" s="228">
        <v>768</v>
      </c>
      <c r="BN51" s="228">
        <v>430</v>
      </c>
      <c r="BO51" s="228">
        <v>338</v>
      </c>
      <c r="BP51" s="229">
        <v>0.78490000000000004</v>
      </c>
      <c r="BQ51" s="230">
        <v>2845</v>
      </c>
      <c r="BR51" s="230">
        <v>2210</v>
      </c>
      <c r="BS51" s="228">
        <v>635</v>
      </c>
      <c r="BT51" s="229">
        <v>0.28749999999999998</v>
      </c>
      <c r="BU51" s="230">
        <v>1074903</v>
      </c>
      <c r="BV51" s="230">
        <v>463998</v>
      </c>
      <c r="BW51" s="230">
        <v>610905</v>
      </c>
      <c r="BX51" s="229">
        <v>1.3166</v>
      </c>
      <c r="BY51" s="230">
        <v>1656</v>
      </c>
      <c r="BZ51" s="230">
        <v>1661</v>
      </c>
      <c r="CA51" s="228">
        <v>-5</v>
      </c>
      <c r="CB51" s="229">
        <v>-3.0000000000000001E-3</v>
      </c>
      <c r="CC51" s="230">
        <v>1633</v>
      </c>
      <c r="CD51" s="230">
        <v>1640</v>
      </c>
      <c r="CE51" s="228">
        <v>-6</v>
      </c>
      <c r="CF51" s="229">
        <v>-3.8999999999999998E-3</v>
      </c>
      <c r="CG51" s="228">
        <v>20</v>
      </c>
      <c r="CH51" s="228">
        <v>19</v>
      </c>
      <c r="CI51" s="228">
        <v>1</v>
      </c>
      <c r="CJ51" s="229">
        <v>6.0299999999999999E-2</v>
      </c>
      <c r="CK51" s="228">
        <v>3</v>
      </c>
      <c r="CL51" s="228">
        <v>2</v>
      </c>
      <c r="CM51" s="228">
        <v>0</v>
      </c>
      <c r="CN51" s="229">
        <v>0.16669999999999999</v>
      </c>
      <c r="CO51" s="228">
        <v>508</v>
      </c>
      <c r="CP51" s="228">
        <v>523</v>
      </c>
      <c r="CQ51" s="228">
        <v>-15</v>
      </c>
      <c r="CR51" s="229">
        <v>-2.9100000000000001E-2</v>
      </c>
      <c r="CS51" s="228">
        <v>385</v>
      </c>
      <c r="CT51" s="228">
        <v>363</v>
      </c>
      <c r="CU51" s="228">
        <v>22</v>
      </c>
      <c r="CV51" s="229">
        <v>6.0400000000000002E-2</v>
      </c>
      <c r="CW51" s="230">
        <v>2549</v>
      </c>
      <c r="CX51" s="230">
        <v>2547</v>
      </c>
      <c r="CY51" s="228">
        <v>2</v>
      </c>
      <c r="CZ51" s="229">
        <v>6.9999999999999999E-4</v>
      </c>
      <c r="DA51" s="228">
        <v>36.119999999999997</v>
      </c>
      <c r="DB51" s="228">
        <v>35.86</v>
      </c>
      <c r="DC51" s="228">
        <v>0.26</v>
      </c>
      <c r="DD51" s="228">
        <v>0.26</v>
      </c>
      <c r="DE51" s="228">
        <v>34.82</v>
      </c>
      <c r="DF51" s="228">
        <v>34.72</v>
      </c>
      <c r="DG51" s="228">
        <v>1.3</v>
      </c>
      <c r="DH51" s="228">
        <v>0.1</v>
      </c>
      <c r="DI51" s="228">
        <v>34.729999999999997</v>
      </c>
      <c r="DJ51" s="228">
        <v>35.65</v>
      </c>
      <c r="DK51" s="228">
        <v>-0.92</v>
      </c>
      <c r="DL51" s="228">
        <v>-0.92</v>
      </c>
      <c r="DM51" s="228">
        <v>39.07</v>
      </c>
      <c r="DN51" s="228">
        <v>36.6</v>
      </c>
      <c r="DO51" s="228">
        <v>2.4700000000000002</v>
      </c>
      <c r="DP51" s="228">
        <v>2.4700000000000002</v>
      </c>
      <c r="DQ51" s="228">
        <v>0.76</v>
      </c>
      <c r="DR51" s="228">
        <v>0.69</v>
      </c>
      <c r="DS51" s="228">
        <v>7.0000000000000007E-2</v>
      </c>
      <c r="DT51" s="229">
        <v>0.1014</v>
      </c>
      <c r="DU51" s="231">
        <v>5000</v>
      </c>
      <c r="DV51" s="231">
        <v>4500</v>
      </c>
      <c r="DW51" s="228">
        <v>0.47</v>
      </c>
      <c r="DX51" s="228">
        <v>0.3</v>
      </c>
      <c r="DY51" s="228">
        <v>0.17</v>
      </c>
      <c r="DZ51" s="229">
        <v>0.56669999999999998</v>
      </c>
      <c r="EA51" s="229">
        <v>1.37E-2</v>
      </c>
      <c r="EB51" s="230">
        <v>44600</v>
      </c>
      <c r="EC51" s="229">
        <v>3.7000000000000002E-3</v>
      </c>
      <c r="ED51" s="229">
        <v>1.37E-2</v>
      </c>
      <c r="EE51" s="228">
        <v>13.5</v>
      </c>
      <c r="EF51" s="229">
        <v>2.8999999999999998E-3</v>
      </c>
      <c r="EG51" s="230">
        <v>618630</v>
      </c>
      <c r="EH51" s="230">
        <v>239009</v>
      </c>
      <c r="EI51" s="229">
        <v>1.5883</v>
      </c>
      <c r="EJ51" s="229">
        <v>0.57550000000000001</v>
      </c>
      <c r="EK51" s="231">
        <v>1738.67</v>
      </c>
      <c r="EL51" s="228">
        <v>733.56</v>
      </c>
      <c r="EM51" s="228">
        <v>438.96</v>
      </c>
      <c r="EN51" s="228">
        <v>39.32</v>
      </c>
      <c r="EO51" s="231">
        <v>2911.19</v>
      </c>
      <c r="EP51" s="231">
        <v>2279.3200000000002</v>
      </c>
      <c r="EQ51" s="228">
        <v>631.87</v>
      </c>
      <c r="ER51" s="229">
        <v>0.2772</v>
      </c>
      <c r="ES51" s="228">
        <v>532.09</v>
      </c>
      <c r="ET51" s="228">
        <v>364.82</v>
      </c>
      <c r="EU51" s="231">
        <v>1656.3</v>
      </c>
      <c r="EV51" s="231">
        <v>19131188</v>
      </c>
      <c r="EW51" s="231">
        <v>2553.21</v>
      </c>
      <c r="EX51" s="231">
        <v>2510.08</v>
      </c>
      <c r="EY51" s="228">
        <v>43.13</v>
      </c>
      <c r="EZ51" s="229">
        <v>1.72E-2</v>
      </c>
      <c r="FA51" s="229">
        <v>0.27989999999999998</v>
      </c>
      <c r="FB51" s="227" t="s">
        <v>556</v>
      </c>
      <c r="FC51">
        <f t="shared" si="0"/>
        <v>23</v>
      </c>
    </row>
    <row r="52" spans="1:159" ht="17.25" hidden="1" thickBot="1" x14ac:dyDescent="0.3">
      <c r="A52" s="226">
        <v>46093</v>
      </c>
      <c r="B52" s="227" t="s">
        <v>168</v>
      </c>
      <c r="C52" s="227" t="s">
        <v>204</v>
      </c>
      <c r="D52" s="228">
        <v>1250</v>
      </c>
      <c r="E52" s="228">
        <v>18</v>
      </c>
      <c r="F52" s="228">
        <v>461.4</v>
      </c>
      <c r="G52" s="228">
        <v>472.35</v>
      </c>
      <c r="H52" s="228">
        <v>-10.95</v>
      </c>
      <c r="I52" s="229">
        <v>-2.3199999999999998E-2</v>
      </c>
      <c r="J52" s="228">
        <v>459.35</v>
      </c>
      <c r="K52" s="228">
        <v>471.85</v>
      </c>
      <c r="L52" s="228">
        <v>-12.5</v>
      </c>
      <c r="M52" s="229">
        <v>-2.6499999999999999E-2</v>
      </c>
      <c r="N52" s="228">
        <v>461.4</v>
      </c>
      <c r="O52" s="228">
        <v>472.35</v>
      </c>
      <c r="P52" s="228">
        <v>-10.95</v>
      </c>
      <c r="Q52" s="229">
        <v>-2.3199999999999998E-2</v>
      </c>
      <c r="R52" s="228">
        <v>464.1</v>
      </c>
      <c r="S52" s="228">
        <v>475.45</v>
      </c>
      <c r="T52" s="228">
        <v>-11.35</v>
      </c>
      <c r="U52" s="229">
        <v>-2.3900000000000001E-2</v>
      </c>
      <c r="V52" s="228">
        <v>465.75</v>
      </c>
      <c r="W52" s="228">
        <v>480</v>
      </c>
      <c r="X52" s="228">
        <v>-14.25</v>
      </c>
      <c r="Y52" s="229">
        <v>-2.9700000000000001E-2</v>
      </c>
      <c r="Z52" s="228">
        <v>2.0499999999999998</v>
      </c>
      <c r="AA52" s="228">
        <v>0.5</v>
      </c>
      <c r="AB52" s="228">
        <v>1.55</v>
      </c>
      <c r="AC52" s="229">
        <v>4.4999999999999997E-3</v>
      </c>
      <c r="AD52" s="228">
        <v>2.0499999999999998</v>
      </c>
      <c r="AE52" s="228">
        <v>0.5</v>
      </c>
      <c r="AF52" s="228">
        <v>1.55</v>
      </c>
      <c r="AG52" s="229">
        <v>4.4999999999999997E-3</v>
      </c>
      <c r="AH52" s="228">
        <v>4.75</v>
      </c>
      <c r="AI52" s="228">
        <v>3.6</v>
      </c>
      <c r="AJ52" s="228">
        <v>1.1499999999999999</v>
      </c>
      <c r="AK52" s="229">
        <v>1.03E-2</v>
      </c>
      <c r="AL52" s="228">
        <v>6.4</v>
      </c>
      <c r="AM52" s="228">
        <v>8.15</v>
      </c>
      <c r="AN52" s="228">
        <v>-1.75</v>
      </c>
      <c r="AO52" s="229">
        <v>1.3899999999999999E-2</v>
      </c>
      <c r="AP52" s="228">
        <v>462.22</v>
      </c>
      <c r="AQ52" s="228">
        <v>465.32</v>
      </c>
      <c r="AR52" s="228">
        <v>0</v>
      </c>
      <c r="AS52" s="228">
        <v>122</v>
      </c>
      <c r="AT52" s="228">
        <v>104</v>
      </c>
      <c r="AU52" s="228">
        <v>18</v>
      </c>
      <c r="AV52" s="229">
        <v>0.17599999999999999</v>
      </c>
      <c r="AW52" s="228">
        <v>107</v>
      </c>
      <c r="AX52" s="228">
        <v>98</v>
      </c>
      <c r="AY52" s="228">
        <v>9</v>
      </c>
      <c r="AZ52" s="229">
        <v>8.8599999999999998E-2</v>
      </c>
      <c r="BA52" s="228">
        <v>12</v>
      </c>
      <c r="BB52" s="228">
        <v>5</v>
      </c>
      <c r="BC52" s="228">
        <v>8</v>
      </c>
      <c r="BD52" s="229">
        <v>1.6709000000000001</v>
      </c>
      <c r="BE52" s="228">
        <v>3</v>
      </c>
      <c r="BF52" s="228">
        <v>1</v>
      </c>
      <c r="BG52" s="228">
        <v>2</v>
      </c>
      <c r="BH52" s="229">
        <v>2.75</v>
      </c>
      <c r="BI52" s="228">
        <v>348</v>
      </c>
      <c r="BJ52" s="228">
        <v>185</v>
      </c>
      <c r="BK52" s="228">
        <v>163</v>
      </c>
      <c r="BL52" s="229">
        <v>0.87760000000000005</v>
      </c>
      <c r="BM52" s="228">
        <v>312</v>
      </c>
      <c r="BN52" s="228">
        <v>175</v>
      </c>
      <c r="BO52" s="228">
        <v>137</v>
      </c>
      <c r="BP52" s="229">
        <v>0.78</v>
      </c>
      <c r="BQ52" s="228">
        <v>782</v>
      </c>
      <c r="BR52" s="228">
        <v>464</v>
      </c>
      <c r="BS52" s="228">
        <v>318</v>
      </c>
      <c r="BT52" s="229">
        <v>0.68420000000000003</v>
      </c>
      <c r="BU52" s="230">
        <v>1807115</v>
      </c>
      <c r="BV52" s="230">
        <v>900422</v>
      </c>
      <c r="BW52" s="230">
        <v>906693</v>
      </c>
      <c r="BX52" s="229">
        <v>1.0069999999999999</v>
      </c>
      <c r="BY52" s="230">
        <v>1191</v>
      </c>
      <c r="BZ52" s="230">
        <v>1171</v>
      </c>
      <c r="CA52" s="228">
        <v>20</v>
      </c>
      <c r="CB52" s="229">
        <v>1.7500000000000002E-2</v>
      </c>
      <c r="CC52" s="230">
        <v>1159</v>
      </c>
      <c r="CD52" s="230">
        <v>1143</v>
      </c>
      <c r="CE52" s="228">
        <v>16</v>
      </c>
      <c r="CF52" s="229">
        <v>1.37E-2</v>
      </c>
      <c r="CG52" s="228">
        <v>27</v>
      </c>
      <c r="CH52" s="228">
        <v>23</v>
      </c>
      <c r="CI52" s="228">
        <v>4</v>
      </c>
      <c r="CJ52" s="229">
        <v>0.16159999999999999</v>
      </c>
      <c r="CK52" s="228">
        <v>6</v>
      </c>
      <c r="CL52" s="228">
        <v>5</v>
      </c>
      <c r="CM52" s="228">
        <v>1</v>
      </c>
      <c r="CN52" s="229">
        <v>0.23749999999999999</v>
      </c>
      <c r="CO52" s="228">
        <v>528</v>
      </c>
      <c r="CP52" s="228">
        <v>483</v>
      </c>
      <c r="CQ52" s="228">
        <v>45</v>
      </c>
      <c r="CR52" s="229">
        <v>9.2799999999999994E-2</v>
      </c>
      <c r="CS52" s="228">
        <v>286</v>
      </c>
      <c r="CT52" s="228">
        <v>270</v>
      </c>
      <c r="CU52" s="228">
        <v>16</v>
      </c>
      <c r="CV52" s="229">
        <v>5.8700000000000002E-2</v>
      </c>
      <c r="CW52" s="230">
        <v>2006</v>
      </c>
      <c r="CX52" s="230">
        <v>1924</v>
      </c>
      <c r="CY52" s="228">
        <v>81</v>
      </c>
      <c r="CZ52" s="229">
        <v>4.2200000000000001E-2</v>
      </c>
      <c r="DA52" s="228">
        <v>29.41</v>
      </c>
      <c r="DB52" s="228">
        <v>28.68</v>
      </c>
      <c r="DC52" s="228">
        <v>0.73</v>
      </c>
      <c r="DD52" s="228">
        <v>0.73</v>
      </c>
      <c r="DE52" s="228">
        <v>25.3</v>
      </c>
      <c r="DF52" s="228">
        <v>25.16</v>
      </c>
      <c r="DG52" s="228">
        <v>4.1100000000000003</v>
      </c>
      <c r="DH52" s="228">
        <v>0.14000000000000001</v>
      </c>
      <c r="DI52" s="228">
        <v>29.68</v>
      </c>
      <c r="DJ52" s="228">
        <v>28.25</v>
      </c>
      <c r="DK52" s="228">
        <v>1.43</v>
      </c>
      <c r="DL52" s="228">
        <v>1.43</v>
      </c>
      <c r="DM52" s="228">
        <v>29.12</v>
      </c>
      <c r="DN52" s="228">
        <v>29.14</v>
      </c>
      <c r="DO52" s="228">
        <v>-0.02</v>
      </c>
      <c r="DP52" s="228">
        <v>-0.02</v>
      </c>
      <c r="DQ52" s="228">
        <v>0.54</v>
      </c>
      <c r="DR52" s="228">
        <v>0.56000000000000005</v>
      </c>
      <c r="DS52" s="228">
        <v>-0.02</v>
      </c>
      <c r="DT52" s="229">
        <v>-3.5700000000000003E-2</v>
      </c>
      <c r="DU52" s="228">
        <v>520</v>
      </c>
      <c r="DV52" s="228">
        <v>440</v>
      </c>
      <c r="DW52" s="228">
        <v>0.9</v>
      </c>
      <c r="DX52" s="228">
        <v>0.95</v>
      </c>
      <c r="DY52" s="228">
        <v>-0.05</v>
      </c>
      <c r="DZ52" s="229">
        <v>-5.2600000000000001E-2</v>
      </c>
      <c r="EA52" s="229">
        <v>2.7099999999999999E-2</v>
      </c>
      <c r="EB52" s="230">
        <v>595000</v>
      </c>
      <c r="EC52" s="229">
        <v>5.8999999999999999E-3</v>
      </c>
      <c r="ED52" s="229">
        <v>2.7099999999999999E-2</v>
      </c>
      <c r="EE52" s="228">
        <v>3.1</v>
      </c>
      <c r="EF52" s="229">
        <v>6.7000000000000002E-3</v>
      </c>
      <c r="EG52" s="230">
        <v>1106252</v>
      </c>
      <c r="EH52" s="230">
        <v>466661</v>
      </c>
      <c r="EI52" s="229">
        <v>1.3706</v>
      </c>
      <c r="EJ52" s="229">
        <v>0.61219999999999997</v>
      </c>
      <c r="EK52" s="228">
        <v>375.72</v>
      </c>
      <c r="EL52" s="228">
        <v>316.82</v>
      </c>
      <c r="EM52" s="228">
        <v>122.08</v>
      </c>
      <c r="EN52" s="228">
        <v>20.65</v>
      </c>
      <c r="EO52" s="228">
        <v>814.63</v>
      </c>
      <c r="EP52" s="228">
        <v>488.62</v>
      </c>
      <c r="EQ52" s="228">
        <v>326.01</v>
      </c>
      <c r="ER52" s="229">
        <v>0.66720000000000002</v>
      </c>
      <c r="ES52" s="228">
        <v>596.25</v>
      </c>
      <c r="ET52" s="228">
        <v>293.57</v>
      </c>
      <c r="EU52" s="231">
        <v>1191.5999999999999</v>
      </c>
      <c r="EV52" s="231">
        <v>89873278</v>
      </c>
      <c r="EW52" s="231">
        <v>2081.42</v>
      </c>
      <c r="EX52" s="231">
        <v>2027.89</v>
      </c>
      <c r="EY52" s="228">
        <v>53.53</v>
      </c>
      <c r="EZ52" s="229">
        <v>2.64E-2</v>
      </c>
      <c r="FA52" s="229">
        <v>0.48370000000000002</v>
      </c>
      <c r="FB52" s="227" t="s">
        <v>567</v>
      </c>
      <c r="FC52">
        <f t="shared" si="0"/>
        <v>32</v>
      </c>
    </row>
    <row r="53" spans="1:159" ht="17.25" hidden="1" thickBot="1" x14ac:dyDescent="0.3">
      <c r="A53" s="226">
        <v>46093</v>
      </c>
      <c r="B53" s="227" t="s">
        <v>157</v>
      </c>
      <c r="C53" s="227" t="s">
        <v>524</v>
      </c>
      <c r="D53" s="228">
        <v>325</v>
      </c>
      <c r="E53" s="228">
        <v>18</v>
      </c>
      <c r="F53" s="231">
        <v>1896.3</v>
      </c>
      <c r="G53" s="231">
        <v>1857.8</v>
      </c>
      <c r="H53" s="228">
        <v>38.5</v>
      </c>
      <c r="I53" s="229">
        <v>2.07E-2</v>
      </c>
      <c r="J53" s="231">
        <v>1894.5</v>
      </c>
      <c r="K53" s="231">
        <v>1855.9</v>
      </c>
      <c r="L53" s="228">
        <v>38.6</v>
      </c>
      <c r="M53" s="229">
        <v>2.0799999999999999E-2</v>
      </c>
      <c r="N53" s="231">
        <v>1896.3</v>
      </c>
      <c r="O53" s="231">
        <v>1857.8</v>
      </c>
      <c r="P53" s="228">
        <v>38.5</v>
      </c>
      <c r="Q53" s="229">
        <v>2.07E-2</v>
      </c>
      <c r="R53" s="231">
        <v>1909.6</v>
      </c>
      <c r="S53" s="231">
        <v>1871.1</v>
      </c>
      <c r="T53" s="228">
        <v>38.5</v>
      </c>
      <c r="U53" s="229">
        <v>2.06E-2</v>
      </c>
      <c r="V53" s="231">
        <v>1895</v>
      </c>
      <c r="W53" s="231">
        <v>1909</v>
      </c>
      <c r="X53" s="228">
        <v>-14</v>
      </c>
      <c r="Y53" s="229">
        <v>-7.3000000000000001E-3</v>
      </c>
      <c r="Z53" s="228">
        <v>1.8</v>
      </c>
      <c r="AA53" s="228">
        <v>1.9</v>
      </c>
      <c r="AB53" s="228">
        <v>-0.1</v>
      </c>
      <c r="AC53" s="229">
        <v>1E-3</v>
      </c>
      <c r="AD53" s="228">
        <v>1.8</v>
      </c>
      <c r="AE53" s="228">
        <v>1.9</v>
      </c>
      <c r="AF53" s="228">
        <v>-0.1</v>
      </c>
      <c r="AG53" s="229">
        <v>1E-3</v>
      </c>
      <c r="AH53" s="228">
        <v>15.1</v>
      </c>
      <c r="AI53" s="228">
        <v>15.2</v>
      </c>
      <c r="AJ53" s="228">
        <v>-0.1</v>
      </c>
      <c r="AK53" s="229">
        <v>8.0000000000000002E-3</v>
      </c>
      <c r="AL53" s="228">
        <v>0.5</v>
      </c>
      <c r="AM53" s="228">
        <v>53.1</v>
      </c>
      <c r="AN53" s="228">
        <v>-52.6</v>
      </c>
      <c r="AO53" s="229">
        <v>2.9999999999999997E-4</v>
      </c>
      <c r="AP53" s="231">
        <v>1879.03</v>
      </c>
      <c r="AQ53" s="231">
        <v>1903.89</v>
      </c>
      <c r="AR53" s="228">
        <v>0</v>
      </c>
      <c r="AS53" s="228">
        <v>181</v>
      </c>
      <c r="AT53" s="228">
        <v>184</v>
      </c>
      <c r="AU53" s="228">
        <v>-3</v>
      </c>
      <c r="AV53" s="229">
        <v>-1.7399999999999999E-2</v>
      </c>
      <c r="AW53" s="228">
        <v>161</v>
      </c>
      <c r="AX53" s="228">
        <v>159</v>
      </c>
      <c r="AY53" s="228">
        <v>2</v>
      </c>
      <c r="AZ53" s="229">
        <v>1.01E-2</v>
      </c>
      <c r="BA53" s="228">
        <v>20</v>
      </c>
      <c r="BB53" s="228">
        <v>25</v>
      </c>
      <c r="BC53" s="228">
        <v>-5</v>
      </c>
      <c r="BD53" s="229">
        <v>-0.19350000000000001</v>
      </c>
      <c r="BE53" s="228">
        <v>0</v>
      </c>
      <c r="BF53" s="228">
        <v>0</v>
      </c>
      <c r="BG53" s="228">
        <v>0</v>
      </c>
      <c r="BH53" s="229">
        <v>-0.33329999999999999</v>
      </c>
      <c r="BI53" s="228">
        <v>301</v>
      </c>
      <c r="BJ53" s="228">
        <v>333</v>
      </c>
      <c r="BK53" s="228">
        <v>-31</v>
      </c>
      <c r="BL53" s="229">
        <v>-9.4600000000000004E-2</v>
      </c>
      <c r="BM53" s="230">
        <v>1238</v>
      </c>
      <c r="BN53" s="228">
        <v>512</v>
      </c>
      <c r="BO53" s="228">
        <v>726</v>
      </c>
      <c r="BP53" s="229">
        <v>1.4159999999999999</v>
      </c>
      <c r="BQ53" s="230">
        <v>1720</v>
      </c>
      <c r="BR53" s="230">
        <v>1029</v>
      </c>
      <c r="BS53" s="228">
        <v>691</v>
      </c>
      <c r="BT53" s="229">
        <v>0.67130000000000001</v>
      </c>
      <c r="BU53" s="230">
        <v>361309</v>
      </c>
      <c r="BV53" s="230">
        <v>405298</v>
      </c>
      <c r="BW53" s="230">
        <v>-43989</v>
      </c>
      <c r="BX53" s="229">
        <v>-0.1085</v>
      </c>
      <c r="BY53" s="228">
        <v>431</v>
      </c>
      <c r="BZ53" s="228">
        <v>433</v>
      </c>
      <c r="CA53" s="228">
        <v>-2</v>
      </c>
      <c r="CB53" s="229">
        <v>-4.5999999999999999E-3</v>
      </c>
      <c r="CC53" s="228">
        <v>397</v>
      </c>
      <c r="CD53" s="228">
        <v>413</v>
      </c>
      <c r="CE53" s="228">
        <v>-16</v>
      </c>
      <c r="CF53" s="229">
        <v>-3.9100000000000003E-2</v>
      </c>
      <c r="CG53" s="228">
        <v>33</v>
      </c>
      <c r="CH53" s="228">
        <v>18</v>
      </c>
      <c r="CI53" s="228">
        <v>14</v>
      </c>
      <c r="CJ53" s="229">
        <v>0.77</v>
      </c>
      <c r="CK53" s="228">
        <v>1</v>
      </c>
      <c r="CL53" s="228">
        <v>1</v>
      </c>
      <c r="CM53" s="228">
        <v>0</v>
      </c>
      <c r="CN53" s="229">
        <v>-4.7600000000000003E-2</v>
      </c>
      <c r="CO53" s="228">
        <v>273</v>
      </c>
      <c r="CP53" s="228">
        <v>238</v>
      </c>
      <c r="CQ53" s="228">
        <v>34</v>
      </c>
      <c r="CR53" s="229">
        <v>0.14399999999999999</v>
      </c>
      <c r="CS53" s="228">
        <v>366</v>
      </c>
      <c r="CT53" s="228">
        <v>287</v>
      </c>
      <c r="CU53" s="228">
        <v>79</v>
      </c>
      <c r="CV53" s="229">
        <v>0.27639999999999998</v>
      </c>
      <c r="CW53" s="230">
        <v>1070</v>
      </c>
      <c r="CX53" s="228">
        <v>958</v>
      </c>
      <c r="CY53" s="228">
        <v>112</v>
      </c>
      <c r="CZ53" s="229">
        <v>0.1164</v>
      </c>
      <c r="DA53" s="228">
        <v>38.409999999999997</v>
      </c>
      <c r="DB53" s="228">
        <v>38.04</v>
      </c>
      <c r="DC53" s="228">
        <v>0.37</v>
      </c>
      <c r="DD53" s="228">
        <v>0.37</v>
      </c>
      <c r="DE53" s="228">
        <v>30.79</v>
      </c>
      <c r="DF53" s="228">
        <v>30.74</v>
      </c>
      <c r="DG53" s="228">
        <v>7.62</v>
      </c>
      <c r="DH53" s="228">
        <v>0.05</v>
      </c>
      <c r="DI53" s="228">
        <v>33.61</v>
      </c>
      <c r="DJ53" s="228">
        <v>35.33</v>
      </c>
      <c r="DK53" s="228">
        <v>-1.72</v>
      </c>
      <c r="DL53" s="228">
        <v>-1.72</v>
      </c>
      <c r="DM53" s="228">
        <v>39.57</v>
      </c>
      <c r="DN53" s="228">
        <v>39.799999999999997</v>
      </c>
      <c r="DO53" s="228">
        <v>-0.23</v>
      </c>
      <c r="DP53" s="228">
        <v>-0.23</v>
      </c>
      <c r="DQ53" s="228">
        <v>1.34</v>
      </c>
      <c r="DR53" s="228">
        <v>1.2</v>
      </c>
      <c r="DS53" s="228">
        <v>0.14000000000000001</v>
      </c>
      <c r="DT53" s="229">
        <v>0.1167</v>
      </c>
      <c r="DU53" s="231">
        <v>2100</v>
      </c>
      <c r="DV53" s="231">
        <v>1840</v>
      </c>
      <c r="DW53" s="228">
        <v>4.1100000000000003</v>
      </c>
      <c r="DX53" s="228">
        <v>1.54</v>
      </c>
      <c r="DY53" s="228">
        <v>2.57</v>
      </c>
      <c r="DZ53" s="229">
        <v>1.6688000000000001</v>
      </c>
      <c r="EA53" s="229">
        <v>7.8700000000000006E-2</v>
      </c>
      <c r="EB53" s="230">
        <v>104325</v>
      </c>
      <c r="EC53" s="229">
        <v>7.0000000000000001E-3</v>
      </c>
      <c r="ED53" s="229">
        <v>7.8700000000000006E-2</v>
      </c>
      <c r="EE53" s="228">
        <v>24.86</v>
      </c>
      <c r="EF53" s="229">
        <v>1.32E-2</v>
      </c>
      <c r="EG53" s="230">
        <v>210715</v>
      </c>
      <c r="EH53" s="230">
        <v>173561</v>
      </c>
      <c r="EI53" s="229">
        <v>0.21410000000000001</v>
      </c>
      <c r="EJ53" s="229">
        <v>0.58320000000000005</v>
      </c>
      <c r="EK53" s="228">
        <v>314.06</v>
      </c>
      <c r="EL53" s="231">
        <v>1200.79</v>
      </c>
      <c r="EM53" s="228">
        <v>179.25</v>
      </c>
      <c r="EN53" s="228">
        <v>17.23</v>
      </c>
      <c r="EO53" s="231">
        <v>1694.09</v>
      </c>
      <c r="EP53" s="231">
        <v>1023.43</v>
      </c>
      <c r="EQ53" s="228">
        <v>670.66</v>
      </c>
      <c r="ER53" s="229">
        <v>0.65529999999999999</v>
      </c>
      <c r="ES53" s="228">
        <v>293.62</v>
      </c>
      <c r="ET53" s="228">
        <v>355.34</v>
      </c>
      <c r="EU53" s="228">
        <v>431.51</v>
      </c>
      <c r="EV53" s="231">
        <v>12425041</v>
      </c>
      <c r="EW53" s="231">
        <v>1080.47</v>
      </c>
      <c r="EX53" s="228">
        <v>958.25</v>
      </c>
      <c r="EY53" s="228">
        <v>122.22</v>
      </c>
      <c r="EZ53" s="229">
        <v>0.1275</v>
      </c>
      <c r="FA53" s="229">
        <v>0.45400000000000001</v>
      </c>
      <c r="FB53" s="227" t="s">
        <v>556</v>
      </c>
      <c r="FC53">
        <f t="shared" si="0"/>
        <v>34</v>
      </c>
    </row>
    <row r="54" spans="1:159" ht="17.25" hidden="1" thickBot="1" x14ac:dyDescent="0.3">
      <c r="A54" s="226">
        <v>46093</v>
      </c>
      <c r="B54" s="227" t="s">
        <v>615</v>
      </c>
      <c r="C54" s="227" t="s">
        <v>600</v>
      </c>
      <c r="D54" s="228">
        <v>2075</v>
      </c>
      <c r="E54" s="228">
        <v>18</v>
      </c>
      <c r="F54" s="228">
        <v>409.9</v>
      </c>
      <c r="G54" s="228">
        <v>418.65</v>
      </c>
      <c r="H54" s="228">
        <v>-8.75</v>
      </c>
      <c r="I54" s="229">
        <v>-2.0899999999999998E-2</v>
      </c>
      <c r="J54" s="228">
        <v>408.2</v>
      </c>
      <c r="K54" s="228">
        <v>417.95</v>
      </c>
      <c r="L54" s="228">
        <v>-9.75</v>
      </c>
      <c r="M54" s="229">
        <v>-2.3300000000000001E-2</v>
      </c>
      <c r="N54" s="228">
        <v>409.9</v>
      </c>
      <c r="O54" s="228">
        <v>418.65</v>
      </c>
      <c r="P54" s="228">
        <v>-8.75</v>
      </c>
      <c r="Q54" s="229">
        <v>-2.0899999999999998E-2</v>
      </c>
      <c r="R54" s="228">
        <v>411.95</v>
      </c>
      <c r="S54" s="228">
        <v>421.2</v>
      </c>
      <c r="T54" s="228">
        <v>-9.25</v>
      </c>
      <c r="U54" s="229">
        <v>-2.1999999999999999E-2</v>
      </c>
      <c r="V54" s="228">
        <v>415</v>
      </c>
      <c r="W54" s="228">
        <v>424</v>
      </c>
      <c r="X54" s="228">
        <v>-9</v>
      </c>
      <c r="Y54" s="229">
        <v>-2.12E-2</v>
      </c>
      <c r="Z54" s="228">
        <v>1.7</v>
      </c>
      <c r="AA54" s="228">
        <v>0.7</v>
      </c>
      <c r="AB54" s="228">
        <v>1</v>
      </c>
      <c r="AC54" s="229">
        <v>4.1999999999999997E-3</v>
      </c>
      <c r="AD54" s="228">
        <v>1.7</v>
      </c>
      <c r="AE54" s="228">
        <v>0.7</v>
      </c>
      <c r="AF54" s="228">
        <v>1</v>
      </c>
      <c r="AG54" s="229">
        <v>4.1999999999999997E-3</v>
      </c>
      <c r="AH54" s="228">
        <v>3.75</v>
      </c>
      <c r="AI54" s="228">
        <v>3.25</v>
      </c>
      <c r="AJ54" s="228">
        <v>0.5</v>
      </c>
      <c r="AK54" s="229">
        <v>9.1999999999999998E-3</v>
      </c>
      <c r="AL54" s="228">
        <v>6.8</v>
      </c>
      <c r="AM54" s="228">
        <v>6.05</v>
      </c>
      <c r="AN54" s="228">
        <v>0.75</v>
      </c>
      <c r="AO54" s="229">
        <v>1.67E-2</v>
      </c>
      <c r="AP54" s="228">
        <v>410.59</v>
      </c>
      <c r="AQ54" s="228">
        <v>413.31</v>
      </c>
      <c r="AR54" s="228">
        <v>0</v>
      </c>
      <c r="AS54" s="228">
        <v>145</v>
      </c>
      <c r="AT54" s="228">
        <v>83</v>
      </c>
      <c r="AU54" s="228">
        <v>62</v>
      </c>
      <c r="AV54" s="229">
        <v>0.74950000000000006</v>
      </c>
      <c r="AW54" s="228">
        <v>131</v>
      </c>
      <c r="AX54" s="228">
        <v>76</v>
      </c>
      <c r="AY54" s="228">
        <v>55</v>
      </c>
      <c r="AZ54" s="229">
        <v>0.71460000000000001</v>
      </c>
      <c r="BA54" s="228">
        <v>13</v>
      </c>
      <c r="BB54" s="228">
        <v>6</v>
      </c>
      <c r="BC54" s="228">
        <v>7</v>
      </c>
      <c r="BD54" s="229">
        <v>1.2254</v>
      </c>
      <c r="BE54" s="228">
        <v>1</v>
      </c>
      <c r="BF54" s="228">
        <v>1</v>
      </c>
      <c r="BG54" s="228">
        <v>0</v>
      </c>
      <c r="BH54" s="229">
        <v>0.33329999999999999</v>
      </c>
      <c r="BI54" s="228">
        <v>218</v>
      </c>
      <c r="BJ54" s="228">
        <v>122</v>
      </c>
      <c r="BK54" s="228">
        <v>96</v>
      </c>
      <c r="BL54" s="229">
        <v>0.78180000000000005</v>
      </c>
      <c r="BM54" s="228">
        <v>156</v>
      </c>
      <c r="BN54" s="228">
        <v>105</v>
      </c>
      <c r="BO54" s="228">
        <v>51</v>
      </c>
      <c r="BP54" s="229">
        <v>0.48980000000000001</v>
      </c>
      <c r="BQ54" s="228">
        <v>519</v>
      </c>
      <c r="BR54" s="228">
        <v>310</v>
      </c>
      <c r="BS54" s="228">
        <v>209</v>
      </c>
      <c r="BT54" s="229">
        <v>0.67449999999999999</v>
      </c>
      <c r="BU54" s="230">
        <v>1705456</v>
      </c>
      <c r="BV54" s="230">
        <v>917423</v>
      </c>
      <c r="BW54" s="230">
        <v>788033</v>
      </c>
      <c r="BX54" s="229">
        <v>0.85899999999999999</v>
      </c>
      <c r="BY54" s="230">
        <v>1023</v>
      </c>
      <c r="BZ54" s="228">
        <v>982</v>
      </c>
      <c r="CA54" s="228">
        <v>41</v>
      </c>
      <c r="CB54" s="229">
        <v>4.1500000000000002E-2</v>
      </c>
      <c r="CC54" s="230">
        <v>1004</v>
      </c>
      <c r="CD54" s="228">
        <v>967</v>
      </c>
      <c r="CE54" s="228">
        <v>37</v>
      </c>
      <c r="CF54" s="229">
        <v>3.8199999999999998E-2</v>
      </c>
      <c r="CG54" s="228">
        <v>18</v>
      </c>
      <c r="CH54" s="228">
        <v>14</v>
      </c>
      <c r="CI54" s="228">
        <v>3</v>
      </c>
      <c r="CJ54" s="229">
        <v>0.24099999999999999</v>
      </c>
      <c r="CK54" s="228">
        <v>1</v>
      </c>
      <c r="CL54" s="228">
        <v>1</v>
      </c>
      <c r="CM54" s="228">
        <v>0</v>
      </c>
      <c r="CN54" s="229">
        <v>0.44440000000000002</v>
      </c>
      <c r="CO54" s="228">
        <v>294</v>
      </c>
      <c r="CP54" s="228">
        <v>277</v>
      </c>
      <c r="CQ54" s="228">
        <v>18</v>
      </c>
      <c r="CR54" s="229">
        <v>6.3899999999999998E-2</v>
      </c>
      <c r="CS54" s="228">
        <v>169</v>
      </c>
      <c r="CT54" s="228">
        <v>162</v>
      </c>
      <c r="CU54" s="228">
        <v>7</v>
      </c>
      <c r="CV54" s="229">
        <v>4.4200000000000003E-2</v>
      </c>
      <c r="CW54" s="230">
        <v>1486</v>
      </c>
      <c r="CX54" s="230">
        <v>1421</v>
      </c>
      <c r="CY54" s="228">
        <v>66</v>
      </c>
      <c r="CZ54" s="229">
        <v>4.6199999999999998E-2</v>
      </c>
      <c r="DA54" s="228">
        <v>34.93</v>
      </c>
      <c r="DB54" s="228">
        <v>34.19</v>
      </c>
      <c r="DC54" s="228">
        <v>0.74</v>
      </c>
      <c r="DD54" s="228">
        <v>0.74</v>
      </c>
      <c r="DE54" s="228">
        <v>39.08</v>
      </c>
      <c r="DF54" s="228">
        <v>39.07</v>
      </c>
      <c r="DG54" s="228">
        <v>-4.1500000000000004</v>
      </c>
      <c r="DH54" s="228">
        <v>0.01</v>
      </c>
      <c r="DI54" s="228">
        <v>33.81</v>
      </c>
      <c r="DJ54" s="228">
        <v>33.01</v>
      </c>
      <c r="DK54" s="228">
        <v>0.8</v>
      </c>
      <c r="DL54" s="228">
        <v>0.8</v>
      </c>
      <c r="DM54" s="228">
        <v>36.51</v>
      </c>
      <c r="DN54" s="228">
        <v>35.58</v>
      </c>
      <c r="DO54" s="228">
        <v>0.93</v>
      </c>
      <c r="DP54" s="228">
        <v>0.93</v>
      </c>
      <c r="DQ54" s="228">
        <v>0.56999999999999995</v>
      </c>
      <c r="DR54" s="228">
        <v>0.57999999999999996</v>
      </c>
      <c r="DS54" s="228">
        <v>-0.01</v>
      </c>
      <c r="DT54" s="229">
        <v>-1.72E-2</v>
      </c>
      <c r="DU54" s="228">
        <v>450</v>
      </c>
      <c r="DV54" s="228">
        <v>420</v>
      </c>
      <c r="DW54" s="228">
        <v>0.72</v>
      </c>
      <c r="DX54" s="228">
        <v>0.86</v>
      </c>
      <c r="DY54" s="228">
        <v>-0.14000000000000001</v>
      </c>
      <c r="DZ54" s="229">
        <v>-0.1628</v>
      </c>
      <c r="EA54" s="229">
        <v>1.8200000000000001E-2</v>
      </c>
      <c r="EB54" s="230">
        <v>363125</v>
      </c>
      <c r="EC54" s="229">
        <v>5.0000000000000001E-3</v>
      </c>
      <c r="ED54" s="229">
        <v>1.8200000000000001E-2</v>
      </c>
      <c r="EE54" s="228">
        <v>2.72</v>
      </c>
      <c r="EF54" s="229">
        <v>6.6E-3</v>
      </c>
      <c r="EG54" s="230">
        <v>804237</v>
      </c>
      <c r="EH54" s="230">
        <v>395205</v>
      </c>
      <c r="EI54" s="229">
        <v>1.0349999999999999</v>
      </c>
      <c r="EJ54" s="229">
        <v>0.47160000000000002</v>
      </c>
      <c r="EK54" s="228">
        <v>236.93</v>
      </c>
      <c r="EL54" s="228">
        <v>157.97</v>
      </c>
      <c r="EM54" s="228">
        <v>145.27000000000001</v>
      </c>
      <c r="EN54" s="228">
        <v>13.13</v>
      </c>
      <c r="EO54" s="228">
        <v>540.16999999999996</v>
      </c>
      <c r="EP54" s="228">
        <v>327.7</v>
      </c>
      <c r="EQ54" s="228">
        <v>212.47</v>
      </c>
      <c r="ER54" s="229">
        <v>0.64839999999999998</v>
      </c>
      <c r="ES54" s="228">
        <v>323.2</v>
      </c>
      <c r="ET54" s="228">
        <v>168.44</v>
      </c>
      <c r="EU54" s="231">
        <v>1023.22</v>
      </c>
      <c r="EV54" s="231">
        <v>112112283</v>
      </c>
      <c r="EW54" s="231">
        <v>1514.86</v>
      </c>
      <c r="EX54" s="231">
        <v>1470.69</v>
      </c>
      <c r="EY54" s="228">
        <v>44.17</v>
      </c>
      <c r="EZ54" s="229">
        <v>0.03</v>
      </c>
      <c r="FA54" s="229">
        <v>0.32340000000000002</v>
      </c>
      <c r="FB54" s="227" t="s">
        <v>567</v>
      </c>
      <c r="FC54">
        <f t="shared" si="0"/>
        <v>19</v>
      </c>
    </row>
    <row r="55" spans="1:159" ht="17.25" hidden="1" thickBot="1" x14ac:dyDescent="0.3">
      <c r="A55" s="226">
        <v>46093</v>
      </c>
      <c r="B55" s="227" t="s">
        <v>170</v>
      </c>
      <c r="C55" s="227" t="s">
        <v>205</v>
      </c>
      <c r="D55" s="228">
        <v>100</v>
      </c>
      <c r="E55" s="228">
        <v>18</v>
      </c>
      <c r="F55" s="231">
        <v>6290.5</v>
      </c>
      <c r="G55" s="231">
        <v>6367</v>
      </c>
      <c r="H55" s="228">
        <v>-76.5</v>
      </c>
      <c r="I55" s="229">
        <v>-1.2E-2</v>
      </c>
      <c r="J55" s="231">
        <v>6282</v>
      </c>
      <c r="K55" s="231">
        <v>6352.5</v>
      </c>
      <c r="L55" s="228">
        <v>-70.5</v>
      </c>
      <c r="M55" s="229">
        <v>-1.11E-2</v>
      </c>
      <c r="N55" s="231">
        <v>6290.5</v>
      </c>
      <c r="O55" s="231">
        <v>6367</v>
      </c>
      <c r="P55" s="228">
        <v>-76.5</v>
      </c>
      <c r="Q55" s="229">
        <v>-1.2E-2</v>
      </c>
      <c r="R55" s="231">
        <v>6328</v>
      </c>
      <c r="S55" s="231">
        <v>6403.5</v>
      </c>
      <c r="T55" s="228">
        <v>-75.5</v>
      </c>
      <c r="U55" s="229">
        <v>-1.18E-2</v>
      </c>
      <c r="V55" s="231">
        <v>6377</v>
      </c>
      <c r="W55" s="231">
        <v>6443.5</v>
      </c>
      <c r="X55" s="228">
        <v>-66.5</v>
      </c>
      <c r="Y55" s="229">
        <v>-1.03E-2</v>
      </c>
      <c r="Z55" s="228">
        <v>8.5</v>
      </c>
      <c r="AA55" s="228">
        <v>14.5</v>
      </c>
      <c r="AB55" s="228">
        <v>-6</v>
      </c>
      <c r="AC55" s="229">
        <v>1.4E-3</v>
      </c>
      <c r="AD55" s="228">
        <v>8.5</v>
      </c>
      <c r="AE55" s="228">
        <v>14.5</v>
      </c>
      <c r="AF55" s="228">
        <v>-6</v>
      </c>
      <c r="AG55" s="229">
        <v>1.4E-3</v>
      </c>
      <c r="AH55" s="228">
        <v>46</v>
      </c>
      <c r="AI55" s="228">
        <v>51</v>
      </c>
      <c r="AJ55" s="228">
        <v>-5</v>
      </c>
      <c r="AK55" s="229">
        <v>7.3000000000000001E-3</v>
      </c>
      <c r="AL55" s="228">
        <v>95</v>
      </c>
      <c r="AM55" s="228">
        <v>91</v>
      </c>
      <c r="AN55" s="228">
        <v>4</v>
      </c>
      <c r="AO55" s="229">
        <v>1.5100000000000001E-2</v>
      </c>
      <c r="AP55" s="231">
        <v>6278.05</v>
      </c>
      <c r="AQ55" s="231">
        <v>6319.29</v>
      </c>
      <c r="AR55" s="228">
        <v>0</v>
      </c>
      <c r="AS55" s="228">
        <v>248</v>
      </c>
      <c r="AT55" s="228">
        <v>240</v>
      </c>
      <c r="AU55" s="228">
        <v>8</v>
      </c>
      <c r="AV55" s="229">
        <v>3.3000000000000002E-2</v>
      </c>
      <c r="AW55" s="228">
        <v>237</v>
      </c>
      <c r="AX55" s="228">
        <v>222</v>
      </c>
      <c r="AY55" s="228">
        <v>15</v>
      </c>
      <c r="AZ55" s="229">
        <v>6.7199999999999996E-2</v>
      </c>
      <c r="BA55" s="228">
        <v>11</v>
      </c>
      <c r="BB55" s="228">
        <v>18</v>
      </c>
      <c r="BC55" s="228">
        <v>-7</v>
      </c>
      <c r="BD55" s="229">
        <v>-0.40429999999999999</v>
      </c>
      <c r="BE55" s="228">
        <v>1</v>
      </c>
      <c r="BF55" s="228">
        <v>1</v>
      </c>
      <c r="BG55" s="228">
        <v>0</v>
      </c>
      <c r="BH55" s="229">
        <v>0.2727</v>
      </c>
      <c r="BI55" s="228">
        <v>660</v>
      </c>
      <c r="BJ55" s="228">
        <v>770</v>
      </c>
      <c r="BK55" s="228">
        <v>-110</v>
      </c>
      <c r="BL55" s="229">
        <v>-0.14280000000000001</v>
      </c>
      <c r="BM55" s="228">
        <v>317</v>
      </c>
      <c r="BN55" s="228">
        <v>281</v>
      </c>
      <c r="BO55" s="228">
        <v>36</v>
      </c>
      <c r="BP55" s="229">
        <v>0.127</v>
      </c>
      <c r="BQ55" s="230">
        <v>1226</v>
      </c>
      <c r="BR55" s="230">
        <v>1292</v>
      </c>
      <c r="BS55" s="228">
        <v>-66</v>
      </c>
      <c r="BT55" s="229">
        <v>-5.1299999999999998E-2</v>
      </c>
      <c r="BU55" s="230">
        <v>156597</v>
      </c>
      <c r="BV55" s="230">
        <v>257771</v>
      </c>
      <c r="BW55" s="230">
        <v>-101174</v>
      </c>
      <c r="BX55" s="229">
        <v>-0.39250000000000002</v>
      </c>
      <c r="BY55" s="230">
        <v>1689</v>
      </c>
      <c r="BZ55" s="230">
        <v>1742</v>
      </c>
      <c r="CA55" s="228">
        <v>-53</v>
      </c>
      <c r="CB55" s="229">
        <v>-3.0200000000000001E-2</v>
      </c>
      <c r="CC55" s="230">
        <v>1630</v>
      </c>
      <c r="CD55" s="230">
        <v>1687</v>
      </c>
      <c r="CE55" s="228">
        <v>-56</v>
      </c>
      <c r="CF55" s="229">
        <v>-3.3399999999999999E-2</v>
      </c>
      <c r="CG55" s="228">
        <v>56</v>
      </c>
      <c r="CH55" s="228">
        <v>53</v>
      </c>
      <c r="CI55" s="228">
        <v>3</v>
      </c>
      <c r="CJ55" s="229">
        <v>6.1499999999999999E-2</v>
      </c>
      <c r="CK55" s="228">
        <v>2</v>
      </c>
      <c r="CL55" s="228">
        <v>2</v>
      </c>
      <c r="CM55" s="228">
        <v>0</v>
      </c>
      <c r="CN55" s="229">
        <v>0.23080000000000001</v>
      </c>
      <c r="CO55" s="228">
        <v>490</v>
      </c>
      <c r="CP55" s="228">
        <v>525</v>
      </c>
      <c r="CQ55" s="228">
        <v>-35</v>
      </c>
      <c r="CR55" s="229">
        <v>-6.7400000000000002E-2</v>
      </c>
      <c r="CS55" s="228">
        <v>292</v>
      </c>
      <c r="CT55" s="228">
        <v>293</v>
      </c>
      <c r="CU55" s="228">
        <v>-1</v>
      </c>
      <c r="CV55" s="229">
        <v>-2.5999999999999999E-3</v>
      </c>
      <c r="CW55" s="230">
        <v>2471</v>
      </c>
      <c r="CX55" s="230">
        <v>2560</v>
      </c>
      <c r="CY55" s="228">
        <v>-89</v>
      </c>
      <c r="CZ55" s="229">
        <v>-3.4700000000000002E-2</v>
      </c>
      <c r="DA55" s="228">
        <v>28.92</v>
      </c>
      <c r="DB55" s="228">
        <v>28.18</v>
      </c>
      <c r="DC55" s="228">
        <v>0.74</v>
      </c>
      <c r="DD55" s="228">
        <v>0.74</v>
      </c>
      <c r="DE55" s="228">
        <v>29.97</v>
      </c>
      <c r="DF55" s="228">
        <v>30</v>
      </c>
      <c r="DG55" s="228">
        <v>-1.05</v>
      </c>
      <c r="DH55" s="228">
        <v>-0.03</v>
      </c>
      <c r="DI55" s="228">
        <v>28.62</v>
      </c>
      <c r="DJ55" s="228">
        <v>27.71</v>
      </c>
      <c r="DK55" s="228">
        <v>0.91</v>
      </c>
      <c r="DL55" s="228">
        <v>0.91</v>
      </c>
      <c r="DM55" s="228">
        <v>29.55</v>
      </c>
      <c r="DN55" s="228">
        <v>29.49</v>
      </c>
      <c r="DO55" s="228">
        <v>0.06</v>
      </c>
      <c r="DP55" s="228">
        <v>0.06</v>
      </c>
      <c r="DQ55" s="228">
        <v>0.6</v>
      </c>
      <c r="DR55" s="228">
        <v>0.56000000000000005</v>
      </c>
      <c r="DS55" s="228">
        <v>0.04</v>
      </c>
      <c r="DT55" s="229">
        <v>7.1400000000000005E-2</v>
      </c>
      <c r="DU55" s="231">
        <v>6500</v>
      </c>
      <c r="DV55" s="231">
        <v>6400</v>
      </c>
      <c r="DW55" s="228">
        <v>0.48</v>
      </c>
      <c r="DX55" s="228">
        <v>0.37</v>
      </c>
      <c r="DY55" s="228">
        <v>0.11</v>
      </c>
      <c r="DZ55" s="229">
        <v>0.29730000000000001</v>
      </c>
      <c r="EA55" s="229">
        <v>3.4599999999999999E-2</v>
      </c>
      <c r="EB55" s="230">
        <v>87200</v>
      </c>
      <c r="EC55" s="229">
        <v>6.0000000000000001E-3</v>
      </c>
      <c r="ED55" s="229">
        <v>3.4599999999999999E-2</v>
      </c>
      <c r="EE55" s="228">
        <v>41.24</v>
      </c>
      <c r="EF55" s="229">
        <v>6.6E-3</v>
      </c>
      <c r="EG55" s="230">
        <v>78537</v>
      </c>
      <c r="EH55" s="230">
        <v>118734</v>
      </c>
      <c r="EI55" s="229">
        <v>-0.33850000000000002</v>
      </c>
      <c r="EJ55" s="229">
        <v>0.50149999999999995</v>
      </c>
      <c r="EK55" s="228">
        <v>699.52</v>
      </c>
      <c r="EL55" s="228">
        <v>317.36</v>
      </c>
      <c r="EM55" s="228">
        <v>247.87</v>
      </c>
      <c r="EN55" s="228">
        <v>35.85</v>
      </c>
      <c r="EO55" s="231">
        <v>1264.75</v>
      </c>
      <c r="EP55" s="231">
        <v>1350.26</v>
      </c>
      <c r="EQ55" s="228">
        <v>-85.5</v>
      </c>
      <c r="ER55" s="229">
        <v>-6.3299999999999995E-2</v>
      </c>
      <c r="ES55" s="228">
        <v>521.54</v>
      </c>
      <c r="ET55" s="228">
        <v>283.36</v>
      </c>
      <c r="EU55" s="231">
        <v>1689.36</v>
      </c>
      <c r="EV55" s="231">
        <v>14898112</v>
      </c>
      <c r="EW55" s="231">
        <v>2494.2600000000002</v>
      </c>
      <c r="EX55" s="231">
        <v>2606.6999999999998</v>
      </c>
      <c r="EY55" s="228">
        <v>-112.44</v>
      </c>
      <c r="EZ55" s="229">
        <v>-4.3099999999999999E-2</v>
      </c>
      <c r="FA55" s="229">
        <v>0.26369999999999999</v>
      </c>
      <c r="FB55" s="227" t="s">
        <v>568</v>
      </c>
      <c r="FC55">
        <f t="shared" si="0"/>
        <v>59</v>
      </c>
    </row>
    <row r="56" spans="1:159" ht="17.25" hidden="1" thickBot="1" x14ac:dyDescent="0.3">
      <c r="A56" s="226">
        <v>46093</v>
      </c>
      <c r="B56" s="227" t="s">
        <v>184</v>
      </c>
      <c r="C56" s="227" t="s">
        <v>512</v>
      </c>
      <c r="D56" s="228">
        <v>50</v>
      </c>
      <c r="E56" s="228">
        <v>18</v>
      </c>
      <c r="F56" s="231">
        <v>10737</v>
      </c>
      <c r="G56" s="231">
        <v>10572</v>
      </c>
      <c r="H56" s="228">
        <v>165</v>
      </c>
      <c r="I56" s="229">
        <v>1.5599999999999999E-2</v>
      </c>
      <c r="J56" s="231">
        <v>10803</v>
      </c>
      <c r="K56" s="231">
        <v>10618</v>
      </c>
      <c r="L56" s="228">
        <v>185</v>
      </c>
      <c r="M56" s="229">
        <v>1.7399999999999999E-2</v>
      </c>
      <c r="N56" s="231">
        <v>10737</v>
      </c>
      <c r="O56" s="231">
        <v>10572</v>
      </c>
      <c r="P56" s="228">
        <v>165</v>
      </c>
      <c r="Q56" s="229">
        <v>1.5599999999999999E-2</v>
      </c>
      <c r="R56" s="231">
        <v>10753</v>
      </c>
      <c r="S56" s="231">
        <v>10619</v>
      </c>
      <c r="T56" s="228">
        <v>134</v>
      </c>
      <c r="U56" s="229">
        <v>1.26E-2</v>
      </c>
      <c r="V56" s="231">
        <v>10787</v>
      </c>
      <c r="W56" s="231">
        <v>10683</v>
      </c>
      <c r="X56" s="228">
        <v>104</v>
      </c>
      <c r="Y56" s="229">
        <v>9.7000000000000003E-3</v>
      </c>
      <c r="Z56" s="228">
        <v>-66</v>
      </c>
      <c r="AA56" s="228">
        <v>-46</v>
      </c>
      <c r="AB56" s="228">
        <v>-20</v>
      </c>
      <c r="AC56" s="229">
        <v>-6.1000000000000004E-3</v>
      </c>
      <c r="AD56" s="228">
        <v>-66</v>
      </c>
      <c r="AE56" s="228">
        <v>-46</v>
      </c>
      <c r="AF56" s="228">
        <v>-20</v>
      </c>
      <c r="AG56" s="229">
        <v>-6.1000000000000004E-3</v>
      </c>
      <c r="AH56" s="228">
        <v>-50</v>
      </c>
      <c r="AI56" s="228">
        <v>1</v>
      </c>
      <c r="AJ56" s="228">
        <v>-51</v>
      </c>
      <c r="AK56" s="229">
        <v>-4.5999999999999999E-3</v>
      </c>
      <c r="AL56" s="228">
        <v>-16</v>
      </c>
      <c r="AM56" s="228">
        <v>65</v>
      </c>
      <c r="AN56" s="228">
        <v>-81</v>
      </c>
      <c r="AO56" s="229">
        <v>-1.5E-3</v>
      </c>
      <c r="AP56" s="231">
        <v>10547.89</v>
      </c>
      <c r="AQ56" s="231">
        <v>10549.67</v>
      </c>
      <c r="AR56" s="228">
        <v>0</v>
      </c>
      <c r="AS56" s="230">
        <v>1246</v>
      </c>
      <c r="AT56" s="230">
        <v>1642</v>
      </c>
      <c r="AU56" s="228">
        <v>-396</v>
      </c>
      <c r="AV56" s="229">
        <v>-0.2414</v>
      </c>
      <c r="AW56" s="230">
        <v>1063</v>
      </c>
      <c r="AX56" s="230">
        <v>1451</v>
      </c>
      <c r="AY56" s="228">
        <v>-388</v>
      </c>
      <c r="AZ56" s="229">
        <v>-0.26719999999999999</v>
      </c>
      <c r="BA56" s="228">
        <v>163</v>
      </c>
      <c r="BB56" s="228">
        <v>169</v>
      </c>
      <c r="BC56" s="228">
        <v>-6</v>
      </c>
      <c r="BD56" s="229">
        <v>-3.7699999999999997E-2</v>
      </c>
      <c r="BE56" s="228">
        <v>19</v>
      </c>
      <c r="BF56" s="228">
        <v>22</v>
      </c>
      <c r="BG56" s="228">
        <v>-2</v>
      </c>
      <c r="BH56" s="229">
        <v>-0.1042</v>
      </c>
      <c r="BI56" s="230">
        <v>7071</v>
      </c>
      <c r="BJ56" s="230">
        <v>9615</v>
      </c>
      <c r="BK56" s="230">
        <v>-2544</v>
      </c>
      <c r="BL56" s="229">
        <v>-0.2646</v>
      </c>
      <c r="BM56" s="230">
        <v>2762</v>
      </c>
      <c r="BN56" s="230">
        <v>4458</v>
      </c>
      <c r="BO56" s="230">
        <v>-1696</v>
      </c>
      <c r="BP56" s="229">
        <v>-0.38040000000000002</v>
      </c>
      <c r="BQ56" s="230">
        <v>11079</v>
      </c>
      <c r="BR56" s="230">
        <v>15715</v>
      </c>
      <c r="BS56" s="230">
        <v>-4636</v>
      </c>
      <c r="BT56" s="229">
        <v>-0.29499999999999998</v>
      </c>
      <c r="BU56" s="230">
        <v>1050635</v>
      </c>
      <c r="BV56" s="230">
        <v>1423271</v>
      </c>
      <c r="BW56" s="230">
        <v>-372636</v>
      </c>
      <c r="BX56" s="229">
        <v>-0.26179999999999998</v>
      </c>
      <c r="BY56" s="230">
        <v>2915</v>
      </c>
      <c r="BZ56" s="230">
        <v>2904</v>
      </c>
      <c r="CA56" s="228">
        <v>11</v>
      </c>
      <c r="CB56" s="229">
        <v>3.7000000000000002E-3</v>
      </c>
      <c r="CC56" s="230">
        <v>2670</v>
      </c>
      <c r="CD56" s="230">
        <v>2683</v>
      </c>
      <c r="CE56" s="228">
        <v>-13</v>
      </c>
      <c r="CF56" s="229">
        <v>-5.0000000000000001E-3</v>
      </c>
      <c r="CG56" s="228">
        <v>214</v>
      </c>
      <c r="CH56" s="228">
        <v>193</v>
      </c>
      <c r="CI56" s="228">
        <v>21</v>
      </c>
      <c r="CJ56" s="229">
        <v>0.10970000000000001</v>
      </c>
      <c r="CK56" s="228">
        <v>31</v>
      </c>
      <c r="CL56" s="228">
        <v>28</v>
      </c>
      <c r="CM56" s="228">
        <v>3</v>
      </c>
      <c r="CN56" s="229">
        <v>0.1036</v>
      </c>
      <c r="CO56" s="230">
        <v>2524</v>
      </c>
      <c r="CP56" s="230">
        <v>2561</v>
      </c>
      <c r="CQ56" s="228">
        <v>-36</v>
      </c>
      <c r="CR56" s="229">
        <v>-1.4200000000000001E-2</v>
      </c>
      <c r="CS56" s="230">
        <v>1580</v>
      </c>
      <c r="CT56" s="230">
        <v>1522</v>
      </c>
      <c r="CU56" s="228">
        <v>59</v>
      </c>
      <c r="CV56" s="229">
        <v>3.85E-2</v>
      </c>
      <c r="CW56" s="230">
        <v>7019</v>
      </c>
      <c r="CX56" s="230">
        <v>6987</v>
      </c>
      <c r="CY56" s="228">
        <v>33</v>
      </c>
      <c r="CZ56" s="229">
        <v>4.7000000000000002E-3</v>
      </c>
      <c r="DA56" s="228">
        <v>50.12</v>
      </c>
      <c r="DB56" s="228">
        <v>50.87</v>
      </c>
      <c r="DC56" s="228">
        <v>-0.75</v>
      </c>
      <c r="DD56" s="228">
        <v>-0.75</v>
      </c>
      <c r="DE56" s="228">
        <v>47.32</v>
      </c>
      <c r="DF56" s="228">
        <v>47.39</v>
      </c>
      <c r="DG56" s="228">
        <v>2.8</v>
      </c>
      <c r="DH56" s="228">
        <v>-7.0000000000000007E-2</v>
      </c>
      <c r="DI56" s="228">
        <v>49.46</v>
      </c>
      <c r="DJ56" s="228">
        <v>50.74</v>
      </c>
      <c r="DK56" s="228">
        <v>-1.28</v>
      </c>
      <c r="DL56" s="228">
        <v>-1.28</v>
      </c>
      <c r="DM56" s="228">
        <v>51.79</v>
      </c>
      <c r="DN56" s="228">
        <v>51.16</v>
      </c>
      <c r="DO56" s="228">
        <v>0.63</v>
      </c>
      <c r="DP56" s="228">
        <v>0.63</v>
      </c>
      <c r="DQ56" s="228">
        <v>0.63</v>
      </c>
      <c r="DR56" s="228">
        <v>0.59</v>
      </c>
      <c r="DS56" s="228">
        <v>0.04</v>
      </c>
      <c r="DT56" s="229">
        <v>6.7799999999999999E-2</v>
      </c>
      <c r="DU56" s="231">
        <v>12000</v>
      </c>
      <c r="DV56" s="231">
        <v>10000</v>
      </c>
      <c r="DW56" s="228">
        <v>0.39</v>
      </c>
      <c r="DX56" s="228">
        <v>0.46</v>
      </c>
      <c r="DY56" s="228">
        <v>-7.0000000000000007E-2</v>
      </c>
      <c r="DZ56" s="229">
        <v>-0.1522</v>
      </c>
      <c r="EA56" s="229">
        <v>8.4000000000000005E-2</v>
      </c>
      <c r="EB56" s="230">
        <v>205550</v>
      </c>
      <c r="EC56" s="229">
        <v>1.5E-3</v>
      </c>
      <c r="ED56" s="229">
        <v>8.4000000000000005E-2</v>
      </c>
      <c r="EE56" s="228">
        <v>1.78</v>
      </c>
      <c r="EF56" s="229">
        <v>2.0000000000000001E-4</v>
      </c>
      <c r="EG56" s="230">
        <v>222503</v>
      </c>
      <c r="EH56" s="230">
        <v>368053</v>
      </c>
      <c r="EI56" s="229">
        <v>-0.39550000000000002</v>
      </c>
      <c r="EJ56" s="229">
        <v>0.21179999999999999</v>
      </c>
      <c r="EK56" s="231">
        <v>7682.08</v>
      </c>
      <c r="EL56" s="231">
        <v>2606.9299999999998</v>
      </c>
      <c r="EM56" s="231">
        <v>1223.7</v>
      </c>
      <c r="EN56" s="228">
        <v>216.84</v>
      </c>
      <c r="EO56" s="231">
        <v>11512.71</v>
      </c>
      <c r="EP56" s="231">
        <v>16590.810000000001</v>
      </c>
      <c r="EQ56" s="231">
        <v>-5078.1000000000004</v>
      </c>
      <c r="ER56" s="229">
        <v>-0.30609999999999998</v>
      </c>
      <c r="ES56" s="231">
        <v>2736.77</v>
      </c>
      <c r="ET56" s="231">
        <v>1502.25</v>
      </c>
      <c r="EU56" s="231">
        <v>2915.34</v>
      </c>
      <c r="EV56" s="231">
        <v>6452220</v>
      </c>
      <c r="EW56" s="231">
        <v>7154.36</v>
      </c>
      <c r="EX56" s="231">
        <v>7085.53</v>
      </c>
      <c r="EY56" s="228">
        <v>68.83</v>
      </c>
      <c r="EZ56" s="229">
        <v>9.7000000000000003E-3</v>
      </c>
      <c r="FA56" s="229">
        <v>1.0132000000000001</v>
      </c>
      <c r="FB56" s="227" t="s">
        <v>555</v>
      </c>
      <c r="FC56">
        <f t="shared" si="0"/>
        <v>245</v>
      </c>
    </row>
    <row r="57" spans="1:159" ht="17.25" hidden="1" thickBot="1" x14ac:dyDescent="0.3">
      <c r="A57" s="226">
        <v>46093</v>
      </c>
      <c r="B57" s="227" t="s">
        <v>206</v>
      </c>
      <c r="C57" s="227" t="s">
        <v>207</v>
      </c>
      <c r="D57" s="228">
        <v>825</v>
      </c>
      <c r="E57" s="228">
        <v>18</v>
      </c>
      <c r="F57" s="228">
        <v>560.15</v>
      </c>
      <c r="G57" s="228">
        <v>574.20000000000005</v>
      </c>
      <c r="H57" s="228">
        <v>-14.05</v>
      </c>
      <c r="I57" s="229">
        <v>-2.4500000000000001E-2</v>
      </c>
      <c r="J57" s="228">
        <v>558.1</v>
      </c>
      <c r="K57" s="228">
        <v>573.20000000000005</v>
      </c>
      <c r="L57" s="228">
        <v>-15.1</v>
      </c>
      <c r="M57" s="229">
        <v>-2.63E-2</v>
      </c>
      <c r="N57" s="228">
        <v>560.15</v>
      </c>
      <c r="O57" s="228">
        <v>574.20000000000005</v>
      </c>
      <c r="P57" s="228">
        <v>-14.05</v>
      </c>
      <c r="Q57" s="229">
        <v>-2.4500000000000001E-2</v>
      </c>
      <c r="R57" s="228">
        <v>564</v>
      </c>
      <c r="S57" s="228">
        <v>578.1</v>
      </c>
      <c r="T57" s="228">
        <v>-14.1</v>
      </c>
      <c r="U57" s="229">
        <v>-2.4400000000000002E-2</v>
      </c>
      <c r="V57" s="228">
        <v>566.35</v>
      </c>
      <c r="W57" s="228">
        <v>581.4</v>
      </c>
      <c r="X57" s="228">
        <v>-15.05</v>
      </c>
      <c r="Y57" s="229">
        <v>-2.5899999999999999E-2</v>
      </c>
      <c r="Z57" s="228">
        <v>2.0499999999999998</v>
      </c>
      <c r="AA57" s="228">
        <v>1</v>
      </c>
      <c r="AB57" s="228">
        <v>1.05</v>
      </c>
      <c r="AC57" s="229">
        <v>3.7000000000000002E-3</v>
      </c>
      <c r="AD57" s="228">
        <v>2.0499999999999998</v>
      </c>
      <c r="AE57" s="228">
        <v>1</v>
      </c>
      <c r="AF57" s="228">
        <v>1.05</v>
      </c>
      <c r="AG57" s="229">
        <v>3.7000000000000002E-3</v>
      </c>
      <c r="AH57" s="228">
        <v>5.9</v>
      </c>
      <c r="AI57" s="228">
        <v>4.9000000000000004</v>
      </c>
      <c r="AJ57" s="228">
        <v>1</v>
      </c>
      <c r="AK57" s="229">
        <v>1.06E-2</v>
      </c>
      <c r="AL57" s="228">
        <v>8.25</v>
      </c>
      <c r="AM57" s="228">
        <v>8.1999999999999993</v>
      </c>
      <c r="AN57" s="228">
        <v>0.05</v>
      </c>
      <c r="AO57" s="229">
        <v>1.4800000000000001E-2</v>
      </c>
      <c r="AP57" s="228">
        <v>563.69000000000005</v>
      </c>
      <c r="AQ57" s="228">
        <v>567.20000000000005</v>
      </c>
      <c r="AR57" s="228">
        <v>0</v>
      </c>
      <c r="AS57" s="228">
        <v>376</v>
      </c>
      <c r="AT57" s="228">
        <v>306</v>
      </c>
      <c r="AU57" s="228">
        <v>70</v>
      </c>
      <c r="AV57" s="229">
        <v>0.2288</v>
      </c>
      <c r="AW57" s="228">
        <v>347</v>
      </c>
      <c r="AX57" s="228">
        <v>285</v>
      </c>
      <c r="AY57" s="228">
        <v>62</v>
      </c>
      <c r="AZ57" s="229">
        <v>0.2177</v>
      </c>
      <c r="BA57" s="228">
        <v>24</v>
      </c>
      <c r="BB57" s="228">
        <v>18</v>
      </c>
      <c r="BC57" s="228">
        <v>6</v>
      </c>
      <c r="BD57" s="229">
        <v>0.34620000000000001</v>
      </c>
      <c r="BE57" s="228">
        <v>4</v>
      </c>
      <c r="BF57" s="228">
        <v>2</v>
      </c>
      <c r="BG57" s="228">
        <v>2</v>
      </c>
      <c r="BH57" s="229">
        <v>0.69389999999999996</v>
      </c>
      <c r="BI57" s="228">
        <v>745</v>
      </c>
      <c r="BJ57" s="228">
        <v>603</v>
      </c>
      <c r="BK57" s="228">
        <v>142</v>
      </c>
      <c r="BL57" s="229">
        <v>0.2361</v>
      </c>
      <c r="BM57" s="228">
        <v>477</v>
      </c>
      <c r="BN57" s="228">
        <v>589</v>
      </c>
      <c r="BO57" s="228">
        <v>-112</v>
      </c>
      <c r="BP57" s="229">
        <v>-0.19020000000000001</v>
      </c>
      <c r="BQ57" s="230">
        <v>1598</v>
      </c>
      <c r="BR57" s="230">
        <v>1498</v>
      </c>
      <c r="BS57" s="228">
        <v>100</v>
      </c>
      <c r="BT57" s="229">
        <v>6.6900000000000001E-2</v>
      </c>
      <c r="BU57" s="230">
        <v>3269440</v>
      </c>
      <c r="BV57" s="230">
        <v>3792217</v>
      </c>
      <c r="BW57" s="230">
        <v>-522777</v>
      </c>
      <c r="BX57" s="229">
        <v>-0.13789999999999999</v>
      </c>
      <c r="BY57" s="230">
        <v>3050</v>
      </c>
      <c r="BZ57" s="230">
        <v>3002</v>
      </c>
      <c r="CA57" s="228">
        <v>48</v>
      </c>
      <c r="CB57" s="229">
        <v>1.5900000000000001E-2</v>
      </c>
      <c r="CC57" s="230">
        <v>2862</v>
      </c>
      <c r="CD57" s="230">
        <v>2825</v>
      </c>
      <c r="CE57" s="228">
        <v>38</v>
      </c>
      <c r="CF57" s="229">
        <v>1.34E-2</v>
      </c>
      <c r="CG57" s="228">
        <v>175</v>
      </c>
      <c r="CH57" s="228">
        <v>165</v>
      </c>
      <c r="CI57" s="228">
        <v>10</v>
      </c>
      <c r="CJ57" s="229">
        <v>5.7500000000000002E-2</v>
      </c>
      <c r="CK57" s="228">
        <v>13</v>
      </c>
      <c r="CL57" s="228">
        <v>12</v>
      </c>
      <c r="CM57" s="228">
        <v>1</v>
      </c>
      <c r="CN57" s="229">
        <v>0.05</v>
      </c>
      <c r="CO57" s="228">
        <v>715</v>
      </c>
      <c r="CP57" s="228">
        <v>655</v>
      </c>
      <c r="CQ57" s="228">
        <v>60</v>
      </c>
      <c r="CR57" s="229">
        <v>9.2200000000000004E-2</v>
      </c>
      <c r="CS57" s="228">
        <v>549</v>
      </c>
      <c r="CT57" s="228">
        <v>538</v>
      </c>
      <c r="CU57" s="228">
        <v>11</v>
      </c>
      <c r="CV57" s="229">
        <v>2.0500000000000001E-2</v>
      </c>
      <c r="CW57" s="230">
        <v>4314</v>
      </c>
      <c r="CX57" s="230">
        <v>4195</v>
      </c>
      <c r="CY57" s="228">
        <v>119</v>
      </c>
      <c r="CZ57" s="229">
        <v>2.8400000000000002E-2</v>
      </c>
      <c r="DA57" s="228">
        <v>41.89</v>
      </c>
      <c r="DB57" s="228">
        <v>40.909999999999997</v>
      </c>
      <c r="DC57" s="228">
        <v>0.98</v>
      </c>
      <c r="DD57" s="228">
        <v>0.98</v>
      </c>
      <c r="DE57" s="228">
        <v>35.840000000000003</v>
      </c>
      <c r="DF57" s="228">
        <v>35.78</v>
      </c>
      <c r="DG57" s="228">
        <v>6.05</v>
      </c>
      <c r="DH57" s="228">
        <v>0.06</v>
      </c>
      <c r="DI57" s="228">
        <v>40.42</v>
      </c>
      <c r="DJ57" s="228">
        <v>38.83</v>
      </c>
      <c r="DK57" s="228">
        <v>1.59</v>
      </c>
      <c r="DL57" s="228">
        <v>1.59</v>
      </c>
      <c r="DM57" s="228">
        <v>44.19</v>
      </c>
      <c r="DN57" s="228">
        <v>43.04</v>
      </c>
      <c r="DO57" s="228">
        <v>1.1499999999999999</v>
      </c>
      <c r="DP57" s="228">
        <v>1.1499999999999999</v>
      </c>
      <c r="DQ57" s="228">
        <v>0.77</v>
      </c>
      <c r="DR57" s="228">
        <v>0.82</v>
      </c>
      <c r="DS57" s="228">
        <v>-0.05</v>
      </c>
      <c r="DT57" s="229">
        <v>-6.0999999999999999E-2</v>
      </c>
      <c r="DU57" s="228">
        <v>640</v>
      </c>
      <c r="DV57" s="228">
        <v>550</v>
      </c>
      <c r="DW57" s="228">
        <v>0.64</v>
      </c>
      <c r="DX57" s="228">
        <v>0.98</v>
      </c>
      <c r="DY57" s="228">
        <v>-0.34</v>
      </c>
      <c r="DZ57" s="229">
        <v>-0.34689999999999999</v>
      </c>
      <c r="EA57" s="229">
        <v>6.1499999999999999E-2</v>
      </c>
      <c r="EB57" s="230">
        <v>3168000</v>
      </c>
      <c r="EC57" s="229">
        <v>6.8999999999999999E-3</v>
      </c>
      <c r="ED57" s="229">
        <v>6.1499999999999999E-2</v>
      </c>
      <c r="EE57" s="228">
        <v>3.51</v>
      </c>
      <c r="EF57" s="229">
        <v>6.1999999999999998E-3</v>
      </c>
      <c r="EG57" s="230">
        <v>1175943</v>
      </c>
      <c r="EH57" s="230">
        <v>1831711</v>
      </c>
      <c r="EI57" s="229">
        <v>-0.35799999999999998</v>
      </c>
      <c r="EJ57" s="229">
        <v>0.35970000000000002</v>
      </c>
      <c r="EK57" s="228">
        <v>813.08</v>
      </c>
      <c r="EL57" s="228">
        <v>487.93</v>
      </c>
      <c r="EM57" s="228">
        <v>378.13</v>
      </c>
      <c r="EN57" s="228">
        <v>68.599999999999994</v>
      </c>
      <c r="EO57" s="231">
        <v>1679.14</v>
      </c>
      <c r="EP57" s="231">
        <v>1591.41</v>
      </c>
      <c r="EQ57" s="228">
        <v>87.72</v>
      </c>
      <c r="ER57" s="229">
        <v>5.5100000000000003E-2</v>
      </c>
      <c r="ES57" s="228">
        <v>803.61</v>
      </c>
      <c r="ET57" s="228">
        <v>582.63</v>
      </c>
      <c r="EU57" s="231">
        <v>3051.22</v>
      </c>
      <c r="EV57" s="231">
        <v>96058266</v>
      </c>
      <c r="EW57" s="231">
        <v>4437.46</v>
      </c>
      <c r="EX57" s="231">
        <v>4393.93</v>
      </c>
      <c r="EY57" s="228">
        <v>43.53</v>
      </c>
      <c r="EZ57" s="229">
        <v>9.9000000000000008E-3</v>
      </c>
      <c r="FA57" s="229">
        <v>0.80169999999999997</v>
      </c>
      <c r="FB57" s="227" t="s">
        <v>567</v>
      </c>
      <c r="FC57">
        <f t="shared" si="0"/>
        <v>188</v>
      </c>
    </row>
    <row r="58" spans="1:159" ht="17.25" hidden="1" thickBot="1" x14ac:dyDescent="0.3">
      <c r="A58" s="226">
        <v>46093</v>
      </c>
      <c r="B58" s="227" t="s">
        <v>615</v>
      </c>
      <c r="C58" s="227" t="s">
        <v>583</v>
      </c>
      <c r="D58" s="228">
        <v>150</v>
      </c>
      <c r="E58" s="228">
        <v>18</v>
      </c>
      <c r="F58" s="231">
        <v>3965.4</v>
      </c>
      <c r="G58" s="231">
        <v>3930.9</v>
      </c>
      <c r="H58" s="228">
        <v>34.5</v>
      </c>
      <c r="I58" s="229">
        <v>8.8000000000000005E-3</v>
      </c>
      <c r="J58" s="231">
        <v>3953.6</v>
      </c>
      <c r="K58" s="231">
        <v>3944.8</v>
      </c>
      <c r="L58" s="228">
        <v>8.8000000000000007</v>
      </c>
      <c r="M58" s="229">
        <v>2.2000000000000001E-3</v>
      </c>
      <c r="N58" s="231">
        <v>3965.4</v>
      </c>
      <c r="O58" s="231">
        <v>3930.9</v>
      </c>
      <c r="P58" s="228">
        <v>34.5</v>
      </c>
      <c r="Q58" s="229">
        <v>8.8000000000000005E-3</v>
      </c>
      <c r="R58" s="231">
        <v>3958.9</v>
      </c>
      <c r="S58" s="231">
        <v>3925.8</v>
      </c>
      <c r="T58" s="228">
        <v>33.1</v>
      </c>
      <c r="U58" s="229">
        <v>8.3999999999999995E-3</v>
      </c>
      <c r="V58" s="231">
        <v>3972</v>
      </c>
      <c r="W58" s="231">
        <v>3910.1</v>
      </c>
      <c r="X58" s="228">
        <v>61.9</v>
      </c>
      <c r="Y58" s="229">
        <v>1.5800000000000002E-2</v>
      </c>
      <c r="Z58" s="228">
        <v>11.8</v>
      </c>
      <c r="AA58" s="228">
        <v>-13.9</v>
      </c>
      <c r="AB58" s="228">
        <v>25.7</v>
      </c>
      <c r="AC58" s="229">
        <v>3.0000000000000001E-3</v>
      </c>
      <c r="AD58" s="228">
        <v>11.8</v>
      </c>
      <c r="AE58" s="228">
        <v>-13.9</v>
      </c>
      <c r="AF58" s="228">
        <v>25.7</v>
      </c>
      <c r="AG58" s="229">
        <v>3.0000000000000001E-3</v>
      </c>
      <c r="AH58" s="228">
        <v>5.3</v>
      </c>
      <c r="AI58" s="228">
        <v>-19</v>
      </c>
      <c r="AJ58" s="228">
        <v>24.3</v>
      </c>
      <c r="AK58" s="229">
        <v>1.2999999999999999E-3</v>
      </c>
      <c r="AL58" s="228">
        <v>18.399999999999999</v>
      </c>
      <c r="AM58" s="228">
        <v>-34.700000000000003</v>
      </c>
      <c r="AN58" s="228">
        <v>53.1</v>
      </c>
      <c r="AO58" s="229">
        <v>4.7000000000000002E-3</v>
      </c>
      <c r="AP58" s="231">
        <v>3938.69</v>
      </c>
      <c r="AQ58" s="231">
        <v>3939.15</v>
      </c>
      <c r="AR58" s="228">
        <v>0</v>
      </c>
      <c r="AS58" s="228">
        <v>430</v>
      </c>
      <c r="AT58" s="228">
        <v>290</v>
      </c>
      <c r="AU58" s="228">
        <v>140</v>
      </c>
      <c r="AV58" s="229">
        <v>0.48049999999999998</v>
      </c>
      <c r="AW58" s="228">
        <v>367</v>
      </c>
      <c r="AX58" s="228">
        <v>228</v>
      </c>
      <c r="AY58" s="228">
        <v>139</v>
      </c>
      <c r="AZ58" s="229">
        <v>0.61229999999999996</v>
      </c>
      <c r="BA58" s="228">
        <v>62</v>
      </c>
      <c r="BB58" s="228">
        <v>61</v>
      </c>
      <c r="BC58" s="228">
        <v>1</v>
      </c>
      <c r="BD58" s="229">
        <v>8.6999999999999994E-3</v>
      </c>
      <c r="BE58" s="228">
        <v>1</v>
      </c>
      <c r="BF58" s="228">
        <v>1</v>
      </c>
      <c r="BG58" s="228">
        <v>0</v>
      </c>
      <c r="BH58" s="229">
        <v>-0.31819999999999998</v>
      </c>
      <c r="BI58" s="228">
        <v>762</v>
      </c>
      <c r="BJ58" s="228">
        <v>754</v>
      </c>
      <c r="BK58" s="228">
        <v>8</v>
      </c>
      <c r="BL58" s="229">
        <v>1.0999999999999999E-2</v>
      </c>
      <c r="BM58" s="228">
        <v>371</v>
      </c>
      <c r="BN58" s="228">
        <v>349</v>
      </c>
      <c r="BO58" s="228">
        <v>22</v>
      </c>
      <c r="BP58" s="229">
        <v>6.2399999999999997E-2</v>
      </c>
      <c r="BQ58" s="230">
        <v>1563</v>
      </c>
      <c r="BR58" s="230">
        <v>1393</v>
      </c>
      <c r="BS58" s="228">
        <v>170</v>
      </c>
      <c r="BT58" s="229">
        <v>0.1217</v>
      </c>
      <c r="BU58" s="230">
        <v>409573</v>
      </c>
      <c r="BV58" s="230">
        <v>397556</v>
      </c>
      <c r="BW58" s="230">
        <v>12017</v>
      </c>
      <c r="BX58" s="229">
        <v>3.0200000000000001E-2</v>
      </c>
      <c r="BY58" s="230">
        <v>2478</v>
      </c>
      <c r="BZ58" s="230">
        <v>2377</v>
      </c>
      <c r="CA58" s="228">
        <v>101</v>
      </c>
      <c r="CB58" s="229">
        <v>4.2700000000000002E-2</v>
      </c>
      <c r="CC58" s="230">
        <v>2229</v>
      </c>
      <c r="CD58" s="230">
        <v>2174</v>
      </c>
      <c r="CE58" s="228">
        <v>55</v>
      </c>
      <c r="CF58" s="229">
        <v>2.5399999999999999E-2</v>
      </c>
      <c r="CG58" s="228">
        <v>245</v>
      </c>
      <c r="CH58" s="228">
        <v>199</v>
      </c>
      <c r="CI58" s="228">
        <v>46</v>
      </c>
      <c r="CJ58" s="229">
        <v>0.23119999999999999</v>
      </c>
      <c r="CK58" s="228">
        <v>5</v>
      </c>
      <c r="CL58" s="228">
        <v>4</v>
      </c>
      <c r="CM58" s="228">
        <v>0</v>
      </c>
      <c r="CN58" s="229">
        <v>5.4800000000000001E-2</v>
      </c>
      <c r="CO58" s="228">
        <v>534</v>
      </c>
      <c r="CP58" s="228">
        <v>501</v>
      </c>
      <c r="CQ58" s="228">
        <v>33</v>
      </c>
      <c r="CR58" s="229">
        <v>6.5000000000000002E-2</v>
      </c>
      <c r="CS58" s="228">
        <v>388</v>
      </c>
      <c r="CT58" s="228">
        <v>366</v>
      </c>
      <c r="CU58" s="228">
        <v>21</v>
      </c>
      <c r="CV58" s="229">
        <v>5.8000000000000003E-2</v>
      </c>
      <c r="CW58" s="230">
        <v>3400</v>
      </c>
      <c r="CX58" s="230">
        <v>3244</v>
      </c>
      <c r="CY58" s="228">
        <v>155</v>
      </c>
      <c r="CZ58" s="229">
        <v>4.7899999999999998E-2</v>
      </c>
      <c r="DA58" s="228">
        <v>27.25</v>
      </c>
      <c r="DB58" s="228">
        <v>27.34</v>
      </c>
      <c r="DC58" s="228">
        <v>-0.09</v>
      </c>
      <c r="DD58" s="228">
        <v>-0.09</v>
      </c>
      <c r="DE58" s="228">
        <v>29.88</v>
      </c>
      <c r="DF58" s="228">
        <v>29.93</v>
      </c>
      <c r="DG58" s="228">
        <v>-2.63</v>
      </c>
      <c r="DH58" s="228">
        <v>-0.05</v>
      </c>
      <c r="DI58" s="228">
        <v>26.12</v>
      </c>
      <c r="DJ58" s="228">
        <v>26.43</v>
      </c>
      <c r="DK58" s="228">
        <v>-0.31</v>
      </c>
      <c r="DL58" s="228">
        <v>-0.31</v>
      </c>
      <c r="DM58" s="228">
        <v>29.57</v>
      </c>
      <c r="DN58" s="228">
        <v>29.33</v>
      </c>
      <c r="DO58" s="228">
        <v>0.24</v>
      </c>
      <c r="DP58" s="228">
        <v>0.24</v>
      </c>
      <c r="DQ58" s="228">
        <v>0.73</v>
      </c>
      <c r="DR58" s="228">
        <v>0.73</v>
      </c>
      <c r="DS58" s="228">
        <v>0</v>
      </c>
      <c r="DT58" s="229">
        <v>0</v>
      </c>
      <c r="DU58" s="231">
        <v>4000</v>
      </c>
      <c r="DV58" s="231">
        <v>3600</v>
      </c>
      <c r="DW58" s="228">
        <v>0.49</v>
      </c>
      <c r="DX58" s="228">
        <v>0.46</v>
      </c>
      <c r="DY58" s="228">
        <v>0.03</v>
      </c>
      <c r="DZ58" s="229">
        <v>6.5199999999999994E-2</v>
      </c>
      <c r="EA58" s="229">
        <v>0.10050000000000001</v>
      </c>
      <c r="EB58" s="230">
        <v>511800</v>
      </c>
      <c r="EC58" s="229">
        <v>-1.6000000000000001E-3</v>
      </c>
      <c r="ED58" s="229">
        <v>0.10050000000000001</v>
      </c>
      <c r="EE58" s="228">
        <v>0.46</v>
      </c>
      <c r="EF58" s="229">
        <v>1E-4</v>
      </c>
      <c r="EG58" s="230">
        <v>254528</v>
      </c>
      <c r="EH58" s="230">
        <v>244937</v>
      </c>
      <c r="EI58" s="229">
        <v>3.9199999999999999E-2</v>
      </c>
      <c r="EJ58" s="229">
        <v>0.62139999999999995</v>
      </c>
      <c r="EK58" s="228">
        <v>793.86</v>
      </c>
      <c r="EL58" s="228">
        <v>361.77</v>
      </c>
      <c r="EM58" s="228">
        <v>427.04</v>
      </c>
      <c r="EN58" s="228">
        <v>55.16</v>
      </c>
      <c r="EO58" s="231">
        <v>1582.67</v>
      </c>
      <c r="EP58" s="231">
        <v>1414.85</v>
      </c>
      <c r="EQ58" s="228">
        <v>167.82</v>
      </c>
      <c r="ER58" s="229">
        <v>0.1186</v>
      </c>
      <c r="ES58" s="228">
        <v>550.48</v>
      </c>
      <c r="ET58" s="228">
        <v>363.38</v>
      </c>
      <c r="EU58" s="231">
        <v>2477.88</v>
      </c>
      <c r="EV58" s="231">
        <v>18750186</v>
      </c>
      <c r="EW58" s="231">
        <v>3391.74</v>
      </c>
      <c r="EX58" s="231">
        <v>3216.13</v>
      </c>
      <c r="EY58" s="228">
        <v>175.61</v>
      </c>
      <c r="EZ58" s="229">
        <v>5.4600000000000003E-2</v>
      </c>
      <c r="FA58" s="229">
        <v>0.4572</v>
      </c>
      <c r="FB58" s="227" t="s">
        <v>555</v>
      </c>
      <c r="FC58">
        <f t="shared" si="0"/>
        <v>249</v>
      </c>
    </row>
    <row r="59" spans="1:159" ht="17.25" hidden="1" thickBot="1" x14ac:dyDescent="0.3">
      <c r="A59" s="226">
        <v>46093</v>
      </c>
      <c r="B59" s="227" t="s">
        <v>170</v>
      </c>
      <c r="C59" s="227" t="s">
        <v>208</v>
      </c>
      <c r="D59" s="228">
        <v>625</v>
      </c>
      <c r="E59" s="228">
        <v>18</v>
      </c>
      <c r="F59" s="231">
        <v>1324.2</v>
      </c>
      <c r="G59" s="231">
        <v>1326.5</v>
      </c>
      <c r="H59" s="228">
        <v>-2.2999999999999998</v>
      </c>
      <c r="I59" s="229">
        <v>-1.6999999999999999E-3</v>
      </c>
      <c r="J59" s="231">
        <v>1319</v>
      </c>
      <c r="K59" s="231">
        <v>1325.5</v>
      </c>
      <c r="L59" s="228">
        <v>-6.5</v>
      </c>
      <c r="M59" s="229">
        <v>-4.8999999999999998E-3</v>
      </c>
      <c r="N59" s="231">
        <v>1324.2</v>
      </c>
      <c r="O59" s="231">
        <v>1326.5</v>
      </c>
      <c r="P59" s="228">
        <v>-2.2999999999999998</v>
      </c>
      <c r="Q59" s="229">
        <v>-1.6999999999999999E-3</v>
      </c>
      <c r="R59" s="231">
        <v>1332.4</v>
      </c>
      <c r="S59" s="231">
        <v>1334.2</v>
      </c>
      <c r="T59" s="228">
        <v>-1.8</v>
      </c>
      <c r="U59" s="229">
        <v>-1.2999999999999999E-3</v>
      </c>
      <c r="V59" s="231">
        <v>1341.5</v>
      </c>
      <c r="W59" s="231">
        <v>1340.9</v>
      </c>
      <c r="X59" s="228">
        <v>0.6</v>
      </c>
      <c r="Y59" s="229">
        <v>4.0000000000000002E-4</v>
      </c>
      <c r="Z59" s="228">
        <v>5.2</v>
      </c>
      <c r="AA59" s="228">
        <v>1</v>
      </c>
      <c r="AB59" s="228">
        <v>4.2</v>
      </c>
      <c r="AC59" s="229">
        <v>3.8999999999999998E-3</v>
      </c>
      <c r="AD59" s="228">
        <v>5.2</v>
      </c>
      <c r="AE59" s="228">
        <v>1</v>
      </c>
      <c r="AF59" s="228">
        <v>4.2</v>
      </c>
      <c r="AG59" s="229">
        <v>3.8999999999999998E-3</v>
      </c>
      <c r="AH59" s="228">
        <v>13.4</v>
      </c>
      <c r="AI59" s="228">
        <v>8.6999999999999993</v>
      </c>
      <c r="AJ59" s="228">
        <v>4.7</v>
      </c>
      <c r="AK59" s="229">
        <v>1.0200000000000001E-2</v>
      </c>
      <c r="AL59" s="228">
        <v>22.5</v>
      </c>
      <c r="AM59" s="228">
        <v>15.4</v>
      </c>
      <c r="AN59" s="228">
        <v>7.1</v>
      </c>
      <c r="AO59" s="229">
        <v>1.7100000000000001E-2</v>
      </c>
      <c r="AP59" s="231">
        <v>1322.06</v>
      </c>
      <c r="AQ59" s="231">
        <v>1328.59</v>
      </c>
      <c r="AR59" s="228">
        <v>0</v>
      </c>
      <c r="AS59" s="228">
        <v>326</v>
      </c>
      <c r="AT59" s="228">
        <v>423</v>
      </c>
      <c r="AU59" s="228">
        <v>-97</v>
      </c>
      <c r="AV59" s="229">
        <v>-0.22989999999999999</v>
      </c>
      <c r="AW59" s="228">
        <v>308</v>
      </c>
      <c r="AX59" s="228">
        <v>409</v>
      </c>
      <c r="AY59" s="228">
        <v>-101</v>
      </c>
      <c r="AZ59" s="229">
        <v>-0.24729999999999999</v>
      </c>
      <c r="BA59" s="228">
        <v>18</v>
      </c>
      <c r="BB59" s="228">
        <v>14</v>
      </c>
      <c r="BC59" s="228">
        <v>4</v>
      </c>
      <c r="BD59" s="229">
        <v>0.27379999999999999</v>
      </c>
      <c r="BE59" s="228">
        <v>0</v>
      </c>
      <c r="BF59" s="228">
        <v>0</v>
      </c>
      <c r="BG59" s="228">
        <v>0</v>
      </c>
      <c r="BH59" s="229">
        <v>0</v>
      </c>
      <c r="BI59" s="230">
        <v>1429</v>
      </c>
      <c r="BJ59" s="230">
        <v>2580</v>
      </c>
      <c r="BK59" s="230">
        <v>-1151</v>
      </c>
      <c r="BL59" s="229">
        <v>-0.44629999999999997</v>
      </c>
      <c r="BM59" s="228">
        <v>524</v>
      </c>
      <c r="BN59" s="228">
        <v>748</v>
      </c>
      <c r="BO59" s="228">
        <v>-224</v>
      </c>
      <c r="BP59" s="229">
        <v>-0.29980000000000001</v>
      </c>
      <c r="BQ59" s="230">
        <v>2279</v>
      </c>
      <c r="BR59" s="230">
        <v>3752</v>
      </c>
      <c r="BS59" s="230">
        <v>-1473</v>
      </c>
      <c r="BT59" s="229">
        <v>-0.3926</v>
      </c>
      <c r="BU59" s="230">
        <v>2011185</v>
      </c>
      <c r="BV59" s="230">
        <v>2525403</v>
      </c>
      <c r="BW59" s="230">
        <v>-514218</v>
      </c>
      <c r="BX59" s="229">
        <v>-0.2036</v>
      </c>
      <c r="BY59" s="230">
        <v>1982</v>
      </c>
      <c r="BZ59" s="230">
        <v>1982</v>
      </c>
      <c r="CA59" s="228">
        <v>0</v>
      </c>
      <c r="CB59" s="229">
        <v>-1E-4</v>
      </c>
      <c r="CC59" s="230">
        <v>1944</v>
      </c>
      <c r="CD59" s="230">
        <v>1951</v>
      </c>
      <c r="CE59" s="228">
        <v>-6</v>
      </c>
      <c r="CF59" s="229">
        <v>-3.3E-3</v>
      </c>
      <c r="CG59" s="228">
        <v>34</v>
      </c>
      <c r="CH59" s="228">
        <v>28</v>
      </c>
      <c r="CI59" s="228">
        <v>6</v>
      </c>
      <c r="CJ59" s="229">
        <v>0.21829999999999999</v>
      </c>
      <c r="CK59" s="228">
        <v>3</v>
      </c>
      <c r="CL59" s="228">
        <v>3</v>
      </c>
      <c r="CM59" s="228">
        <v>0</v>
      </c>
      <c r="CN59" s="229">
        <v>2.63E-2</v>
      </c>
      <c r="CO59" s="230">
        <v>1307</v>
      </c>
      <c r="CP59" s="230">
        <v>1297</v>
      </c>
      <c r="CQ59" s="228">
        <v>10</v>
      </c>
      <c r="CR59" s="229">
        <v>7.4000000000000003E-3</v>
      </c>
      <c r="CS59" s="228">
        <v>619</v>
      </c>
      <c r="CT59" s="228">
        <v>598</v>
      </c>
      <c r="CU59" s="228">
        <v>21</v>
      </c>
      <c r="CV59" s="229">
        <v>3.4299999999999997E-2</v>
      </c>
      <c r="CW59" s="230">
        <v>3907</v>
      </c>
      <c r="CX59" s="230">
        <v>3878</v>
      </c>
      <c r="CY59" s="228">
        <v>30</v>
      </c>
      <c r="CZ59" s="229">
        <v>7.7000000000000002E-3</v>
      </c>
      <c r="DA59" s="228">
        <v>23.93</v>
      </c>
      <c r="DB59" s="228">
        <v>23.71</v>
      </c>
      <c r="DC59" s="228">
        <v>0.22</v>
      </c>
      <c r="DD59" s="228">
        <v>0.22</v>
      </c>
      <c r="DE59" s="228">
        <v>24.98</v>
      </c>
      <c r="DF59" s="228">
        <v>25.03</v>
      </c>
      <c r="DG59" s="228">
        <v>-1.05</v>
      </c>
      <c r="DH59" s="228">
        <v>-0.05</v>
      </c>
      <c r="DI59" s="228">
        <v>22.97</v>
      </c>
      <c r="DJ59" s="228">
        <v>23</v>
      </c>
      <c r="DK59" s="228">
        <v>-0.03</v>
      </c>
      <c r="DL59" s="228">
        <v>-0.03</v>
      </c>
      <c r="DM59" s="228">
        <v>26.54</v>
      </c>
      <c r="DN59" s="228">
        <v>26.17</v>
      </c>
      <c r="DO59" s="228">
        <v>0.37</v>
      </c>
      <c r="DP59" s="228">
        <v>0.37</v>
      </c>
      <c r="DQ59" s="228">
        <v>0.47</v>
      </c>
      <c r="DR59" s="228">
        <v>0.46</v>
      </c>
      <c r="DS59" s="228">
        <v>0.01</v>
      </c>
      <c r="DT59" s="229">
        <v>2.1700000000000001E-2</v>
      </c>
      <c r="DU59" s="231">
        <v>1350</v>
      </c>
      <c r="DV59" s="231">
        <v>1300</v>
      </c>
      <c r="DW59" s="228">
        <v>0.37</v>
      </c>
      <c r="DX59" s="228">
        <v>0.28999999999999998</v>
      </c>
      <c r="DY59" s="228">
        <v>0.08</v>
      </c>
      <c r="DZ59" s="229">
        <v>0.27589999999999998</v>
      </c>
      <c r="EA59" s="229">
        <v>1.89E-2</v>
      </c>
      <c r="EB59" s="230">
        <v>235625</v>
      </c>
      <c r="EC59" s="229">
        <v>6.1999999999999998E-3</v>
      </c>
      <c r="ED59" s="229">
        <v>1.89E-2</v>
      </c>
      <c r="EE59" s="228">
        <v>6.53</v>
      </c>
      <c r="EF59" s="229">
        <v>4.8999999999999998E-3</v>
      </c>
      <c r="EG59" s="230">
        <v>1083064</v>
      </c>
      <c r="EH59" s="230">
        <v>1561178</v>
      </c>
      <c r="EI59" s="229">
        <v>-0.30630000000000002</v>
      </c>
      <c r="EJ59" s="229">
        <v>0.53849999999999998</v>
      </c>
      <c r="EK59" s="231">
        <v>1475.07</v>
      </c>
      <c r="EL59" s="228">
        <v>517.16</v>
      </c>
      <c r="EM59" s="228">
        <v>325.32</v>
      </c>
      <c r="EN59" s="228">
        <v>43.13</v>
      </c>
      <c r="EO59" s="231">
        <v>2317.5500000000002</v>
      </c>
      <c r="EP59" s="231">
        <v>3837.75</v>
      </c>
      <c r="EQ59" s="231">
        <v>-1520.2</v>
      </c>
      <c r="ER59" s="229">
        <v>-0.39610000000000001</v>
      </c>
      <c r="ES59" s="231">
        <v>1336.26</v>
      </c>
      <c r="ET59" s="228">
        <v>584.15</v>
      </c>
      <c r="EU59" s="231">
        <v>1981.92</v>
      </c>
      <c r="EV59" s="231">
        <v>91531454</v>
      </c>
      <c r="EW59" s="231">
        <v>3902.33</v>
      </c>
      <c r="EX59" s="231">
        <v>3875.33</v>
      </c>
      <c r="EY59" s="228">
        <v>27</v>
      </c>
      <c r="EZ59" s="229">
        <v>7.0000000000000001E-3</v>
      </c>
      <c r="FA59" s="229">
        <v>0.32240000000000002</v>
      </c>
      <c r="FB59" s="227" t="s">
        <v>568</v>
      </c>
      <c r="FC59">
        <f t="shared" si="0"/>
        <v>38</v>
      </c>
    </row>
    <row r="60" spans="1:159" ht="17.25" hidden="1" thickBot="1" x14ac:dyDescent="0.3">
      <c r="A60" s="226">
        <v>46093</v>
      </c>
      <c r="B60" s="227" t="s">
        <v>162</v>
      </c>
      <c r="C60" s="227" t="s">
        <v>209</v>
      </c>
      <c r="D60" s="228">
        <v>100</v>
      </c>
      <c r="E60" s="228">
        <v>18</v>
      </c>
      <c r="F60" s="231">
        <v>7005</v>
      </c>
      <c r="G60" s="231">
        <v>7277.5</v>
      </c>
      <c r="H60" s="228">
        <v>-272.5</v>
      </c>
      <c r="I60" s="229">
        <v>-3.7400000000000003E-2</v>
      </c>
      <c r="J60" s="231">
        <v>6975.5</v>
      </c>
      <c r="K60" s="231">
        <v>7253.5</v>
      </c>
      <c r="L60" s="228">
        <v>-278</v>
      </c>
      <c r="M60" s="229">
        <v>-3.8300000000000001E-2</v>
      </c>
      <c r="N60" s="231">
        <v>7005</v>
      </c>
      <c r="O60" s="231">
        <v>7277.5</v>
      </c>
      <c r="P60" s="228">
        <v>-272.5</v>
      </c>
      <c r="Q60" s="229">
        <v>-3.7400000000000003E-2</v>
      </c>
      <c r="R60" s="231">
        <v>7046.5</v>
      </c>
      <c r="S60" s="231">
        <v>7324.5</v>
      </c>
      <c r="T60" s="228">
        <v>-278</v>
      </c>
      <c r="U60" s="229">
        <v>-3.7999999999999999E-2</v>
      </c>
      <c r="V60" s="231">
        <v>7082</v>
      </c>
      <c r="W60" s="231">
        <v>7363.5</v>
      </c>
      <c r="X60" s="228">
        <v>-281.5</v>
      </c>
      <c r="Y60" s="229">
        <v>-3.8199999999999998E-2</v>
      </c>
      <c r="Z60" s="228">
        <v>29.5</v>
      </c>
      <c r="AA60" s="228">
        <v>24</v>
      </c>
      <c r="AB60" s="228">
        <v>5.5</v>
      </c>
      <c r="AC60" s="229">
        <v>4.1999999999999997E-3</v>
      </c>
      <c r="AD60" s="228">
        <v>29.5</v>
      </c>
      <c r="AE60" s="228">
        <v>24</v>
      </c>
      <c r="AF60" s="228">
        <v>5.5</v>
      </c>
      <c r="AG60" s="229">
        <v>4.1999999999999997E-3</v>
      </c>
      <c r="AH60" s="228">
        <v>71</v>
      </c>
      <c r="AI60" s="228">
        <v>71</v>
      </c>
      <c r="AJ60" s="228">
        <v>0</v>
      </c>
      <c r="AK60" s="229">
        <v>1.0200000000000001E-2</v>
      </c>
      <c r="AL60" s="228">
        <v>106.5</v>
      </c>
      <c r="AM60" s="228">
        <v>110</v>
      </c>
      <c r="AN60" s="228">
        <v>-3.5</v>
      </c>
      <c r="AO60" s="229">
        <v>1.5299999999999999E-2</v>
      </c>
      <c r="AP60" s="231">
        <v>7057.98</v>
      </c>
      <c r="AQ60" s="231">
        <v>7101.37</v>
      </c>
      <c r="AR60" s="228">
        <v>0</v>
      </c>
      <c r="AS60" s="228">
        <v>716</v>
      </c>
      <c r="AT60" s="228">
        <v>374</v>
      </c>
      <c r="AU60" s="228">
        <v>342</v>
      </c>
      <c r="AV60" s="229">
        <v>0.91349999999999998</v>
      </c>
      <c r="AW60" s="228">
        <v>644</v>
      </c>
      <c r="AX60" s="228">
        <v>348</v>
      </c>
      <c r="AY60" s="228">
        <v>296</v>
      </c>
      <c r="AZ60" s="229">
        <v>0.85119999999999996</v>
      </c>
      <c r="BA60" s="228">
        <v>67</v>
      </c>
      <c r="BB60" s="228">
        <v>24</v>
      </c>
      <c r="BC60" s="228">
        <v>43</v>
      </c>
      <c r="BD60" s="229">
        <v>1.7522</v>
      </c>
      <c r="BE60" s="228">
        <v>5</v>
      </c>
      <c r="BF60" s="228">
        <v>2</v>
      </c>
      <c r="BG60" s="228">
        <v>3</v>
      </c>
      <c r="BH60" s="229">
        <v>1.5161</v>
      </c>
      <c r="BI60" s="230">
        <v>2755</v>
      </c>
      <c r="BJ60" s="230">
        <v>1529</v>
      </c>
      <c r="BK60" s="230">
        <v>1226</v>
      </c>
      <c r="BL60" s="229">
        <v>0.80159999999999998</v>
      </c>
      <c r="BM60" s="230">
        <v>1928</v>
      </c>
      <c r="BN60" s="230">
        <v>1061</v>
      </c>
      <c r="BO60" s="228">
        <v>867</v>
      </c>
      <c r="BP60" s="229">
        <v>0.8165</v>
      </c>
      <c r="BQ60" s="230">
        <v>5399</v>
      </c>
      <c r="BR60" s="230">
        <v>2965</v>
      </c>
      <c r="BS60" s="230">
        <v>2434</v>
      </c>
      <c r="BT60" s="229">
        <v>0.82110000000000005</v>
      </c>
      <c r="BU60" s="230">
        <v>1317854</v>
      </c>
      <c r="BV60" s="230">
        <v>641722</v>
      </c>
      <c r="BW60" s="230">
        <v>676132</v>
      </c>
      <c r="BX60" s="229">
        <v>1.0536000000000001</v>
      </c>
      <c r="BY60" s="230">
        <v>2415</v>
      </c>
      <c r="BZ60" s="230">
        <v>2250</v>
      </c>
      <c r="CA60" s="228">
        <v>165</v>
      </c>
      <c r="CB60" s="229">
        <v>7.3400000000000007E-2</v>
      </c>
      <c r="CC60" s="230">
        <v>2297</v>
      </c>
      <c r="CD60" s="230">
        <v>2164</v>
      </c>
      <c r="CE60" s="228">
        <v>134</v>
      </c>
      <c r="CF60" s="229">
        <v>6.1899999999999997E-2</v>
      </c>
      <c r="CG60" s="228">
        <v>107</v>
      </c>
      <c r="CH60" s="228">
        <v>77</v>
      </c>
      <c r="CI60" s="228">
        <v>30</v>
      </c>
      <c r="CJ60" s="229">
        <v>0.38950000000000001</v>
      </c>
      <c r="CK60" s="228">
        <v>10</v>
      </c>
      <c r="CL60" s="228">
        <v>9</v>
      </c>
      <c r="CM60" s="228">
        <v>1</v>
      </c>
      <c r="CN60" s="229">
        <v>0.1221</v>
      </c>
      <c r="CO60" s="230">
        <v>1881</v>
      </c>
      <c r="CP60" s="230">
        <v>1609</v>
      </c>
      <c r="CQ60" s="228">
        <v>271</v>
      </c>
      <c r="CR60" s="229">
        <v>0.16839999999999999</v>
      </c>
      <c r="CS60" s="230">
        <v>1015</v>
      </c>
      <c r="CT60" s="228">
        <v>939</v>
      </c>
      <c r="CU60" s="228">
        <v>76</v>
      </c>
      <c r="CV60" s="229">
        <v>8.1500000000000003E-2</v>
      </c>
      <c r="CW60" s="230">
        <v>5311</v>
      </c>
      <c r="CX60" s="230">
        <v>4798</v>
      </c>
      <c r="CY60" s="228">
        <v>513</v>
      </c>
      <c r="CZ60" s="229">
        <v>0.10680000000000001</v>
      </c>
      <c r="DA60" s="228">
        <v>36.86</v>
      </c>
      <c r="DB60" s="228">
        <v>34.369999999999997</v>
      </c>
      <c r="DC60" s="228">
        <v>2.4900000000000002</v>
      </c>
      <c r="DD60" s="228">
        <v>2.4900000000000002</v>
      </c>
      <c r="DE60" s="228">
        <v>30.04</v>
      </c>
      <c r="DF60" s="228">
        <v>29.65</v>
      </c>
      <c r="DG60" s="228">
        <v>6.82</v>
      </c>
      <c r="DH60" s="228">
        <v>0.39</v>
      </c>
      <c r="DI60" s="228">
        <v>36.840000000000003</v>
      </c>
      <c r="DJ60" s="228">
        <v>34.51</v>
      </c>
      <c r="DK60" s="228">
        <v>2.33</v>
      </c>
      <c r="DL60" s="228">
        <v>2.33</v>
      </c>
      <c r="DM60" s="228">
        <v>36.89</v>
      </c>
      <c r="DN60" s="228">
        <v>34.17</v>
      </c>
      <c r="DO60" s="228">
        <v>2.72</v>
      </c>
      <c r="DP60" s="228">
        <v>2.72</v>
      </c>
      <c r="DQ60" s="228">
        <v>0.54</v>
      </c>
      <c r="DR60" s="228">
        <v>0.57999999999999996</v>
      </c>
      <c r="DS60" s="228">
        <v>-0.04</v>
      </c>
      <c r="DT60" s="229">
        <v>-6.9000000000000006E-2</v>
      </c>
      <c r="DU60" s="231">
        <v>8000</v>
      </c>
      <c r="DV60" s="231">
        <v>7000</v>
      </c>
      <c r="DW60" s="228">
        <v>0.7</v>
      </c>
      <c r="DX60" s="228">
        <v>0.69</v>
      </c>
      <c r="DY60" s="228">
        <v>0.01</v>
      </c>
      <c r="DZ60" s="229">
        <v>1.4500000000000001E-2</v>
      </c>
      <c r="EA60" s="229">
        <v>4.8800000000000003E-2</v>
      </c>
      <c r="EB60" s="230">
        <v>123500</v>
      </c>
      <c r="EC60" s="229">
        <v>5.8999999999999999E-3</v>
      </c>
      <c r="ED60" s="229">
        <v>4.8800000000000003E-2</v>
      </c>
      <c r="EE60" s="228">
        <v>43.39</v>
      </c>
      <c r="EF60" s="229">
        <v>6.1000000000000004E-3</v>
      </c>
      <c r="EG60" s="230">
        <v>786618</v>
      </c>
      <c r="EH60" s="230">
        <v>364936</v>
      </c>
      <c r="EI60" s="229">
        <v>1.1555</v>
      </c>
      <c r="EJ60" s="229">
        <v>0.59689999999999999</v>
      </c>
      <c r="EK60" s="231">
        <v>3046.73</v>
      </c>
      <c r="EL60" s="231">
        <v>1949.85</v>
      </c>
      <c r="EM60" s="228">
        <v>722.09</v>
      </c>
      <c r="EN60" s="228">
        <v>54.28</v>
      </c>
      <c r="EO60" s="231">
        <v>5718.67</v>
      </c>
      <c r="EP60" s="231">
        <v>3270.27</v>
      </c>
      <c r="EQ60" s="231">
        <v>2448.4</v>
      </c>
      <c r="ER60" s="229">
        <v>0.74870000000000003</v>
      </c>
      <c r="ES60" s="231">
        <v>2161.38</v>
      </c>
      <c r="ET60" s="231">
        <v>1072.3</v>
      </c>
      <c r="EU60" s="231">
        <v>2416</v>
      </c>
      <c r="EV60" s="231">
        <v>19199175</v>
      </c>
      <c r="EW60" s="231">
        <v>5649.68</v>
      </c>
      <c r="EX60" s="231">
        <v>5212.6400000000003</v>
      </c>
      <c r="EY60" s="228">
        <v>437.04</v>
      </c>
      <c r="EZ60" s="229">
        <v>8.3799999999999999E-2</v>
      </c>
      <c r="FA60" s="229">
        <v>0.39489999999999997</v>
      </c>
      <c r="FB60" s="227" t="s">
        <v>567</v>
      </c>
      <c r="FC60">
        <f t="shared" si="0"/>
        <v>118</v>
      </c>
    </row>
    <row r="61" spans="1:159" ht="17.25" hidden="1" thickBot="1" x14ac:dyDescent="0.3">
      <c r="A61" s="226">
        <v>46093</v>
      </c>
      <c r="B61" s="227" t="s">
        <v>615</v>
      </c>
      <c r="C61" s="227" t="s">
        <v>666</v>
      </c>
      <c r="D61" s="228">
        <v>2425</v>
      </c>
      <c r="E61" s="228">
        <v>18</v>
      </c>
      <c r="F61" s="228">
        <v>221.99</v>
      </c>
      <c r="G61" s="228">
        <v>224</v>
      </c>
      <c r="H61" s="228">
        <v>-2.0099999999999998</v>
      </c>
      <c r="I61" s="229">
        <v>-8.9999999999999993E-3</v>
      </c>
      <c r="J61" s="228">
        <v>221.17</v>
      </c>
      <c r="K61" s="228">
        <v>223.8</v>
      </c>
      <c r="L61" s="228">
        <v>-2.63</v>
      </c>
      <c r="M61" s="229">
        <v>-1.18E-2</v>
      </c>
      <c r="N61" s="228">
        <v>221.99</v>
      </c>
      <c r="O61" s="228">
        <v>224</v>
      </c>
      <c r="P61" s="228">
        <v>-2.0099999999999998</v>
      </c>
      <c r="Q61" s="229">
        <v>-8.9999999999999993E-3</v>
      </c>
      <c r="R61" s="228">
        <v>223.34</v>
      </c>
      <c r="S61" s="228">
        <v>225.45</v>
      </c>
      <c r="T61" s="228">
        <v>-2.11</v>
      </c>
      <c r="U61" s="229">
        <v>-9.4000000000000004E-3</v>
      </c>
      <c r="V61" s="228">
        <v>224.34</v>
      </c>
      <c r="W61" s="228">
        <v>226.69</v>
      </c>
      <c r="X61" s="228">
        <v>-2.35</v>
      </c>
      <c r="Y61" s="229">
        <v>-1.04E-2</v>
      </c>
      <c r="Z61" s="228">
        <v>0.82</v>
      </c>
      <c r="AA61" s="228">
        <v>0.2</v>
      </c>
      <c r="AB61" s="228">
        <v>0.62</v>
      </c>
      <c r="AC61" s="229">
        <v>3.7000000000000002E-3</v>
      </c>
      <c r="AD61" s="228">
        <v>0.82</v>
      </c>
      <c r="AE61" s="228">
        <v>0.2</v>
      </c>
      <c r="AF61" s="228">
        <v>0.62</v>
      </c>
      <c r="AG61" s="229">
        <v>3.7000000000000002E-3</v>
      </c>
      <c r="AH61" s="228">
        <v>2.17</v>
      </c>
      <c r="AI61" s="228">
        <v>1.65</v>
      </c>
      <c r="AJ61" s="228">
        <v>0.52</v>
      </c>
      <c r="AK61" s="229">
        <v>9.7999999999999997E-3</v>
      </c>
      <c r="AL61" s="228">
        <v>3.17</v>
      </c>
      <c r="AM61" s="228">
        <v>2.89</v>
      </c>
      <c r="AN61" s="228">
        <v>0.28000000000000003</v>
      </c>
      <c r="AO61" s="229">
        <v>1.43E-2</v>
      </c>
      <c r="AP61" s="228">
        <v>219.72</v>
      </c>
      <c r="AQ61" s="228">
        <v>220.63</v>
      </c>
      <c r="AR61" s="228">
        <v>0</v>
      </c>
      <c r="AS61" s="230">
        <v>1326</v>
      </c>
      <c r="AT61" s="228">
        <v>513</v>
      </c>
      <c r="AU61" s="228">
        <v>813</v>
      </c>
      <c r="AV61" s="229">
        <v>1.5841000000000001</v>
      </c>
      <c r="AW61" s="230">
        <v>1015</v>
      </c>
      <c r="AX61" s="228">
        <v>460</v>
      </c>
      <c r="AY61" s="228">
        <v>555</v>
      </c>
      <c r="AZ61" s="229">
        <v>1.2045999999999999</v>
      </c>
      <c r="BA61" s="228">
        <v>143</v>
      </c>
      <c r="BB61" s="228">
        <v>48</v>
      </c>
      <c r="BC61" s="228">
        <v>95</v>
      </c>
      <c r="BD61" s="229">
        <v>1.9887999999999999</v>
      </c>
      <c r="BE61" s="228">
        <v>168</v>
      </c>
      <c r="BF61" s="228">
        <v>5</v>
      </c>
      <c r="BG61" s="228">
        <v>163</v>
      </c>
      <c r="BH61" s="229">
        <v>34.375</v>
      </c>
      <c r="BI61" s="230">
        <v>2582</v>
      </c>
      <c r="BJ61" s="230">
        <v>1559</v>
      </c>
      <c r="BK61" s="230">
        <v>1023</v>
      </c>
      <c r="BL61" s="229">
        <v>0.65580000000000005</v>
      </c>
      <c r="BM61" s="230">
        <v>3121</v>
      </c>
      <c r="BN61" s="230">
        <v>1126</v>
      </c>
      <c r="BO61" s="230">
        <v>1995</v>
      </c>
      <c r="BP61" s="229">
        <v>1.7719</v>
      </c>
      <c r="BQ61" s="230">
        <v>7028</v>
      </c>
      <c r="BR61" s="230">
        <v>3198</v>
      </c>
      <c r="BS61" s="230">
        <v>3830</v>
      </c>
      <c r="BT61" s="229">
        <v>1.1976</v>
      </c>
      <c r="BU61" s="230">
        <v>71921518</v>
      </c>
      <c r="BV61" s="230">
        <v>38807287</v>
      </c>
      <c r="BW61" s="230">
        <v>33114231</v>
      </c>
      <c r="BX61" s="229">
        <v>0.85329999999999995</v>
      </c>
      <c r="BY61" s="230">
        <v>6678</v>
      </c>
      <c r="BZ61" s="230">
        <v>6622</v>
      </c>
      <c r="CA61" s="228">
        <v>56</v>
      </c>
      <c r="CB61" s="229">
        <v>8.3999999999999995E-3</v>
      </c>
      <c r="CC61" s="230">
        <v>5757</v>
      </c>
      <c r="CD61" s="230">
        <v>5745</v>
      </c>
      <c r="CE61" s="228">
        <v>12</v>
      </c>
      <c r="CF61" s="229">
        <v>2.0999999999999999E-3</v>
      </c>
      <c r="CG61" s="228">
        <v>594</v>
      </c>
      <c r="CH61" s="228">
        <v>555</v>
      </c>
      <c r="CI61" s="228">
        <v>39</v>
      </c>
      <c r="CJ61" s="229">
        <v>7.0999999999999994E-2</v>
      </c>
      <c r="CK61" s="228">
        <v>327</v>
      </c>
      <c r="CL61" s="228">
        <v>323</v>
      </c>
      <c r="CM61" s="228">
        <v>4</v>
      </c>
      <c r="CN61" s="229">
        <v>1.29E-2</v>
      </c>
      <c r="CO61" s="230">
        <v>2740</v>
      </c>
      <c r="CP61" s="230">
        <v>2761</v>
      </c>
      <c r="CQ61" s="228">
        <v>-22</v>
      </c>
      <c r="CR61" s="229">
        <v>-7.9000000000000008E-3</v>
      </c>
      <c r="CS61" s="230">
        <v>1553</v>
      </c>
      <c r="CT61" s="230">
        <v>1496</v>
      </c>
      <c r="CU61" s="228">
        <v>57</v>
      </c>
      <c r="CV61" s="229">
        <v>3.8100000000000002E-2</v>
      </c>
      <c r="CW61" s="230">
        <v>10971</v>
      </c>
      <c r="CX61" s="230">
        <v>10880</v>
      </c>
      <c r="CY61" s="228">
        <v>91</v>
      </c>
      <c r="CZ61" s="229">
        <v>8.3999999999999995E-3</v>
      </c>
      <c r="DA61" s="228">
        <v>48.98</v>
      </c>
      <c r="DB61" s="228">
        <v>47.75</v>
      </c>
      <c r="DC61" s="228">
        <v>1.23</v>
      </c>
      <c r="DD61" s="228">
        <v>1.23</v>
      </c>
      <c r="DE61" s="228">
        <v>44.47</v>
      </c>
      <c r="DF61" s="228">
        <v>44.55</v>
      </c>
      <c r="DG61" s="228">
        <v>4.51</v>
      </c>
      <c r="DH61" s="228">
        <v>-0.08</v>
      </c>
      <c r="DI61" s="228">
        <v>46.05</v>
      </c>
      <c r="DJ61" s="228">
        <v>46.88</v>
      </c>
      <c r="DK61" s="228">
        <v>-0.83</v>
      </c>
      <c r="DL61" s="228">
        <v>-0.83</v>
      </c>
      <c r="DM61" s="228">
        <v>51.4</v>
      </c>
      <c r="DN61" s="228">
        <v>48.96</v>
      </c>
      <c r="DO61" s="228">
        <v>2.44</v>
      </c>
      <c r="DP61" s="228">
        <v>2.44</v>
      </c>
      <c r="DQ61" s="228">
        <v>0.56999999999999995</v>
      </c>
      <c r="DR61" s="228">
        <v>0.54</v>
      </c>
      <c r="DS61" s="228">
        <v>0.03</v>
      </c>
      <c r="DT61" s="229">
        <v>5.5599999999999997E-2</v>
      </c>
      <c r="DU61" s="228">
        <v>250</v>
      </c>
      <c r="DV61" s="228">
        <v>220</v>
      </c>
      <c r="DW61" s="228">
        <v>1.21</v>
      </c>
      <c r="DX61" s="228">
        <v>0.72</v>
      </c>
      <c r="DY61" s="228">
        <v>0.49</v>
      </c>
      <c r="DZ61" s="229">
        <v>0.68059999999999998</v>
      </c>
      <c r="EA61" s="229">
        <v>0.13789999999999999</v>
      </c>
      <c r="EB61" s="230">
        <v>39532350</v>
      </c>
      <c r="EC61" s="229">
        <v>6.1000000000000004E-3</v>
      </c>
      <c r="ED61" s="229">
        <v>0.13789999999999999</v>
      </c>
      <c r="EE61" s="228">
        <v>0.91</v>
      </c>
      <c r="EF61" s="229">
        <v>4.1000000000000003E-3</v>
      </c>
      <c r="EG61" s="230">
        <v>32517603</v>
      </c>
      <c r="EH61" s="230">
        <v>21585714</v>
      </c>
      <c r="EI61" s="229">
        <v>0.50639999999999996</v>
      </c>
      <c r="EJ61" s="229">
        <v>0.4521</v>
      </c>
      <c r="EK61" s="231">
        <v>2851.96</v>
      </c>
      <c r="EL61" s="231">
        <v>3014.84</v>
      </c>
      <c r="EM61" s="231">
        <v>1316.77</v>
      </c>
      <c r="EN61" s="228">
        <v>184.1</v>
      </c>
      <c r="EO61" s="231">
        <v>7183.57</v>
      </c>
      <c r="EP61" s="231">
        <v>3429.54</v>
      </c>
      <c r="EQ61" s="231">
        <v>3754.04</v>
      </c>
      <c r="ER61" s="229">
        <v>1.0946</v>
      </c>
      <c r="ES61" s="231">
        <v>3277.46</v>
      </c>
      <c r="ET61" s="231">
        <v>1671.75</v>
      </c>
      <c r="EU61" s="231">
        <v>6685.11</v>
      </c>
      <c r="EV61" s="231">
        <v>1251309857</v>
      </c>
      <c r="EW61" s="231">
        <v>11634.32</v>
      </c>
      <c r="EX61" s="231">
        <v>11641.84</v>
      </c>
      <c r="EY61" s="228">
        <v>-7.52</v>
      </c>
      <c r="EZ61" s="229">
        <v>-5.9999999999999995E-4</v>
      </c>
      <c r="FA61" s="229">
        <v>0.39500000000000002</v>
      </c>
      <c r="FB61" s="227" t="s">
        <v>567</v>
      </c>
      <c r="FC61">
        <f t="shared" si="0"/>
        <v>921</v>
      </c>
    </row>
    <row r="62" spans="1:159" ht="17.25" hidden="1" thickBot="1" x14ac:dyDescent="0.3">
      <c r="A62" s="226">
        <v>46093</v>
      </c>
      <c r="B62" s="227" t="s">
        <v>162</v>
      </c>
      <c r="C62" s="227" t="s">
        <v>211</v>
      </c>
      <c r="D62" s="228">
        <v>1800</v>
      </c>
      <c r="E62" s="228">
        <v>18</v>
      </c>
      <c r="F62" s="228">
        <v>310.3</v>
      </c>
      <c r="G62" s="228">
        <v>311.7</v>
      </c>
      <c r="H62" s="228">
        <v>-1.4</v>
      </c>
      <c r="I62" s="229">
        <v>-4.4999999999999997E-3</v>
      </c>
      <c r="J62" s="228">
        <v>310</v>
      </c>
      <c r="K62" s="228">
        <v>311.5</v>
      </c>
      <c r="L62" s="228">
        <v>-1.5</v>
      </c>
      <c r="M62" s="229">
        <v>-4.7999999999999996E-3</v>
      </c>
      <c r="N62" s="228">
        <v>310.3</v>
      </c>
      <c r="O62" s="228">
        <v>311.7</v>
      </c>
      <c r="P62" s="228">
        <v>-1.4</v>
      </c>
      <c r="Q62" s="229">
        <v>-4.4999999999999997E-3</v>
      </c>
      <c r="R62" s="228">
        <v>312.95</v>
      </c>
      <c r="S62" s="228">
        <v>313.8</v>
      </c>
      <c r="T62" s="228">
        <v>-0.85</v>
      </c>
      <c r="U62" s="229">
        <v>-2.7000000000000001E-3</v>
      </c>
      <c r="V62" s="228">
        <v>314.25</v>
      </c>
      <c r="W62" s="228">
        <v>315.85000000000002</v>
      </c>
      <c r="X62" s="228">
        <v>-1.6</v>
      </c>
      <c r="Y62" s="229">
        <v>-5.1000000000000004E-3</v>
      </c>
      <c r="Z62" s="228">
        <v>0.3</v>
      </c>
      <c r="AA62" s="228">
        <v>0.2</v>
      </c>
      <c r="AB62" s="228">
        <v>0.1</v>
      </c>
      <c r="AC62" s="229">
        <v>1E-3</v>
      </c>
      <c r="AD62" s="228">
        <v>0.3</v>
      </c>
      <c r="AE62" s="228">
        <v>0.2</v>
      </c>
      <c r="AF62" s="228">
        <v>0.1</v>
      </c>
      <c r="AG62" s="229">
        <v>1E-3</v>
      </c>
      <c r="AH62" s="228">
        <v>2.95</v>
      </c>
      <c r="AI62" s="228">
        <v>2.2999999999999998</v>
      </c>
      <c r="AJ62" s="228">
        <v>0.65</v>
      </c>
      <c r="AK62" s="229">
        <v>9.4999999999999998E-3</v>
      </c>
      <c r="AL62" s="228">
        <v>4.25</v>
      </c>
      <c r="AM62" s="228">
        <v>4.3499999999999996</v>
      </c>
      <c r="AN62" s="228">
        <v>-0.1</v>
      </c>
      <c r="AO62" s="229">
        <v>1.37E-2</v>
      </c>
      <c r="AP62" s="228">
        <v>310.08</v>
      </c>
      <c r="AQ62" s="228">
        <v>312.2</v>
      </c>
      <c r="AR62" s="228">
        <v>0</v>
      </c>
      <c r="AS62" s="228">
        <v>95</v>
      </c>
      <c r="AT62" s="228">
        <v>83</v>
      </c>
      <c r="AU62" s="228">
        <v>12</v>
      </c>
      <c r="AV62" s="229">
        <v>0.14119999999999999</v>
      </c>
      <c r="AW62" s="228">
        <v>79</v>
      </c>
      <c r="AX62" s="228">
        <v>73</v>
      </c>
      <c r="AY62" s="228">
        <v>6</v>
      </c>
      <c r="AZ62" s="229">
        <v>7.8E-2</v>
      </c>
      <c r="BA62" s="228">
        <v>14</v>
      </c>
      <c r="BB62" s="228">
        <v>8</v>
      </c>
      <c r="BC62" s="228">
        <v>6</v>
      </c>
      <c r="BD62" s="229">
        <v>0.71519999999999995</v>
      </c>
      <c r="BE62" s="228">
        <v>2</v>
      </c>
      <c r="BF62" s="228">
        <v>2</v>
      </c>
      <c r="BG62" s="228">
        <v>0</v>
      </c>
      <c r="BH62" s="229">
        <v>0</v>
      </c>
      <c r="BI62" s="228">
        <v>171</v>
      </c>
      <c r="BJ62" s="228">
        <v>148</v>
      </c>
      <c r="BK62" s="228">
        <v>24</v>
      </c>
      <c r="BL62" s="229">
        <v>0.1595</v>
      </c>
      <c r="BM62" s="228">
        <v>56</v>
      </c>
      <c r="BN62" s="228">
        <v>66</v>
      </c>
      <c r="BO62" s="228">
        <v>-10</v>
      </c>
      <c r="BP62" s="229">
        <v>-0.15229999999999999</v>
      </c>
      <c r="BQ62" s="228">
        <v>322</v>
      </c>
      <c r="BR62" s="228">
        <v>297</v>
      </c>
      <c r="BS62" s="228">
        <v>25</v>
      </c>
      <c r="BT62" s="229">
        <v>8.5099999999999995E-2</v>
      </c>
      <c r="BU62" s="230">
        <v>1517364</v>
      </c>
      <c r="BV62" s="230">
        <v>1348246</v>
      </c>
      <c r="BW62" s="230">
        <v>169118</v>
      </c>
      <c r="BX62" s="229">
        <v>0.12540000000000001</v>
      </c>
      <c r="BY62" s="228">
        <v>917</v>
      </c>
      <c r="BZ62" s="228">
        <v>918</v>
      </c>
      <c r="CA62" s="228">
        <v>-1</v>
      </c>
      <c r="CB62" s="229">
        <v>-6.9999999999999999E-4</v>
      </c>
      <c r="CC62" s="228">
        <v>861</v>
      </c>
      <c r="CD62" s="228">
        <v>865</v>
      </c>
      <c r="CE62" s="228">
        <v>-4</v>
      </c>
      <c r="CF62" s="229">
        <v>-5.0000000000000001E-3</v>
      </c>
      <c r="CG62" s="228">
        <v>51</v>
      </c>
      <c r="CH62" s="228">
        <v>48</v>
      </c>
      <c r="CI62" s="228">
        <v>3</v>
      </c>
      <c r="CJ62" s="229">
        <v>6.7599999999999993E-2</v>
      </c>
      <c r="CK62" s="228">
        <v>5</v>
      </c>
      <c r="CL62" s="228">
        <v>5</v>
      </c>
      <c r="CM62" s="228">
        <v>0</v>
      </c>
      <c r="CN62" s="229">
        <v>7.7799999999999994E-2</v>
      </c>
      <c r="CO62" s="228">
        <v>358</v>
      </c>
      <c r="CP62" s="228">
        <v>341</v>
      </c>
      <c r="CQ62" s="228">
        <v>17</v>
      </c>
      <c r="CR62" s="229">
        <v>4.9599999999999998E-2</v>
      </c>
      <c r="CS62" s="228">
        <v>287</v>
      </c>
      <c r="CT62" s="228">
        <v>285</v>
      </c>
      <c r="CU62" s="228">
        <v>2</v>
      </c>
      <c r="CV62" s="229">
        <v>7.3000000000000001E-3</v>
      </c>
      <c r="CW62" s="230">
        <v>1563</v>
      </c>
      <c r="CX62" s="230">
        <v>1544</v>
      </c>
      <c r="CY62" s="228">
        <v>18</v>
      </c>
      <c r="CZ62" s="229">
        <v>1.1900000000000001E-2</v>
      </c>
      <c r="DA62" s="228">
        <v>34.72</v>
      </c>
      <c r="DB62" s="228">
        <v>34.590000000000003</v>
      </c>
      <c r="DC62" s="228">
        <v>0.13</v>
      </c>
      <c r="DD62" s="228">
        <v>0.13</v>
      </c>
      <c r="DE62" s="228">
        <v>32.85</v>
      </c>
      <c r="DF62" s="228">
        <v>32.93</v>
      </c>
      <c r="DG62" s="228">
        <v>1.87</v>
      </c>
      <c r="DH62" s="228">
        <v>-0.08</v>
      </c>
      <c r="DI62" s="228">
        <v>34.380000000000003</v>
      </c>
      <c r="DJ62" s="228">
        <v>34.56</v>
      </c>
      <c r="DK62" s="228">
        <v>-0.18</v>
      </c>
      <c r="DL62" s="228">
        <v>-0.18</v>
      </c>
      <c r="DM62" s="228">
        <v>35.76</v>
      </c>
      <c r="DN62" s="228">
        <v>34.65</v>
      </c>
      <c r="DO62" s="228">
        <v>1.1100000000000001</v>
      </c>
      <c r="DP62" s="228">
        <v>1.1100000000000001</v>
      </c>
      <c r="DQ62" s="228">
        <v>0.8</v>
      </c>
      <c r="DR62" s="228">
        <v>0.83</v>
      </c>
      <c r="DS62" s="228">
        <v>-0.03</v>
      </c>
      <c r="DT62" s="229">
        <v>-3.61E-2</v>
      </c>
      <c r="DU62" s="228">
        <v>340</v>
      </c>
      <c r="DV62" s="228">
        <v>340</v>
      </c>
      <c r="DW62" s="228">
        <v>0.33</v>
      </c>
      <c r="DX62" s="228">
        <v>0.45</v>
      </c>
      <c r="DY62" s="228">
        <v>-0.12</v>
      </c>
      <c r="DZ62" s="229">
        <v>-0.26669999999999999</v>
      </c>
      <c r="EA62" s="229">
        <v>6.1699999999999998E-2</v>
      </c>
      <c r="EB62" s="230">
        <v>1706400</v>
      </c>
      <c r="EC62" s="229">
        <v>8.5000000000000006E-3</v>
      </c>
      <c r="ED62" s="229">
        <v>6.1699999999999998E-2</v>
      </c>
      <c r="EE62" s="228">
        <v>2.12</v>
      </c>
      <c r="EF62" s="229">
        <v>6.7999999999999996E-3</v>
      </c>
      <c r="EG62" s="230">
        <v>484460</v>
      </c>
      <c r="EH62" s="230">
        <v>487109</v>
      </c>
      <c r="EI62" s="229">
        <v>-5.4000000000000003E-3</v>
      </c>
      <c r="EJ62" s="229">
        <v>0.31929999999999997</v>
      </c>
      <c r="EK62" s="228">
        <v>184.07</v>
      </c>
      <c r="EL62" s="228">
        <v>55.25</v>
      </c>
      <c r="EM62" s="228">
        <v>94.83</v>
      </c>
      <c r="EN62" s="228">
        <v>15.16</v>
      </c>
      <c r="EO62" s="228">
        <v>334.15</v>
      </c>
      <c r="EP62" s="228">
        <v>312.72000000000003</v>
      </c>
      <c r="EQ62" s="228">
        <v>21.42</v>
      </c>
      <c r="ER62" s="229">
        <v>6.8500000000000005E-2</v>
      </c>
      <c r="ES62" s="228">
        <v>399.28</v>
      </c>
      <c r="ET62" s="228">
        <v>314.93</v>
      </c>
      <c r="EU62" s="228">
        <v>917.63</v>
      </c>
      <c r="EV62" s="231">
        <v>68856800</v>
      </c>
      <c r="EW62" s="231">
        <v>1631.83</v>
      </c>
      <c r="EX62" s="231">
        <v>1616.99</v>
      </c>
      <c r="EY62" s="228">
        <v>14.84</v>
      </c>
      <c r="EZ62" s="229">
        <v>9.1999999999999998E-3</v>
      </c>
      <c r="FA62" s="229">
        <v>0.73129999999999995</v>
      </c>
      <c r="FB62" s="227" t="s">
        <v>568</v>
      </c>
      <c r="FC62">
        <f t="shared" si="0"/>
        <v>56</v>
      </c>
    </row>
    <row r="63" spans="1:159" ht="17.25" hidden="1" thickBot="1" x14ac:dyDescent="0.3">
      <c r="A63" s="226">
        <v>46093</v>
      </c>
      <c r="B63" s="227" t="s">
        <v>172</v>
      </c>
      <c r="C63" s="227" t="s">
        <v>212</v>
      </c>
      <c r="D63" s="228">
        <v>5000</v>
      </c>
      <c r="E63" s="228">
        <v>18</v>
      </c>
      <c r="F63" s="228">
        <v>271.10000000000002</v>
      </c>
      <c r="G63" s="228">
        <v>270.5</v>
      </c>
      <c r="H63" s="228">
        <v>0.6</v>
      </c>
      <c r="I63" s="229">
        <v>2.2000000000000001E-3</v>
      </c>
      <c r="J63" s="228">
        <v>270.25</v>
      </c>
      <c r="K63" s="228">
        <v>269.45</v>
      </c>
      <c r="L63" s="228">
        <v>0.8</v>
      </c>
      <c r="M63" s="229">
        <v>3.0000000000000001E-3</v>
      </c>
      <c r="N63" s="228">
        <v>271.10000000000002</v>
      </c>
      <c r="O63" s="228">
        <v>270.5</v>
      </c>
      <c r="P63" s="228">
        <v>0.6</v>
      </c>
      <c r="Q63" s="229">
        <v>2.2000000000000001E-3</v>
      </c>
      <c r="R63" s="228">
        <v>272.85000000000002</v>
      </c>
      <c r="S63" s="228">
        <v>272.10000000000002</v>
      </c>
      <c r="T63" s="228">
        <v>0.75</v>
      </c>
      <c r="U63" s="229">
        <v>2.8E-3</v>
      </c>
      <c r="V63" s="228">
        <v>274.25</v>
      </c>
      <c r="W63" s="228">
        <v>273.55</v>
      </c>
      <c r="X63" s="228">
        <v>0.7</v>
      </c>
      <c r="Y63" s="229">
        <v>2.5999999999999999E-3</v>
      </c>
      <c r="Z63" s="228">
        <v>0.85</v>
      </c>
      <c r="AA63" s="228">
        <v>1.05</v>
      </c>
      <c r="AB63" s="228">
        <v>-0.2</v>
      </c>
      <c r="AC63" s="229">
        <v>3.0999999999999999E-3</v>
      </c>
      <c r="AD63" s="228">
        <v>0.85</v>
      </c>
      <c r="AE63" s="228">
        <v>1.05</v>
      </c>
      <c r="AF63" s="228">
        <v>-0.2</v>
      </c>
      <c r="AG63" s="229">
        <v>3.0999999999999999E-3</v>
      </c>
      <c r="AH63" s="228">
        <v>2.6</v>
      </c>
      <c r="AI63" s="228">
        <v>2.65</v>
      </c>
      <c r="AJ63" s="228">
        <v>-0.05</v>
      </c>
      <c r="AK63" s="229">
        <v>9.5999999999999992E-3</v>
      </c>
      <c r="AL63" s="228">
        <v>4</v>
      </c>
      <c r="AM63" s="228">
        <v>4.0999999999999996</v>
      </c>
      <c r="AN63" s="228">
        <v>-0.1</v>
      </c>
      <c r="AO63" s="229">
        <v>1.4800000000000001E-2</v>
      </c>
      <c r="AP63" s="228">
        <v>270.57</v>
      </c>
      <c r="AQ63" s="228">
        <v>271.95999999999998</v>
      </c>
      <c r="AR63" s="228">
        <v>0</v>
      </c>
      <c r="AS63" s="228">
        <v>594</v>
      </c>
      <c r="AT63" s="228">
        <v>495</v>
      </c>
      <c r="AU63" s="228">
        <v>99</v>
      </c>
      <c r="AV63" s="229">
        <v>0.20039999999999999</v>
      </c>
      <c r="AW63" s="228">
        <v>547</v>
      </c>
      <c r="AX63" s="228">
        <v>438</v>
      </c>
      <c r="AY63" s="228">
        <v>109</v>
      </c>
      <c r="AZ63" s="229">
        <v>0.2495</v>
      </c>
      <c r="BA63" s="228">
        <v>45</v>
      </c>
      <c r="BB63" s="228">
        <v>52</v>
      </c>
      <c r="BC63" s="228">
        <v>-7</v>
      </c>
      <c r="BD63" s="229">
        <v>-0.13420000000000001</v>
      </c>
      <c r="BE63" s="228">
        <v>2</v>
      </c>
      <c r="BF63" s="228">
        <v>6</v>
      </c>
      <c r="BG63" s="228">
        <v>-3</v>
      </c>
      <c r="BH63" s="229">
        <v>-0.56100000000000005</v>
      </c>
      <c r="BI63" s="230">
        <v>1858</v>
      </c>
      <c r="BJ63" s="230">
        <v>1985</v>
      </c>
      <c r="BK63" s="228">
        <v>-127</v>
      </c>
      <c r="BL63" s="229">
        <v>-6.3899999999999998E-2</v>
      </c>
      <c r="BM63" s="228">
        <v>757</v>
      </c>
      <c r="BN63" s="228">
        <v>612</v>
      </c>
      <c r="BO63" s="228">
        <v>144</v>
      </c>
      <c r="BP63" s="229">
        <v>0.23569999999999999</v>
      </c>
      <c r="BQ63" s="230">
        <v>3209</v>
      </c>
      <c r="BR63" s="230">
        <v>3092</v>
      </c>
      <c r="BS63" s="228">
        <v>117</v>
      </c>
      <c r="BT63" s="229">
        <v>3.78E-2</v>
      </c>
      <c r="BU63" s="230">
        <v>8186523</v>
      </c>
      <c r="BV63" s="230">
        <v>9888530</v>
      </c>
      <c r="BW63" s="230">
        <v>-1702007</v>
      </c>
      <c r="BX63" s="229">
        <v>-0.1721</v>
      </c>
      <c r="BY63" s="230">
        <v>2291</v>
      </c>
      <c r="BZ63" s="230">
        <v>2216</v>
      </c>
      <c r="CA63" s="228">
        <v>75</v>
      </c>
      <c r="CB63" s="229">
        <v>3.3799999999999997E-2</v>
      </c>
      <c r="CC63" s="230">
        <v>2158</v>
      </c>
      <c r="CD63" s="230">
        <v>2097</v>
      </c>
      <c r="CE63" s="228">
        <v>61</v>
      </c>
      <c r="CF63" s="229">
        <v>2.9000000000000001E-2</v>
      </c>
      <c r="CG63" s="228">
        <v>118</v>
      </c>
      <c r="CH63" s="228">
        <v>105</v>
      </c>
      <c r="CI63" s="228">
        <v>14</v>
      </c>
      <c r="CJ63" s="229">
        <v>0.1336</v>
      </c>
      <c r="CK63" s="228">
        <v>14</v>
      </c>
      <c r="CL63" s="228">
        <v>14</v>
      </c>
      <c r="CM63" s="228">
        <v>0</v>
      </c>
      <c r="CN63" s="229">
        <v>0</v>
      </c>
      <c r="CO63" s="230">
        <v>1691</v>
      </c>
      <c r="CP63" s="230">
        <v>1610</v>
      </c>
      <c r="CQ63" s="228">
        <v>81</v>
      </c>
      <c r="CR63" s="229">
        <v>5.0299999999999997E-2</v>
      </c>
      <c r="CS63" s="228">
        <v>888</v>
      </c>
      <c r="CT63" s="228">
        <v>867</v>
      </c>
      <c r="CU63" s="228">
        <v>20</v>
      </c>
      <c r="CV63" s="229">
        <v>2.3300000000000001E-2</v>
      </c>
      <c r="CW63" s="230">
        <v>4869</v>
      </c>
      <c r="CX63" s="230">
        <v>4693</v>
      </c>
      <c r="CY63" s="228">
        <v>176</v>
      </c>
      <c r="CZ63" s="229">
        <v>3.7499999999999999E-2</v>
      </c>
      <c r="DA63" s="228">
        <v>32.96</v>
      </c>
      <c r="DB63" s="228">
        <v>33.43</v>
      </c>
      <c r="DC63" s="228">
        <v>-0.47</v>
      </c>
      <c r="DD63" s="228">
        <v>-0.47</v>
      </c>
      <c r="DE63" s="228">
        <v>30.4</v>
      </c>
      <c r="DF63" s="228">
        <v>30.47</v>
      </c>
      <c r="DG63" s="228">
        <v>2.56</v>
      </c>
      <c r="DH63" s="228">
        <v>-7.0000000000000007E-2</v>
      </c>
      <c r="DI63" s="228">
        <v>32.659999999999997</v>
      </c>
      <c r="DJ63" s="228">
        <v>33.5</v>
      </c>
      <c r="DK63" s="228">
        <v>-0.84</v>
      </c>
      <c r="DL63" s="228">
        <v>-0.84</v>
      </c>
      <c r="DM63" s="228">
        <v>33.71</v>
      </c>
      <c r="DN63" s="228">
        <v>33.200000000000003</v>
      </c>
      <c r="DO63" s="228">
        <v>0.51</v>
      </c>
      <c r="DP63" s="228">
        <v>0.51</v>
      </c>
      <c r="DQ63" s="228">
        <v>0.52</v>
      </c>
      <c r="DR63" s="228">
        <v>0.54</v>
      </c>
      <c r="DS63" s="228">
        <v>-0.02</v>
      </c>
      <c r="DT63" s="229">
        <v>-3.6999999999999998E-2</v>
      </c>
      <c r="DU63" s="228">
        <v>300</v>
      </c>
      <c r="DV63" s="228">
        <v>270</v>
      </c>
      <c r="DW63" s="228">
        <v>0.41</v>
      </c>
      <c r="DX63" s="228">
        <v>0.31</v>
      </c>
      <c r="DY63" s="228">
        <v>0.1</v>
      </c>
      <c r="DZ63" s="229">
        <v>0.3226</v>
      </c>
      <c r="EA63" s="229">
        <v>5.8000000000000003E-2</v>
      </c>
      <c r="EB63" s="230">
        <v>4385000</v>
      </c>
      <c r="EC63" s="229">
        <v>6.4999999999999997E-3</v>
      </c>
      <c r="ED63" s="229">
        <v>5.8000000000000003E-2</v>
      </c>
      <c r="EE63" s="228">
        <v>1.39</v>
      </c>
      <c r="EF63" s="229">
        <v>5.1000000000000004E-3</v>
      </c>
      <c r="EG63" s="230">
        <v>4446960</v>
      </c>
      <c r="EH63" s="230">
        <v>5791559</v>
      </c>
      <c r="EI63" s="229">
        <v>-0.23219999999999999</v>
      </c>
      <c r="EJ63" s="229">
        <v>0.54320000000000002</v>
      </c>
      <c r="EK63" s="231">
        <v>2024.5</v>
      </c>
      <c r="EL63" s="228">
        <v>744.36</v>
      </c>
      <c r="EM63" s="228">
        <v>593.33000000000004</v>
      </c>
      <c r="EN63" s="228">
        <v>45.72</v>
      </c>
      <c r="EO63" s="231">
        <v>3362.2</v>
      </c>
      <c r="EP63" s="231">
        <v>3297.26</v>
      </c>
      <c r="EQ63" s="228">
        <v>64.930000000000007</v>
      </c>
      <c r="ER63" s="229">
        <v>1.9699999999999999E-2</v>
      </c>
      <c r="ES63" s="231">
        <v>1864.85</v>
      </c>
      <c r="ET63" s="228">
        <v>905.93</v>
      </c>
      <c r="EU63" s="231">
        <v>2291.86</v>
      </c>
      <c r="EV63" s="231">
        <v>320636733</v>
      </c>
      <c r="EW63" s="231">
        <v>5062.6400000000003</v>
      </c>
      <c r="EX63" s="231">
        <v>4881.7299999999996</v>
      </c>
      <c r="EY63" s="228">
        <v>180.91</v>
      </c>
      <c r="EZ63" s="229">
        <v>3.7100000000000001E-2</v>
      </c>
      <c r="FA63" s="229">
        <v>0.56020000000000003</v>
      </c>
      <c r="FB63" s="227" t="s">
        <v>555</v>
      </c>
      <c r="FC63">
        <f t="shared" si="0"/>
        <v>133</v>
      </c>
    </row>
    <row r="64" spans="1:159" ht="17.25" hidden="1" thickBot="1" x14ac:dyDescent="0.3">
      <c r="A64" s="226">
        <v>46093</v>
      </c>
      <c r="B64" s="227" t="s">
        <v>181</v>
      </c>
      <c r="C64" s="227" t="s">
        <v>480</v>
      </c>
      <c r="D64" s="228">
        <v>60</v>
      </c>
      <c r="E64" s="228">
        <v>18</v>
      </c>
      <c r="F64" s="231">
        <v>25750</v>
      </c>
      <c r="G64" s="231">
        <v>26003.8</v>
      </c>
      <c r="H64" s="228">
        <v>-253.8</v>
      </c>
      <c r="I64" s="229">
        <v>-9.7999999999999997E-3</v>
      </c>
      <c r="J64" s="231">
        <v>25663.200000000001</v>
      </c>
      <c r="K64" s="231">
        <v>25920.799999999999</v>
      </c>
      <c r="L64" s="228">
        <v>-257.60000000000002</v>
      </c>
      <c r="M64" s="229">
        <v>-9.9000000000000008E-3</v>
      </c>
      <c r="N64" s="231">
        <v>25750</v>
      </c>
      <c r="O64" s="231">
        <v>26003.8</v>
      </c>
      <c r="P64" s="228">
        <v>-253.8</v>
      </c>
      <c r="Q64" s="229">
        <v>-9.7999999999999997E-3</v>
      </c>
      <c r="R64" s="231">
        <v>25902.5</v>
      </c>
      <c r="S64" s="231">
        <v>26135.5</v>
      </c>
      <c r="T64" s="228">
        <v>-233</v>
      </c>
      <c r="U64" s="229">
        <v>-8.8999999999999999E-3</v>
      </c>
      <c r="V64" s="231">
        <v>26125</v>
      </c>
      <c r="W64" s="228">
        <v>0</v>
      </c>
      <c r="X64" s="231">
        <v>26125</v>
      </c>
      <c r="Y64" s="229">
        <v>0</v>
      </c>
      <c r="Z64" s="228">
        <v>86.8</v>
      </c>
      <c r="AA64" s="228">
        <v>83</v>
      </c>
      <c r="AB64" s="228">
        <v>3.8</v>
      </c>
      <c r="AC64" s="229">
        <v>3.3999999999999998E-3</v>
      </c>
      <c r="AD64" s="228">
        <v>86.8</v>
      </c>
      <c r="AE64" s="228">
        <v>83</v>
      </c>
      <c r="AF64" s="228">
        <v>3.8</v>
      </c>
      <c r="AG64" s="229">
        <v>3.3999999999999998E-3</v>
      </c>
      <c r="AH64" s="228">
        <v>239.3</v>
      </c>
      <c r="AI64" s="228">
        <v>214.7</v>
      </c>
      <c r="AJ64" s="228">
        <v>24.6</v>
      </c>
      <c r="AK64" s="229">
        <v>9.2999999999999992E-3</v>
      </c>
      <c r="AL64" s="228">
        <v>461.8</v>
      </c>
      <c r="AM64" s="228">
        <v>0</v>
      </c>
      <c r="AN64" s="228">
        <v>461.8</v>
      </c>
      <c r="AO64" s="229">
        <v>1.7999999999999999E-2</v>
      </c>
      <c r="AP64" s="231">
        <v>25752.54</v>
      </c>
      <c r="AQ64" s="231">
        <v>25915.08</v>
      </c>
      <c r="AR64" s="228">
        <v>0</v>
      </c>
      <c r="AS64" s="228">
        <v>97</v>
      </c>
      <c r="AT64" s="228">
        <v>52</v>
      </c>
      <c r="AU64" s="228">
        <v>44</v>
      </c>
      <c r="AV64" s="229">
        <v>0.85209999999999997</v>
      </c>
      <c r="AW64" s="228">
        <v>93</v>
      </c>
      <c r="AX64" s="228">
        <v>49</v>
      </c>
      <c r="AY64" s="228">
        <v>44</v>
      </c>
      <c r="AZ64" s="229">
        <v>0.89939999999999998</v>
      </c>
      <c r="BA64" s="228">
        <v>3</v>
      </c>
      <c r="BB64" s="228">
        <v>3</v>
      </c>
      <c r="BC64" s="228">
        <v>0</v>
      </c>
      <c r="BD64" s="229">
        <v>0.05</v>
      </c>
      <c r="BE64" s="228">
        <v>0</v>
      </c>
      <c r="BF64" s="228">
        <v>0</v>
      </c>
      <c r="BG64" s="228">
        <v>0</v>
      </c>
      <c r="BH64" s="229">
        <v>0</v>
      </c>
      <c r="BI64" s="230">
        <v>2330</v>
      </c>
      <c r="BJ64" s="230">
        <v>3266</v>
      </c>
      <c r="BK64" s="228">
        <v>-936</v>
      </c>
      <c r="BL64" s="229">
        <v>-0.28670000000000001</v>
      </c>
      <c r="BM64" s="230">
        <v>3067</v>
      </c>
      <c r="BN64" s="230">
        <v>3093</v>
      </c>
      <c r="BO64" s="228">
        <v>-25</v>
      </c>
      <c r="BP64" s="229">
        <v>-8.2000000000000007E-3</v>
      </c>
      <c r="BQ64" s="230">
        <v>5494</v>
      </c>
      <c r="BR64" s="230">
        <v>6412</v>
      </c>
      <c r="BS64" s="228">
        <v>-917</v>
      </c>
      <c r="BT64" s="229">
        <v>-0.1431</v>
      </c>
      <c r="BU64" s="228">
        <v>0</v>
      </c>
      <c r="BV64" s="228">
        <v>0</v>
      </c>
      <c r="BW64" s="228">
        <v>0</v>
      </c>
      <c r="BX64" s="229">
        <v>0</v>
      </c>
      <c r="BY64" s="228">
        <v>181</v>
      </c>
      <c r="BZ64" s="228">
        <v>171</v>
      </c>
      <c r="CA64" s="228">
        <v>10</v>
      </c>
      <c r="CB64" s="229">
        <v>5.7799999999999997E-2</v>
      </c>
      <c r="CC64" s="228">
        <v>176</v>
      </c>
      <c r="CD64" s="228">
        <v>167</v>
      </c>
      <c r="CE64" s="228">
        <v>8</v>
      </c>
      <c r="CF64" s="229">
        <v>5.0900000000000001E-2</v>
      </c>
      <c r="CG64" s="228">
        <v>5</v>
      </c>
      <c r="CH64" s="228">
        <v>4</v>
      </c>
      <c r="CI64" s="228">
        <v>1</v>
      </c>
      <c r="CJ64" s="229">
        <v>0.30769999999999997</v>
      </c>
      <c r="CK64" s="228">
        <v>0</v>
      </c>
      <c r="CL64" s="228">
        <v>0</v>
      </c>
      <c r="CM64" s="228">
        <v>0</v>
      </c>
      <c r="CN64" s="229">
        <v>0</v>
      </c>
      <c r="CO64" s="230">
        <v>2210</v>
      </c>
      <c r="CP64" s="230">
        <v>2119</v>
      </c>
      <c r="CQ64" s="228">
        <v>90</v>
      </c>
      <c r="CR64" s="229">
        <v>4.2599999999999999E-2</v>
      </c>
      <c r="CS64" s="230">
        <v>2041</v>
      </c>
      <c r="CT64" s="230">
        <v>1954</v>
      </c>
      <c r="CU64" s="228">
        <v>87</v>
      </c>
      <c r="CV64" s="229">
        <v>4.4400000000000002E-2</v>
      </c>
      <c r="CW64" s="230">
        <v>4432</v>
      </c>
      <c r="CX64" s="230">
        <v>4245</v>
      </c>
      <c r="CY64" s="228">
        <v>187</v>
      </c>
      <c r="CZ64" s="229">
        <v>4.41E-2</v>
      </c>
      <c r="DA64" s="228">
        <v>25.83</v>
      </c>
      <c r="DB64" s="228">
        <v>24.48</v>
      </c>
      <c r="DC64" s="228">
        <v>1.35</v>
      </c>
      <c r="DD64" s="228">
        <v>1.35</v>
      </c>
      <c r="DE64" s="228">
        <v>17.66</v>
      </c>
      <c r="DF64" s="228">
        <v>17.649999999999999</v>
      </c>
      <c r="DG64" s="228">
        <v>8.17</v>
      </c>
      <c r="DH64" s="228">
        <v>0.01</v>
      </c>
      <c r="DI64" s="228">
        <v>23.67</v>
      </c>
      <c r="DJ64" s="228">
        <v>23.01</v>
      </c>
      <c r="DK64" s="228">
        <v>0.66</v>
      </c>
      <c r="DL64" s="228">
        <v>0.66</v>
      </c>
      <c r="DM64" s="228">
        <v>27.46</v>
      </c>
      <c r="DN64" s="228">
        <v>26.03</v>
      </c>
      <c r="DO64" s="228">
        <v>1.43</v>
      </c>
      <c r="DP64" s="228">
        <v>1.43</v>
      </c>
      <c r="DQ64" s="228">
        <v>0.92</v>
      </c>
      <c r="DR64" s="228">
        <v>0.92</v>
      </c>
      <c r="DS64" s="228">
        <v>0</v>
      </c>
      <c r="DT64" s="229">
        <v>0</v>
      </c>
      <c r="DU64" s="231">
        <v>27500</v>
      </c>
      <c r="DV64" s="231">
        <v>27500</v>
      </c>
      <c r="DW64" s="228">
        <v>1.32</v>
      </c>
      <c r="DX64" s="228">
        <v>0.95</v>
      </c>
      <c r="DY64" s="228">
        <v>0.37</v>
      </c>
      <c r="DZ64" s="229">
        <v>0.38950000000000001</v>
      </c>
      <c r="EA64" s="229">
        <v>2.9899999999999999E-2</v>
      </c>
      <c r="EB64" s="230">
        <v>1560</v>
      </c>
      <c r="EC64" s="229">
        <v>5.8999999999999999E-3</v>
      </c>
      <c r="ED64" s="229">
        <v>2.9899999999999999E-2</v>
      </c>
      <c r="EE64" s="228">
        <v>162.54</v>
      </c>
      <c r="EF64" s="229">
        <v>6.3E-3</v>
      </c>
      <c r="EG64" s="228">
        <v>0</v>
      </c>
      <c r="EH64" s="228">
        <v>0</v>
      </c>
      <c r="EI64" s="229">
        <v>0</v>
      </c>
      <c r="EJ64" s="229">
        <v>0</v>
      </c>
      <c r="EK64" s="231">
        <v>2459.9899999999998</v>
      </c>
      <c r="EL64" s="231">
        <v>3051.84</v>
      </c>
      <c r="EM64" s="228">
        <v>96.75</v>
      </c>
      <c r="EN64" s="228">
        <v>0</v>
      </c>
      <c r="EO64" s="231">
        <v>5608.58</v>
      </c>
      <c r="EP64" s="231">
        <v>6667.55</v>
      </c>
      <c r="EQ64" s="231">
        <v>-1058.97</v>
      </c>
      <c r="ER64" s="229">
        <v>-0.1588</v>
      </c>
      <c r="ES64" s="231">
        <v>2399.56</v>
      </c>
      <c r="ET64" s="231">
        <v>2095.75</v>
      </c>
      <c r="EU64" s="228">
        <v>180.95</v>
      </c>
      <c r="EV64" s="228">
        <v>0</v>
      </c>
      <c r="EW64" s="231">
        <v>4676.26</v>
      </c>
      <c r="EX64" s="231">
        <v>4495.46</v>
      </c>
      <c r="EY64" s="228">
        <v>180.8</v>
      </c>
      <c r="EZ64" s="229">
        <v>4.02E-2</v>
      </c>
      <c r="FA64" s="229">
        <v>0</v>
      </c>
      <c r="FB64" s="227" t="s">
        <v>567</v>
      </c>
      <c r="FC64">
        <f t="shared" si="0"/>
        <v>5</v>
      </c>
    </row>
    <row r="65" spans="1:159" ht="17.25" hidden="1" thickBot="1" x14ac:dyDescent="0.3">
      <c r="A65" s="226">
        <v>46093</v>
      </c>
      <c r="B65" s="227" t="s">
        <v>170</v>
      </c>
      <c r="C65" s="227" t="s">
        <v>676</v>
      </c>
      <c r="D65" s="228">
        <v>775</v>
      </c>
      <c r="E65" s="228">
        <v>18</v>
      </c>
      <c r="F65" s="228">
        <v>863.05</v>
      </c>
      <c r="G65" s="228">
        <v>882.2</v>
      </c>
      <c r="H65" s="228">
        <v>-19.149999999999999</v>
      </c>
      <c r="I65" s="229">
        <v>-2.1700000000000001E-2</v>
      </c>
      <c r="J65" s="228">
        <v>859.5</v>
      </c>
      <c r="K65" s="228">
        <v>881.2</v>
      </c>
      <c r="L65" s="228">
        <v>-21.7</v>
      </c>
      <c r="M65" s="229">
        <v>-2.46E-2</v>
      </c>
      <c r="N65" s="228">
        <v>863.05</v>
      </c>
      <c r="O65" s="228">
        <v>882.2</v>
      </c>
      <c r="P65" s="228">
        <v>-19.149999999999999</v>
      </c>
      <c r="Q65" s="229">
        <v>-2.1700000000000001E-2</v>
      </c>
      <c r="R65" s="228">
        <v>868</v>
      </c>
      <c r="S65" s="228">
        <v>889.3</v>
      </c>
      <c r="T65" s="228">
        <v>-21.3</v>
      </c>
      <c r="U65" s="229">
        <v>-2.4E-2</v>
      </c>
      <c r="V65" s="228">
        <v>870.8</v>
      </c>
      <c r="W65" s="228">
        <v>896</v>
      </c>
      <c r="X65" s="228">
        <v>-25.2</v>
      </c>
      <c r="Y65" s="229">
        <v>-2.81E-2</v>
      </c>
      <c r="Z65" s="228">
        <v>3.55</v>
      </c>
      <c r="AA65" s="228">
        <v>1</v>
      </c>
      <c r="AB65" s="228">
        <v>2.5499999999999998</v>
      </c>
      <c r="AC65" s="229">
        <v>4.1000000000000003E-3</v>
      </c>
      <c r="AD65" s="228">
        <v>3.55</v>
      </c>
      <c r="AE65" s="228">
        <v>1</v>
      </c>
      <c r="AF65" s="228">
        <v>2.5499999999999998</v>
      </c>
      <c r="AG65" s="229">
        <v>4.1000000000000003E-3</v>
      </c>
      <c r="AH65" s="228">
        <v>8.5</v>
      </c>
      <c r="AI65" s="228">
        <v>8.1</v>
      </c>
      <c r="AJ65" s="228">
        <v>0.4</v>
      </c>
      <c r="AK65" s="229">
        <v>9.9000000000000008E-3</v>
      </c>
      <c r="AL65" s="228">
        <v>11.3</v>
      </c>
      <c r="AM65" s="228">
        <v>14.8</v>
      </c>
      <c r="AN65" s="228">
        <v>-3.5</v>
      </c>
      <c r="AO65" s="229">
        <v>1.3100000000000001E-2</v>
      </c>
      <c r="AP65" s="228">
        <v>863.52</v>
      </c>
      <c r="AQ65" s="228">
        <v>869</v>
      </c>
      <c r="AR65" s="228">
        <v>0</v>
      </c>
      <c r="AS65" s="228">
        <v>179</v>
      </c>
      <c r="AT65" s="228">
        <v>73</v>
      </c>
      <c r="AU65" s="228">
        <v>106</v>
      </c>
      <c r="AV65" s="229">
        <v>1.4515</v>
      </c>
      <c r="AW65" s="228">
        <v>167</v>
      </c>
      <c r="AX65" s="228">
        <v>70</v>
      </c>
      <c r="AY65" s="228">
        <v>98</v>
      </c>
      <c r="AZ65" s="229">
        <v>1.4012</v>
      </c>
      <c r="BA65" s="228">
        <v>11</v>
      </c>
      <c r="BB65" s="228">
        <v>3</v>
      </c>
      <c r="BC65" s="228">
        <v>8</v>
      </c>
      <c r="BD65" s="229">
        <v>2.8409</v>
      </c>
      <c r="BE65" s="228">
        <v>0</v>
      </c>
      <c r="BF65" s="228">
        <v>0</v>
      </c>
      <c r="BG65" s="228">
        <v>0</v>
      </c>
      <c r="BH65" s="229">
        <v>0</v>
      </c>
      <c r="BI65" s="228">
        <v>224</v>
      </c>
      <c r="BJ65" s="228">
        <v>232</v>
      </c>
      <c r="BK65" s="228">
        <v>-8</v>
      </c>
      <c r="BL65" s="229">
        <v>-3.6600000000000001E-2</v>
      </c>
      <c r="BM65" s="228">
        <v>64</v>
      </c>
      <c r="BN65" s="228">
        <v>88</v>
      </c>
      <c r="BO65" s="228">
        <v>-24</v>
      </c>
      <c r="BP65" s="229">
        <v>-0.27</v>
      </c>
      <c r="BQ65" s="228">
        <v>467</v>
      </c>
      <c r="BR65" s="228">
        <v>393</v>
      </c>
      <c r="BS65" s="228">
        <v>74</v>
      </c>
      <c r="BT65" s="229">
        <v>0.18790000000000001</v>
      </c>
      <c r="BU65" s="230">
        <v>2413280</v>
      </c>
      <c r="BV65" s="230">
        <v>1380865</v>
      </c>
      <c r="BW65" s="230">
        <v>1032415</v>
      </c>
      <c r="BX65" s="229">
        <v>0.74770000000000003</v>
      </c>
      <c r="BY65" s="230">
        <v>1034</v>
      </c>
      <c r="BZ65" s="228">
        <v>998</v>
      </c>
      <c r="CA65" s="228">
        <v>36</v>
      </c>
      <c r="CB65" s="229">
        <v>3.5999999999999997E-2</v>
      </c>
      <c r="CC65" s="230">
        <v>1011</v>
      </c>
      <c r="CD65" s="228">
        <v>978</v>
      </c>
      <c r="CE65" s="228">
        <v>32</v>
      </c>
      <c r="CF65" s="229">
        <v>3.32E-2</v>
      </c>
      <c r="CG65" s="228">
        <v>22</v>
      </c>
      <c r="CH65" s="228">
        <v>18</v>
      </c>
      <c r="CI65" s="228">
        <v>3</v>
      </c>
      <c r="CJ65" s="229">
        <v>0.19120000000000001</v>
      </c>
      <c r="CK65" s="228">
        <v>2</v>
      </c>
      <c r="CL65" s="228">
        <v>2</v>
      </c>
      <c r="CM65" s="228">
        <v>0</v>
      </c>
      <c r="CN65" s="229">
        <v>3.5700000000000003E-2</v>
      </c>
      <c r="CO65" s="228">
        <v>365</v>
      </c>
      <c r="CP65" s="228">
        <v>348</v>
      </c>
      <c r="CQ65" s="228">
        <v>17</v>
      </c>
      <c r="CR65" s="229">
        <v>5.0200000000000002E-2</v>
      </c>
      <c r="CS65" s="228">
        <v>154</v>
      </c>
      <c r="CT65" s="228">
        <v>148</v>
      </c>
      <c r="CU65" s="228">
        <v>6</v>
      </c>
      <c r="CV65" s="229">
        <v>3.7999999999999999E-2</v>
      </c>
      <c r="CW65" s="230">
        <v>1553</v>
      </c>
      <c r="CX65" s="230">
        <v>1494</v>
      </c>
      <c r="CY65" s="228">
        <v>59</v>
      </c>
      <c r="CZ65" s="229">
        <v>3.95E-2</v>
      </c>
      <c r="DA65" s="228">
        <v>32.450000000000003</v>
      </c>
      <c r="DB65" s="228">
        <v>30.9</v>
      </c>
      <c r="DC65" s="228">
        <v>1.55</v>
      </c>
      <c r="DD65" s="228">
        <v>1.55</v>
      </c>
      <c r="DE65" s="228">
        <v>34.619999999999997</v>
      </c>
      <c r="DF65" s="228">
        <v>34.54</v>
      </c>
      <c r="DG65" s="228">
        <v>-2.17</v>
      </c>
      <c r="DH65" s="228">
        <v>0.08</v>
      </c>
      <c r="DI65" s="228">
        <v>32.299999999999997</v>
      </c>
      <c r="DJ65" s="228">
        <v>30.6</v>
      </c>
      <c r="DK65" s="228">
        <v>1.7</v>
      </c>
      <c r="DL65" s="228">
        <v>1.7</v>
      </c>
      <c r="DM65" s="228">
        <v>33</v>
      </c>
      <c r="DN65" s="228">
        <v>31.69</v>
      </c>
      <c r="DO65" s="228">
        <v>1.31</v>
      </c>
      <c r="DP65" s="228">
        <v>1.31</v>
      </c>
      <c r="DQ65" s="228">
        <v>0.42</v>
      </c>
      <c r="DR65" s="228">
        <v>0.43</v>
      </c>
      <c r="DS65" s="228">
        <v>-0.01</v>
      </c>
      <c r="DT65" s="229">
        <v>-2.3300000000000001E-2</v>
      </c>
      <c r="DU65" s="228">
        <v>960</v>
      </c>
      <c r="DV65" s="228">
        <v>880</v>
      </c>
      <c r="DW65" s="228">
        <v>0.28999999999999998</v>
      </c>
      <c r="DX65" s="228">
        <v>0.38</v>
      </c>
      <c r="DY65" s="228">
        <v>-0.09</v>
      </c>
      <c r="DZ65" s="229">
        <v>-0.23680000000000001</v>
      </c>
      <c r="EA65" s="229">
        <v>2.2800000000000001E-2</v>
      </c>
      <c r="EB65" s="230">
        <v>232500</v>
      </c>
      <c r="EC65" s="229">
        <v>5.7000000000000002E-3</v>
      </c>
      <c r="ED65" s="229">
        <v>2.2800000000000001E-2</v>
      </c>
      <c r="EE65" s="228">
        <v>5.48</v>
      </c>
      <c r="EF65" s="229">
        <v>6.3E-3</v>
      </c>
      <c r="EG65" s="230">
        <v>1603873</v>
      </c>
      <c r="EH65" s="230">
        <v>864086</v>
      </c>
      <c r="EI65" s="229">
        <v>0.85609999999999997</v>
      </c>
      <c r="EJ65" s="229">
        <v>0.66459999999999997</v>
      </c>
      <c r="EK65" s="228">
        <v>241.84</v>
      </c>
      <c r="EL65" s="228">
        <v>64.62</v>
      </c>
      <c r="EM65" s="228">
        <v>179.23</v>
      </c>
      <c r="EN65" s="228">
        <v>17.899999999999999</v>
      </c>
      <c r="EO65" s="228">
        <v>485.69</v>
      </c>
      <c r="EP65" s="228">
        <v>415.94</v>
      </c>
      <c r="EQ65" s="228">
        <v>69.75</v>
      </c>
      <c r="ER65" s="229">
        <v>0.16769999999999999</v>
      </c>
      <c r="ES65" s="228">
        <v>406.59</v>
      </c>
      <c r="ET65" s="228">
        <v>159.94</v>
      </c>
      <c r="EU65" s="231">
        <v>1034.4100000000001</v>
      </c>
      <c r="EV65" s="231">
        <v>77949604</v>
      </c>
      <c r="EW65" s="231">
        <v>1600.94</v>
      </c>
      <c r="EX65" s="231">
        <v>1563.89</v>
      </c>
      <c r="EY65" s="228">
        <v>37.049999999999997</v>
      </c>
      <c r="EZ65" s="229">
        <v>2.3699999999999999E-2</v>
      </c>
      <c r="FA65" s="229">
        <v>0.23089999999999999</v>
      </c>
      <c r="FB65" s="227" t="s">
        <v>567</v>
      </c>
      <c r="FC65">
        <f t="shared" si="0"/>
        <v>23</v>
      </c>
    </row>
    <row r="66" spans="1:159" ht="17.25" hidden="1" thickBot="1" x14ac:dyDescent="0.3">
      <c r="A66" s="226">
        <v>46093</v>
      </c>
      <c r="B66" s="227" t="s">
        <v>193</v>
      </c>
      <c r="C66" s="227" t="s">
        <v>213</v>
      </c>
      <c r="D66" s="228">
        <v>3150</v>
      </c>
      <c r="E66" s="228">
        <v>18</v>
      </c>
      <c r="F66" s="228">
        <v>152.94</v>
      </c>
      <c r="G66" s="228">
        <v>148.52000000000001</v>
      </c>
      <c r="H66" s="228">
        <v>4.42</v>
      </c>
      <c r="I66" s="229">
        <v>2.98E-2</v>
      </c>
      <c r="J66" s="228">
        <v>152.35</v>
      </c>
      <c r="K66" s="228">
        <v>147.97</v>
      </c>
      <c r="L66" s="228">
        <v>4.38</v>
      </c>
      <c r="M66" s="229">
        <v>2.9600000000000001E-2</v>
      </c>
      <c r="N66" s="228">
        <v>152.94</v>
      </c>
      <c r="O66" s="228">
        <v>148.52000000000001</v>
      </c>
      <c r="P66" s="228">
        <v>4.42</v>
      </c>
      <c r="Q66" s="229">
        <v>2.98E-2</v>
      </c>
      <c r="R66" s="228">
        <v>154</v>
      </c>
      <c r="S66" s="228">
        <v>149.6</v>
      </c>
      <c r="T66" s="228">
        <v>4.4000000000000004</v>
      </c>
      <c r="U66" s="229">
        <v>2.9399999999999999E-2</v>
      </c>
      <c r="V66" s="228">
        <v>154.83000000000001</v>
      </c>
      <c r="W66" s="228">
        <v>150.22</v>
      </c>
      <c r="X66" s="228">
        <v>4.6100000000000003</v>
      </c>
      <c r="Y66" s="229">
        <v>3.0700000000000002E-2</v>
      </c>
      <c r="Z66" s="228">
        <v>0.59</v>
      </c>
      <c r="AA66" s="228">
        <v>0.55000000000000004</v>
      </c>
      <c r="AB66" s="228">
        <v>0.04</v>
      </c>
      <c r="AC66" s="229">
        <v>3.8999999999999998E-3</v>
      </c>
      <c r="AD66" s="228">
        <v>0.59</v>
      </c>
      <c r="AE66" s="228">
        <v>0.55000000000000004</v>
      </c>
      <c r="AF66" s="228">
        <v>0.04</v>
      </c>
      <c r="AG66" s="229">
        <v>3.8999999999999998E-3</v>
      </c>
      <c r="AH66" s="228">
        <v>1.65</v>
      </c>
      <c r="AI66" s="228">
        <v>1.63</v>
      </c>
      <c r="AJ66" s="228">
        <v>0.02</v>
      </c>
      <c r="AK66" s="229">
        <v>1.0800000000000001E-2</v>
      </c>
      <c r="AL66" s="228">
        <v>2.48</v>
      </c>
      <c r="AM66" s="228">
        <v>2.25</v>
      </c>
      <c r="AN66" s="228">
        <v>0.23</v>
      </c>
      <c r="AO66" s="229">
        <v>1.6299999999999999E-2</v>
      </c>
      <c r="AP66" s="228">
        <v>151.86000000000001</v>
      </c>
      <c r="AQ66" s="228">
        <v>152.35</v>
      </c>
      <c r="AR66" s="228">
        <v>0</v>
      </c>
      <c r="AS66" s="228">
        <v>274</v>
      </c>
      <c r="AT66" s="228">
        <v>300</v>
      </c>
      <c r="AU66" s="228">
        <v>-26</v>
      </c>
      <c r="AV66" s="229">
        <v>-8.7599999999999997E-2</v>
      </c>
      <c r="AW66" s="228">
        <v>241</v>
      </c>
      <c r="AX66" s="228">
        <v>248</v>
      </c>
      <c r="AY66" s="228">
        <v>-8</v>
      </c>
      <c r="AZ66" s="229">
        <v>-3.0300000000000001E-2</v>
      </c>
      <c r="BA66" s="228">
        <v>29</v>
      </c>
      <c r="BB66" s="228">
        <v>47</v>
      </c>
      <c r="BC66" s="228">
        <v>-18</v>
      </c>
      <c r="BD66" s="229">
        <v>-0.38519999999999999</v>
      </c>
      <c r="BE66" s="228">
        <v>4</v>
      </c>
      <c r="BF66" s="228">
        <v>5</v>
      </c>
      <c r="BG66" s="228">
        <v>-1</v>
      </c>
      <c r="BH66" s="229">
        <v>-0.14810000000000001</v>
      </c>
      <c r="BI66" s="228">
        <v>803</v>
      </c>
      <c r="BJ66" s="228">
        <v>507</v>
      </c>
      <c r="BK66" s="228">
        <v>296</v>
      </c>
      <c r="BL66" s="229">
        <v>0.58499999999999996</v>
      </c>
      <c r="BM66" s="228">
        <v>321</v>
      </c>
      <c r="BN66" s="228">
        <v>286</v>
      </c>
      <c r="BO66" s="228">
        <v>35</v>
      </c>
      <c r="BP66" s="229">
        <v>0.12139999999999999</v>
      </c>
      <c r="BQ66" s="230">
        <v>1398</v>
      </c>
      <c r="BR66" s="230">
        <v>1093</v>
      </c>
      <c r="BS66" s="228">
        <v>305</v>
      </c>
      <c r="BT66" s="229">
        <v>0.27889999999999998</v>
      </c>
      <c r="BU66" s="230">
        <v>16470030</v>
      </c>
      <c r="BV66" s="230">
        <v>23938426</v>
      </c>
      <c r="BW66" s="230">
        <v>-7468396</v>
      </c>
      <c r="BX66" s="229">
        <v>-0.312</v>
      </c>
      <c r="BY66" s="230">
        <v>1665</v>
      </c>
      <c r="BZ66" s="230">
        <v>1647</v>
      </c>
      <c r="CA66" s="228">
        <v>18</v>
      </c>
      <c r="CB66" s="229">
        <v>1.09E-2</v>
      </c>
      <c r="CC66" s="230">
        <v>1544</v>
      </c>
      <c r="CD66" s="230">
        <v>1527</v>
      </c>
      <c r="CE66" s="228">
        <v>18</v>
      </c>
      <c r="CF66" s="229">
        <v>1.17E-2</v>
      </c>
      <c r="CG66" s="228">
        <v>107</v>
      </c>
      <c r="CH66" s="228">
        <v>107</v>
      </c>
      <c r="CI66" s="228">
        <v>0</v>
      </c>
      <c r="CJ66" s="229">
        <v>8.9999999999999998E-4</v>
      </c>
      <c r="CK66" s="228">
        <v>14</v>
      </c>
      <c r="CL66" s="228">
        <v>14</v>
      </c>
      <c r="CM66" s="228">
        <v>0</v>
      </c>
      <c r="CN66" s="229">
        <v>3.5999999999999999E-3</v>
      </c>
      <c r="CO66" s="228">
        <v>590</v>
      </c>
      <c r="CP66" s="228">
        <v>575</v>
      </c>
      <c r="CQ66" s="228">
        <v>15</v>
      </c>
      <c r="CR66" s="229">
        <v>2.6800000000000001E-2</v>
      </c>
      <c r="CS66" s="228">
        <v>596</v>
      </c>
      <c r="CT66" s="228">
        <v>587</v>
      </c>
      <c r="CU66" s="228">
        <v>9</v>
      </c>
      <c r="CV66" s="229">
        <v>1.55E-2</v>
      </c>
      <c r="CW66" s="230">
        <v>2851</v>
      </c>
      <c r="CX66" s="230">
        <v>2809</v>
      </c>
      <c r="CY66" s="228">
        <v>42</v>
      </c>
      <c r="CZ66" s="229">
        <v>1.5100000000000001E-2</v>
      </c>
      <c r="DA66" s="228">
        <v>41.16</v>
      </c>
      <c r="DB66" s="228">
        <v>40.06</v>
      </c>
      <c r="DC66" s="228">
        <v>1.1000000000000001</v>
      </c>
      <c r="DD66" s="228">
        <v>1.1000000000000001</v>
      </c>
      <c r="DE66" s="228">
        <v>34.369999999999997</v>
      </c>
      <c r="DF66" s="228">
        <v>34.229999999999997</v>
      </c>
      <c r="DG66" s="228">
        <v>6.79</v>
      </c>
      <c r="DH66" s="228">
        <v>0.14000000000000001</v>
      </c>
      <c r="DI66" s="228">
        <v>40.729999999999997</v>
      </c>
      <c r="DJ66" s="228">
        <v>40.14</v>
      </c>
      <c r="DK66" s="228">
        <v>0.59</v>
      </c>
      <c r="DL66" s="228">
        <v>0.59</v>
      </c>
      <c r="DM66" s="228">
        <v>42.22</v>
      </c>
      <c r="DN66" s="228">
        <v>39.9</v>
      </c>
      <c r="DO66" s="228">
        <v>2.3199999999999998</v>
      </c>
      <c r="DP66" s="228">
        <v>2.3199999999999998</v>
      </c>
      <c r="DQ66" s="228">
        <v>1.01</v>
      </c>
      <c r="DR66" s="228">
        <v>1.02</v>
      </c>
      <c r="DS66" s="228">
        <v>-0.01</v>
      </c>
      <c r="DT66" s="229">
        <v>-9.7999999999999997E-3</v>
      </c>
      <c r="DU66" s="228">
        <v>170</v>
      </c>
      <c r="DV66" s="228">
        <v>160</v>
      </c>
      <c r="DW66" s="228">
        <v>0.4</v>
      </c>
      <c r="DX66" s="228">
        <v>0.56000000000000005</v>
      </c>
      <c r="DY66" s="228">
        <v>-0.16</v>
      </c>
      <c r="DZ66" s="229">
        <v>-0.28570000000000001</v>
      </c>
      <c r="EA66" s="229">
        <v>7.2499999999999995E-2</v>
      </c>
      <c r="EB66" s="230">
        <v>7887600</v>
      </c>
      <c r="EC66" s="229">
        <v>6.8999999999999999E-3</v>
      </c>
      <c r="ED66" s="229">
        <v>7.2499999999999995E-2</v>
      </c>
      <c r="EE66" s="228">
        <v>0.49</v>
      </c>
      <c r="EF66" s="229">
        <v>3.2000000000000002E-3</v>
      </c>
      <c r="EG66" s="230">
        <v>5210079</v>
      </c>
      <c r="EH66" s="230">
        <v>13903945</v>
      </c>
      <c r="EI66" s="229">
        <v>-0.62529999999999997</v>
      </c>
      <c r="EJ66" s="229">
        <v>0.31630000000000003</v>
      </c>
      <c r="EK66" s="228">
        <v>848.4</v>
      </c>
      <c r="EL66" s="228">
        <v>317.55</v>
      </c>
      <c r="EM66" s="228">
        <v>272.10000000000002</v>
      </c>
      <c r="EN66" s="228">
        <v>68.930000000000007</v>
      </c>
      <c r="EO66" s="231">
        <v>1438.05</v>
      </c>
      <c r="EP66" s="231">
        <v>1120.8900000000001</v>
      </c>
      <c r="EQ66" s="228">
        <v>317.16000000000003</v>
      </c>
      <c r="ER66" s="229">
        <v>0.28299999999999997</v>
      </c>
      <c r="ES66" s="228">
        <v>639.85</v>
      </c>
      <c r="ET66" s="228">
        <v>622.36</v>
      </c>
      <c r="EU66" s="231">
        <v>1666.02</v>
      </c>
      <c r="EV66" s="231">
        <v>435694919</v>
      </c>
      <c r="EW66" s="231">
        <v>2928.23</v>
      </c>
      <c r="EX66" s="231">
        <v>2837.87</v>
      </c>
      <c r="EY66" s="228">
        <v>90.36</v>
      </c>
      <c r="EZ66" s="229">
        <v>3.1800000000000002E-2</v>
      </c>
      <c r="FA66" s="229">
        <v>0.4279</v>
      </c>
      <c r="FB66" s="227" t="s">
        <v>555</v>
      </c>
      <c r="FC66">
        <f t="shared" si="0"/>
        <v>121</v>
      </c>
    </row>
    <row r="67" spans="1:159" ht="17.25" hidden="1" thickBot="1" x14ac:dyDescent="0.3">
      <c r="A67" s="226">
        <v>46093</v>
      </c>
      <c r="B67" s="227" t="s">
        <v>170</v>
      </c>
      <c r="C67" s="227" t="s">
        <v>214</v>
      </c>
      <c r="D67" s="228">
        <v>375</v>
      </c>
      <c r="E67" s="228">
        <v>18</v>
      </c>
      <c r="F67" s="231">
        <v>2263.5</v>
      </c>
      <c r="G67" s="231">
        <v>2278.1999999999998</v>
      </c>
      <c r="H67" s="228">
        <v>-14.7</v>
      </c>
      <c r="I67" s="229">
        <v>-6.4999999999999997E-3</v>
      </c>
      <c r="J67" s="231">
        <v>2256.4</v>
      </c>
      <c r="K67" s="231">
        <v>2272.6999999999998</v>
      </c>
      <c r="L67" s="228">
        <v>-16.3</v>
      </c>
      <c r="M67" s="229">
        <v>-7.1999999999999998E-3</v>
      </c>
      <c r="N67" s="231">
        <v>2263.5</v>
      </c>
      <c r="O67" s="231">
        <v>2278.1999999999998</v>
      </c>
      <c r="P67" s="228">
        <v>-14.7</v>
      </c>
      <c r="Q67" s="229">
        <v>-6.4999999999999997E-3</v>
      </c>
      <c r="R67" s="231">
        <v>2274.8000000000002</v>
      </c>
      <c r="S67" s="231">
        <v>2292.3000000000002</v>
      </c>
      <c r="T67" s="228">
        <v>-17.5</v>
      </c>
      <c r="U67" s="229">
        <v>-7.6E-3</v>
      </c>
      <c r="V67" s="231">
        <v>2292</v>
      </c>
      <c r="W67" s="231">
        <v>2300.8000000000002</v>
      </c>
      <c r="X67" s="228">
        <v>-8.8000000000000007</v>
      </c>
      <c r="Y67" s="229">
        <v>-3.8E-3</v>
      </c>
      <c r="Z67" s="228">
        <v>7.1</v>
      </c>
      <c r="AA67" s="228">
        <v>5.5</v>
      </c>
      <c r="AB67" s="228">
        <v>1.6</v>
      </c>
      <c r="AC67" s="229">
        <v>3.0999999999999999E-3</v>
      </c>
      <c r="AD67" s="228">
        <v>7.1</v>
      </c>
      <c r="AE67" s="228">
        <v>5.5</v>
      </c>
      <c r="AF67" s="228">
        <v>1.6</v>
      </c>
      <c r="AG67" s="229">
        <v>3.0999999999999999E-3</v>
      </c>
      <c r="AH67" s="228">
        <v>18.399999999999999</v>
      </c>
      <c r="AI67" s="228">
        <v>19.600000000000001</v>
      </c>
      <c r="AJ67" s="228">
        <v>-1.2</v>
      </c>
      <c r="AK67" s="229">
        <v>8.2000000000000007E-3</v>
      </c>
      <c r="AL67" s="228">
        <v>35.6</v>
      </c>
      <c r="AM67" s="228">
        <v>28.1</v>
      </c>
      <c r="AN67" s="228">
        <v>7.5</v>
      </c>
      <c r="AO67" s="229">
        <v>1.5800000000000002E-2</v>
      </c>
      <c r="AP67" s="231">
        <v>2249.94</v>
      </c>
      <c r="AQ67" s="231">
        <v>2262.27</v>
      </c>
      <c r="AR67" s="228">
        <v>0</v>
      </c>
      <c r="AS67" s="228">
        <v>365</v>
      </c>
      <c r="AT67" s="228">
        <v>527</v>
      </c>
      <c r="AU67" s="228">
        <v>-162</v>
      </c>
      <c r="AV67" s="229">
        <v>-0.30819999999999997</v>
      </c>
      <c r="AW67" s="228">
        <v>352</v>
      </c>
      <c r="AX67" s="228">
        <v>508</v>
      </c>
      <c r="AY67" s="228">
        <v>-156</v>
      </c>
      <c r="AZ67" s="229">
        <v>-0.30669999999999997</v>
      </c>
      <c r="BA67" s="228">
        <v>11</v>
      </c>
      <c r="BB67" s="228">
        <v>16</v>
      </c>
      <c r="BC67" s="228">
        <v>-5</v>
      </c>
      <c r="BD67" s="229">
        <v>-0.30930000000000002</v>
      </c>
      <c r="BE67" s="228">
        <v>1</v>
      </c>
      <c r="BF67" s="228">
        <v>3</v>
      </c>
      <c r="BG67" s="228">
        <v>-2</v>
      </c>
      <c r="BH67" s="229">
        <v>-0.54290000000000005</v>
      </c>
      <c r="BI67" s="228">
        <v>707</v>
      </c>
      <c r="BJ67" s="230">
        <v>2581</v>
      </c>
      <c r="BK67" s="230">
        <v>-1874</v>
      </c>
      <c r="BL67" s="229">
        <v>-0.72599999999999998</v>
      </c>
      <c r="BM67" s="228">
        <v>512</v>
      </c>
      <c r="BN67" s="228">
        <v>757</v>
      </c>
      <c r="BO67" s="228">
        <v>-245</v>
      </c>
      <c r="BP67" s="229">
        <v>-0.32319999999999999</v>
      </c>
      <c r="BQ67" s="230">
        <v>1584</v>
      </c>
      <c r="BR67" s="230">
        <v>3865</v>
      </c>
      <c r="BS67" s="230">
        <v>-2281</v>
      </c>
      <c r="BT67" s="229">
        <v>-0.59019999999999995</v>
      </c>
      <c r="BU67" s="230">
        <v>1009471</v>
      </c>
      <c r="BV67" s="230">
        <v>961988</v>
      </c>
      <c r="BW67" s="230">
        <v>47483</v>
      </c>
      <c r="BX67" s="229">
        <v>4.9399999999999999E-2</v>
      </c>
      <c r="BY67" s="230">
        <v>2630</v>
      </c>
      <c r="BZ67" s="230">
        <v>2635</v>
      </c>
      <c r="CA67" s="228">
        <v>-5</v>
      </c>
      <c r="CB67" s="229">
        <v>-1.8E-3</v>
      </c>
      <c r="CC67" s="230">
        <v>2609</v>
      </c>
      <c r="CD67" s="230">
        <v>2615</v>
      </c>
      <c r="CE67" s="228">
        <v>-6</v>
      </c>
      <c r="CF67" s="229">
        <v>-2.2000000000000001E-3</v>
      </c>
      <c r="CG67" s="228">
        <v>19</v>
      </c>
      <c r="CH67" s="228">
        <v>18</v>
      </c>
      <c r="CI67" s="228">
        <v>1</v>
      </c>
      <c r="CJ67" s="229">
        <v>3.27E-2</v>
      </c>
      <c r="CK67" s="228">
        <v>2</v>
      </c>
      <c r="CL67" s="228">
        <v>2</v>
      </c>
      <c r="CM67" s="228">
        <v>0</v>
      </c>
      <c r="CN67" s="229">
        <v>0.2273</v>
      </c>
      <c r="CO67" s="228">
        <v>475</v>
      </c>
      <c r="CP67" s="228">
        <v>506</v>
      </c>
      <c r="CQ67" s="228">
        <v>-31</v>
      </c>
      <c r="CR67" s="229">
        <v>-6.1800000000000001E-2</v>
      </c>
      <c r="CS67" s="228">
        <v>267</v>
      </c>
      <c r="CT67" s="228">
        <v>271</v>
      </c>
      <c r="CU67" s="228">
        <v>-5</v>
      </c>
      <c r="CV67" s="229">
        <v>-1.78E-2</v>
      </c>
      <c r="CW67" s="230">
        <v>3372</v>
      </c>
      <c r="CX67" s="230">
        <v>3412</v>
      </c>
      <c r="CY67" s="228">
        <v>-41</v>
      </c>
      <c r="CZ67" s="229">
        <v>-1.2E-2</v>
      </c>
      <c r="DA67" s="228">
        <v>35.880000000000003</v>
      </c>
      <c r="DB67" s="228">
        <v>35.07</v>
      </c>
      <c r="DC67" s="228">
        <v>0.81</v>
      </c>
      <c r="DD67" s="228">
        <v>0.81</v>
      </c>
      <c r="DE67" s="228">
        <v>35.32</v>
      </c>
      <c r="DF67" s="228">
        <v>35.39</v>
      </c>
      <c r="DG67" s="228">
        <v>0.56000000000000005</v>
      </c>
      <c r="DH67" s="228">
        <v>-7.0000000000000007E-2</v>
      </c>
      <c r="DI67" s="228">
        <v>34.64</v>
      </c>
      <c r="DJ67" s="228">
        <v>34.44</v>
      </c>
      <c r="DK67" s="228">
        <v>0.2</v>
      </c>
      <c r="DL67" s="228">
        <v>0.2</v>
      </c>
      <c r="DM67" s="228">
        <v>37.590000000000003</v>
      </c>
      <c r="DN67" s="228">
        <v>37.19</v>
      </c>
      <c r="DO67" s="228">
        <v>0.4</v>
      </c>
      <c r="DP67" s="228">
        <v>0.4</v>
      </c>
      <c r="DQ67" s="228">
        <v>0.56000000000000005</v>
      </c>
      <c r="DR67" s="228">
        <v>0.54</v>
      </c>
      <c r="DS67" s="228">
        <v>0.02</v>
      </c>
      <c r="DT67" s="229">
        <v>3.6999999999999998E-2</v>
      </c>
      <c r="DU67" s="231">
        <v>2300</v>
      </c>
      <c r="DV67" s="231">
        <v>2200</v>
      </c>
      <c r="DW67" s="228">
        <v>0.72</v>
      </c>
      <c r="DX67" s="228">
        <v>0.28999999999999998</v>
      </c>
      <c r="DY67" s="228">
        <v>0.43</v>
      </c>
      <c r="DZ67" s="229">
        <v>1.4827999999999999</v>
      </c>
      <c r="EA67" s="229">
        <v>8.0000000000000002E-3</v>
      </c>
      <c r="EB67" s="230">
        <v>88500</v>
      </c>
      <c r="EC67" s="229">
        <v>5.0000000000000001E-3</v>
      </c>
      <c r="ED67" s="229">
        <v>8.0000000000000002E-3</v>
      </c>
      <c r="EE67" s="228">
        <v>12.33</v>
      </c>
      <c r="EF67" s="229">
        <v>5.4999999999999997E-3</v>
      </c>
      <c r="EG67" s="230">
        <v>469641</v>
      </c>
      <c r="EH67" s="230">
        <v>319200</v>
      </c>
      <c r="EI67" s="229">
        <v>0.4713</v>
      </c>
      <c r="EJ67" s="229">
        <v>0.4652</v>
      </c>
      <c r="EK67" s="228">
        <v>738.04</v>
      </c>
      <c r="EL67" s="228">
        <v>505.79</v>
      </c>
      <c r="EM67" s="228">
        <v>362.46</v>
      </c>
      <c r="EN67" s="228">
        <v>46.09</v>
      </c>
      <c r="EO67" s="231">
        <v>1606.29</v>
      </c>
      <c r="EP67" s="231">
        <v>3987.43</v>
      </c>
      <c r="EQ67" s="231">
        <v>-2381.15</v>
      </c>
      <c r="ER67" s="229">
        <v>-0.59719999999999995</v>
      </c>
      <c r="ES67" s="228">
        <v>471.85</v>
      </c>
      <c r="ET67" s="228">
        <v>249.79</v>
      </c>
      <c r="EU67" s="231">
        <v>2630.08</v>
      </c>
      <c r="EV67" s="231">
        <v>22585180</v>
      </c>
      <c r="EW67" s="231">
        <v>3351.73</v>
      </c>
      <c r="EX67" s="231">
        <v>3409.97</v>
      </c>
      <c r="EY67" s="228">
        <v>-58.24</v>
      </c>
      <c r="EZ67" s="229">
        <v>-1.7100000000000001E-2</v>
      </c>
      <c r="FA67" s="229">
        <v>0.65949999999999998</v>
      </c>
      <c r="FB67" s="227" t="s">
        <v>568</v>
      </c>
      <c r="FC67">
        <f t="shared" ref="FC67:FC130" si="1">BY67-CC67</f>
        <v>21</v>
      </c>
    </row>
    <row r="68" spans="1:159" ht="17.25" hidden="1" thickBot="1" x14ac:dyDescent="0.3">
      <c r="A68" s="226">
        <v>46093</v>
      </c>
      <c r="B68" s="227" t="s">
        <v>215</v>
      </c>
      <c r="C68" s="227" t="s">
        <v>631</v>
      </c>
      <c r="D68" s="228">
        <v>6975</v>
      </c>
      <c r="E68" s="228">
        <v>18</v>
      </c>
      <c r="F68" s="228">
        <v>93.69</v>
      </c>
      <c r="G68" s="228">
        <v>93.95</v>
      </c>
      <c r="H68" s="228">
        <v>-0.26</v>
      </c>
      <c r="I68" s="229">
        <v>-2.8E-3</v>
      </c>
      <c r="J68" s="228">
        <v>93.29</v>
      </c>
      <c r="K68" s="228">
        <v>93.79</v>
      </c>
      <c r="L68" s="228">
        <v>-0.5</v>
      </c>
      <c r="M68" s="229">
        <v>-5.3E-3</v>
      </c>
      <c r="N68" s="228">
        <v>93.69</v>
      </c>
      <c r="O68" s="228">
        <v>93.95</v>
      </c>
      <c r="P68" s="228">
        <v>-0.26</v>
      </c>
      <c r="Q68" s="229">
        <v>-2.8E-3</v>
      </c>
      <c r="R68" s="228">
        <v>94.28</v>
      </c>
      <c r="S68" s="228">
        <v>94.58</v>
      </c>
      <c r="T68" s="228">
        <v>-0.3</v>
      </c>
      <c r="U68" s="229">
        <v>-3.2000000000000002E-3</v>
      </c>
      <c r="V68" s="228">
        <v>94.8</v>
      </c>
      <c r="W68" s="228">
        <v>95.14</v>
      </c>
      <c r="X68" s="228">
        <v>-0.34</v>
      </c>
      <c r="Y68" s="229">
        <v>-3.5999999999999999E-3</v>
      </c>
      <c r="Z68" s="228">
        <v>0.4</v>
      </c>
      <c r="AA68" s="228">
        <v>0.16</v>
      </c>
      <c r="AB68" s="228">
        <v>0.24</v>
      </c>
      <c r="AC68" s="229">
        <v>4.3E-3</v>
      </c>
      <c r="AD68" s="228">
        <v>0.4</v>
      </c>
      <c r="AE68" s="228">
        <v>0.16</v>
      </c>
      <c r="AF68" s="228">
        <v>0.24</v>
      </c>
      <c r="AG68" s="229">
        <v>4.3E-3</v>
      </c>
      <c r="AH68" s="228">
        <v>0.99</v>
      </c>
      <c r="AI68" s="228">
        <v>0.79</v>
      </c>
      <c r="AJ68" s="228">
        <v>0.2</v>
      </c>
      <c r="AK68" s="229">
        <v>1.06E-2</v>
      </c>
      <c r="AL68" s="228">
        <v>1.51</v>
      </c>
      <c r="AM68" s="228">
        <v>1.35</v>
      </c>
      <c r="AN68" s="228">
        <v>0.16</v>
      </c>
      <c r="AO68" s="229">
        <v>1.6199999999999999E-2</v>
      </c>
      <c r="AP68" s="228">
        <v>93.85</v>
      </c>
      <c r="AQ68" s="228">
        <v>94.3</v>
      </c>
      <c r="AR68" s="228">
        <v>0</v>
      </c>
      <c r="AS68" s="228">
        <v>210</v>
      </c>
      <c r="AT68" s="228">
        <v>140</v>
      </c>
      <c r="AU68" s="228">
        <v>69</v>
      </c>
      <c r="AV68" s="229">
        <v>0.49440000000000001</v>
      </c>
      <c r="AW68" s="228">
        <v>193</v>
      </c>
      <c r="AX68" s="228">
        <v>114</v>
      </c>
      <c r="AY68" s="228">
        <v>78</v>
      </c>
      <c r="AZ68" s="229">
        <v>0.6865</v>
      </c>
      <c r="BA68" s="228">
        <v>11</v>
      </c>
      <c r="BB68" s="228">
        <v>20</v>
      </c>
      <c r="BC68" s="228">
        <v>-9</v>
      </c>
      <c r="BD68" s="229">
        <v>-0.43869999999999998</v>
      </c>
      <c r="BE68" s="228">
        <v>6</v>
      </c>
      <c r="BF68" s="228">
        <v>6</v>
      </c>
      <c r="BG68" s="228">
        <v>0</v>
      </c>
      <c r="BH68" s="229">
        <v>-3.4099999999999998E-2</v>
      </c>
      <c r="BI68" s="228">
        <v>196</v>
      </c>
      <c r="BJ68" s="228">
        <v>245</v>
      </c>
      <c r="BK68" s="228">
        <v>-49</v>
      </c>
      <c r="BL68" s="229">
        <v>-0.20119999999999999</v>
      </c>
      <c r="BM68" s="228">
        <v>214</v>
      </c>
      <c r="BN68" s="228">
        <v>155</v>
      </c>
      <c r="BO68" s="228">
        <v>59</v>
      </c>
      <c r="BP68" s="229">
        <v>0.37959999999999999</v>
      </c>
      <c r="BQ68" s="228">
        <v>620</v>
      </c>
      <c r="BR68" s="228">
        <v>541</v>
      </c>
      <c r="BS68" s="228">
        <v>79</v>
      </c>
      <c r="BT68" s="229">
        <v>0.14599999999999999</v>
      </c>
      <c r="BU68" s="230">
        <v>17490118</v>
      </c>
      <c r="BV68" s="230">
        <v>4362786</v>
      </c>
      <c r="BW68" s="230">
        <v>13127332</v>
      </c>
      <c r="BX68" s="229">
        <v>3.0089000000000001</v>
      </c>
      <c r="BY68" s="230">
        <v>1341</v>
      </c>
      <c r="BZ68" s="230">
        <v>1345</v>
      </c>
      <c r="CA68" s="228">
        <v>-5</v>
      </c>
      <c r="CB68" s="229">
        <v>-3.5999999999999999E-3</v>
      </c>
      <c r="CC68" s="230">
        <v>1286</v>
      </c>
      <c r="CD68" s="230">
        <v>1293</v>
      </c>
      <c r="CE68" s="228">
        <v>-7</v>
      </c>
      <c r="CF68" s="229">
        <v>-5.1999999999999998E-3</v>
      </c>
      <c r="CG68" s="228">
        <v>41</v>
      </c>
      <c r="CH68" s="228">
        <v>40</v>
      </c>
      <c r="CI68" s="228">
        <v>2</v>
      </c>
      <c r="CJ68" s="229">
        <v>4.2999999999999997E-2</v>
      </c>
      <c r="CK68" s="228">
        <v>13</v>
      </c>
      <c r="CL68" s="228">
        <v>13</v>
      </c>
      <c r="CM68" s="228">
        <v>0</v>
      </c>
      <c r="CN68" s="229">
        <v>1.0200000000000001E-2</v>
      </c>
      <c r="CO68" s="228">
        <v>544</v>
      </c>
      <c r="CP68" s="228">
        <v>534</v>
      </c>
      <c r="CQ68" s="228">
        <v>10</v>
      </c>
      <c r="CR68" s="229">
        <v>1.95E-2</v>
      </c>
      <c r="CS68" s="228">
        <v>342</v>
      </c>
      <c r="CT68" s="228">
        <v>340</v>
      </c>
      <c r="CU68" s="228">
        <v>2</v>
      </c>
      <c r="CV68" s="229">
        <v>4.7999999999999996E-3</v>
      </c>
      <c r="CW68" s="230">
        <v>2226</v>
      </c>
      <c r="CX68" s="230">
        <v>2219</v>
      </c>
      <c r="CY68" s="228">
        <v>7</v>
      </c>
      <c r="CZ68" s="229">
        <v>3.2000000000000002E-3</v>
      </c>
      <c r="DA68" s="228">
        <v>39.97</v>
      </c>
      <c r="DB68" s="228">
        <v>38.119999999999997</v>
      </c>
      <c r="DC68" s="228">
        <v>1.85</v>
      </c>
      <c r="DD68" s="228">
        <v>1.85</v>
      </c>
      <c r="DE68" s="228">
        <v>38.24</v>
      </c>
      <c r="DF68" s="228">
        <v>38.33</v>
      </c>
      <c r="DG68" s="228">
        <v>1.73</v>
      </c>
      <c r="DH68" s="228">
        <v>-0.09</v>
      </c>
      <c r="DI68" s="228">
        <v>38.950000000000003</v>
      </c>
      <c r="DJ68" s="228">
        <v>37.76</v>
      </c>
      <c r="DK68" s="228">
        <v>1.19</v>
      </c>
      <c r="DL68" s="228">
        <v>1.19</v>
      </c>
      <c r="DM68" s="228">
        <v>40.909999999999997</v>
      </c>
      <c r="DN68" s="228">
        <v>38.69</v>
      </c>
      <c r="DO68" s="228">
        <v>2.2200000000000002</v>
      </c>
      <c r="DP68" s="228">
        <v>2.2200000000000002</v>
      </c>
      <c r="DQ68" s="228">
        <v>0.63</v>
      </c>
      <c r="DR68" s="228">
        <v>0.64</v>
      </c>
      <c r="DS68" s="228">
        <v>-0.01</v>
      </c>
      <c r="DT68" s="229">
        <v>-1.5599999999999999E-2</v>
      </c>
      <c r="DU68" s="228">
        <v>105</v>
      </c>
      <c r="DV68" s="228">
        <v>95</v>
      </c>
      <c r="DW68" s="228">
        <v>1.0900000000000001</v>
      </c>
      <c r="DX68" s="228">
        <v>0.63</v>
      </c>
      <c r="DY68" s="228">
        <v>0.46</v>
      </c>
      <c r="DZ68" s="229">
        <v>0.73019999999999996</v>
      </c>
      <c r="EA68" s="229">
        <v>4.0500000000000001E-2</v>
      </c>
      <c r="EB68" s="230">
        <v>5593950</v>
      </c>
      <c r="EC68" s="229">
        <v>6.3E-3</v>
      </c>
      <c r="ED68" s="229">
        <v>4.0500000000000001E-2</v>
      </c>
      <c r="EE68" s="228">
        <v>0.45</v>
      </c>
      <c r="EF68" s="229">
        <v>4.7999999999999996E-3</v>
      </c>
      <c r="EG68" s="230">
        <v>8846739</v>
      </c>
      <c r="EH68" s="230">
        <v>1501044</v>
      </c>
      <c r="EI68" s="229">
        <v>4.8936999999999999</v>
      </c>
      <c r="EJ68" s="229">
        <v>0.50580000000000003</v>
      </c>
      <c r="EK68" s="228">
        <v>210.09</v>
      </c>
      <c r="EL68" s="228">
        <v>211.26</v>
      </c>
      <c r="EM68" s="228">
        <v>210.02</v>
      </c>
      <c r="EN68" s="228">
        <v>30.16</v>
      </c>
      <c r="EO68" s="228">
        <v>631.37</v>
      </c>
      <c r="EP68" s="228">
        <v>565.52</v>
      </c>
      <c r="EQ68" s="228">
        <v>65.849999999999994</v>
      </c>
      <c r="ER68" s="229">
        <v>0.1164</v>
      </c>
      <c r="ES68" s="228">
        <v>599.91999999999996</v>
      </c>
      <c r="ET68" s="228">
        <v>343.21</v>
      </c>
      <c r="EU68" s="231">
        <v>1340.98</v>
      </c>
      <c r="EV68" s="231">
        <v>534704421</v>
      </c>
      <c r="EW68" s="231">
        <v>2284.11</v>
      </c>
      <c r="EX68" s="231">
        <v>2280.73</v>
      </c>
      <c r="EY68" s="228">
        <v>3.38</v>
      </c>
      <c r="EZ68" s="229">
        <v>1.5E-3</v>
      </c>
      <c r="FA68" s="229">
        <v>0.44440000000000002</v>
      </c>
      <c r="FB68" s="227" t="s">
        <v>568</v>
      </c>
      <c r="FC68">
        <f t="shared" si="1"/>
        <v>55</v>
      </c>
    </row>
    <row r="69" spans="1:159" ht="17.25" hidden="1" thickBot="1" x14ac:dyDescent="0.3">
      <c r="A69" s="226">
        <v>46093</v>
      </c>
      <c r="B69" s="227" t="s">
        <v>168</v>
      </c>
      <c r="C69" s="227" t="s">
        <v>217</v>
      </c>
      <c r="D69" s="228">
        <v>500</v>
      </c>
      <c r="E69" s="228">
        <v>18</v>
      </c>
      <c r="F69" s="231">
        <v>1056.2</v>
      </c>
      <c r="G69" s="231">
        <v>1092.4000000000001</v>
      </c>
      <c r="H69" s="228">
        <v>-36.200000000000003</v>
      </c>
      <c r="I69" s="229">
        <v>-3.3099999999999997E-2</v>
      </c>
      <c r="J69" s="231">
        <v>1052.3</v>
      </c>
      <c r="K69" s="231">
        <v>1091.4000000000001</v>
      </c>
      <c r="L69" s="228">
        <v>-39.1</v>
      </c>
      <c r="M69" s="229">
        <v>-3.5799999999999998E-2</v>
      </c>
      <c r="N69" s="231">
        <v>1056.2</v>
      </c>
      <c r="O69" s="231">
        <v>1092.4000000000001</v>
      </c>
      <c r="P69" s="228">
        <v>-36.200000000000003</v>
      </c>
      <c r="Q69" s="229">
        <v>-3.3099999999999997E-2</v>
      </c>
      <c r="R69" s="231">
        <v>1061.9000000000001</v>
      </c>
      <c r="S69" s="231">
        <v>1102.0999999999999</v>
      </c>
      <c r="T69" s="228">
        <v>-40.200000000000003</v>
      </c>
      <c r="U69" s="229">
        <v>-3.6499999999999998E-2</v>
      </c>
      <c r="V69" s="231">
        <v>1061.5</v>
      </c>
      <c r="W69" s="231">
        <v>1112.4000000000001</v>
      </c>
      <c r="X69" s="228">
        <v>-50.9</v>
      </c>
      <c r="Y69" s="229">
        <v>-4.58E-2</v>
      </c>
      <c r="Z69" s="228">
        <v>3.9</v>
      </c>
      <c r="AA69" s="228">
        <v>1</v>
      </c>
      <c r="AB69" s="228">
        <v>2.9</v>
      </c>
      <c r="AC69" s="229">
        <v>3.7000000000000002E-3</v>
      </c>
      <c r="AD69" s="228">
        <v>3.9</v>
      </c>
      <c r="AE69" s="228">
        <v>1</v>
      </c>
      <c r="AF69" s="228">
        <v>2.9</v>
      </c>
      <c r="AG69" s="229">
        <v>3.7000000000000002E-3</v>
      </c>
      <c r="AH69" s="228">
        <v>9.6</v>
      </c>
      <c r="AI69" s="228">
        <v>10.7</v>
      </c>
      <c r="AJ69" s="228">
        <v>-1.1000000000000001</v>
      </c>
      <c r="AK69" s="229">
        <v>9.1000000000000004E-3</v>
      </c>
      <c r="AL69" s="228">
        <v>9.1999999999999993</v>
      </c>
      <c r="AM69" s="228">
        <v>21</v>
      </c>
      <c r="AN69" s="228">
        <v>-11.8</v>
      </c>
      <c r="AO69" s="229">
        <v>8.6999999999999994E-3</v>
      </c>
      <c r="AP69" s="231">
        <v>1061.0999999999999</v>
      </c>
      <c r="AQ69" s="231">
        <v>1067.52</v>
      </c>
      <c r="AR69" s="228">
        <v>0</v>
      </c>
      <c r="AS69" s="228">
        <v>382</v>
      </c>
      <c r="AT69" s="228">
        <v>139</v>
      </c>
      <c r="AU69" s="228">
        <v>243</v>
      </c>
      <c r="AV69" s="229">
        <v>1.7509999999999999</v>
      </c>
      <c r="AW69" s="228">
        <v>372</v>
      </c>
      <c r="AX69" s="228">
        <v>136</v>
      </c>
      <c r="AY69" s="228">
        <v>236</v>
      </c>
      <c r="AZ69" s="229">
        <v>1.7278</v>
      </c>
      <c r="BA69" s="228">
        <v>10</v>
      </c>
      <c r="BB69" s="228">
        <v>2</v>
      </c>
      <c r="BC69" s="228">
        <v>7</v>
      </c>
      <c r="BD69" s="229">
        <v>2.9348000000000001</v>
      </c>
      <c r="BE69" s="228">
        <v>0</v>
      </c>
      <c r="BF69" s="228">
        <v>0</v>
      </c>
      <c r="BG69" s="228">
        <v>0</v>
      </c>
      <c r="BH69" s="229">
        <v>7</v>
      </c>
      <c r="BI69" s="228">
        <v>271</v>
      </c>
      <c r="BJ69" s="228">
        <v>104</v>
      </c>
      <c r="BK69" s="228">
        <v>168</v>
      </c>
      <c r="BL69" s="229">
        <v>1.6157999999999999</v>
      </c>
      <c r="BM69" s="228">
        <v>217</v>
      </c>
      <c r="BN69" s="228">
        <v>98</v>
      </c>
      <c r="BO69" s="228">
        <v>119</v>
      </c>
      <c r="BP69" s="229">
        <v>1.2176</v>
      </c>
      <c r="BQ69" s="228">
        <v>870</v>
      </c>
      <c r="BR69" s="228">
        <v>340</v>
      </c>
      <c r="BS69" s="228">
        <v>530</v>
      </c>
      <c r="BT69" s="229">
        <v>1.5565</v>
      </c>
      <c r="BU69" s="230">
        <v>6150509</v>
      </c>
      <c r="BV69" s="230">
        <v>676709</v>
      </c>
      <c r="BW69" s="230">
        <v>5473800</v>
      </c>
      <c r="BX69" s="229">
        <v>8.0889000000000006</v>
      </c>
      <c r="BY69" s="228">
        <v>978</v>
      </c>
      <c r="BZ69" s="228">
        <v>920</v>
      </c>
      <c r="CA69" s="228">
        <v>58</v>
      </c>
      <c r="CB69" s="229">
        <v>6.3200000000000006E-2</v>
      </c>
      <c r="CC69" s="228">
        <v>970</v>
      </c>
      <c r="CD69" s="228">
        <v>914</v>
      </c>
      <c r="CE69" s="228">
        <v>56</v>
      </c>
      <c r="CF69" s="229">
        <v>6.0699999999999997E-2</v>
      </c>
      <c r="CG69" s="228">
        <v>8</v>
      </c>
      <c r="CH69" s="228">
        <v>5</v>
      </c>
      <c r="CI69" s="228">
        <v>2</v>
      </c>
      <c r="CJ69" s="229">
        <v>0.42159999999999997</v>
      </c>
      <c r="CK69" s="228">
        <v>1</v>
      </c>
      <c r="CL69" s="228">
        <v>0</v>
      </c>
      <c r="CM69" s="228">
        <v>0</v>
      </c>
      <c r="CN69" s="229">
        <v>2.3332999999999999</v>
      </c>
      <c r="CO69" s="228">
        <v>199</v>
      </c>
      <c r="CP69" s="228">
        <v>164</v>
      </c>
      <c r="CQ69" s="228">
        <v>35</v>
      </c>
      <c r="CR69" s="229">
        <v>0.2142</v>
      </c>
      <c r="CS69" s="228">
        <v>173</v>
      </c>
      <c r="CT69" s="228">
        <v>145</v>
      </c>
      <c r="CU69" s="228">
        <v>28</v>
      </c>
      <c r="CV69" s="229">
        <v>0.19570000000000001</v>
      </c>
      <c r="CW69" s="230">
        <v>1351</v>
      </c>
      <c r="CX69" s="230">
        <v>1229</v>
      </c>
      <c r="CY69" s="228">
        <v>122</v>
      </c>
      <c r="CZ69" s="229">
        <v>9.9000000000000005E-2</v>
      </c>
      <c r="DA69" s="228">
        <v>32.11</v>
      </c>
      <c r="DB69" s="228">
        <v>30.07</v>
      </c>
      <c r="DC69" s="228">
        <v>2.04</v>
      </c>
      <c r="DD69" s="228">
        <v>2.04</v>
      </c>
      <c r="DE69" s="228">
        <v>29.19</v>
      </c>
      <c r="DF69" s="228">
        <v>28.84</v>
      </c>
      <c r="DG69" s="228">
        <v>2.92</v>
      </c>
      <c r="DH69" s="228">
        <v>0.35</v>
      </c>
      <c r="DI69" s="228">
        <v>31.48</v>
      </c>
      <c r="DJ69" s="228">
        <v>29.82</v>
      </c>
      <c r="DK69" s="228">
        <v>1.66</v>
      </c>
      <c r="DL69" s="228">
        <v>1.66</v>
      </c>
      <c r="DM69" s="228">
        <v>32.89</v>
      </c>
      <c r="DN69" s="228">
        <v>30.34</v>
      </c>
      <c r="DO69" s="228">
        <v>2.5499999999999998</v>
      </c>
      <c r="DP69" s="228">
        <v>2.5499999999999998</v>
      </c>
      <c r="DQ69" s="228">
        <v>0.87</v>
      </c>
      <c r="DR69" s="228">
        <v>0.88</v>
      </c>
      <c r="DS69" s="228">
        <v>-0.01</v>
      </c>
      <c r="DT69" s="229">
        <v>-1.14E-2</v>
      </c>
      <c r="DU69" s="231">
        <v>1180</v>
      </c>
      <c r="DV69" s="231">
        <v>1100</v>
      </c>
      <c r="DW69" s="228">
        <v>0.8</v>
      </c>
      <c r="DX69" s="228">
        <v>0.94</v>
      </c>
      <c r="DY69" s="228">
        <v>-0.14000000000000001</v>
      </c>
      <c r="DZ69" s="229">
        <v>-0.1489</v>
      </c>
      <c r="EA69" s="229">
        <v>8.3999999999999995E-3</v>
      </c>
      <c r="EB69" s="230">
        <v>52500</v>
      </c>
      <c r="EC69" s="229">
        <v>5.4000000000000003E-3</v>
      </c>
      <c r="ED69" s="229">
        <v>8.3999999999999995E-3</v>
      </c>
      <c r="EE69" s="228">
        <v>6.42</v>
      </c>
      <c r="EF69" s="229">
        <v>6.1000000000000004E-3</v>
      </c>
      <c r="EG69" s="230">
        <v>4351045</v>
      </c>
      <c r="EH69" s="230">
        <v>440764</v>
      </c>
      <c r="EI69" s="229">
        <v>8.8716000000000008</v>
      </c>
      <c r="EJ69" s="229">
        <v>0.70740000000000003</v>
      </c>
      <c r="EK69" s="228">
        <v>292.68</v>
      </c>
      <c r="EL69" s="228">
        <v>224.03</v>
      </c>
      <c r="EM69" s="228">
        <v>383.91</v>
      </c>
      <c r="EN69" s="228">
        <v>34.1</v>
      </c>
      <c r="EO69" s="228">
        <v>900.62</v>
      </c>
      <c r="EP69" s="228">
        <v>364.25</v>
      </c>
      <c r="EQ69" s="228">
        <v>536.38</v>
      </c>
      <c r="ER69" s="229">
        <v>1.4725999999999999</v>
      </c>
      <c r="ES69" s="228">
        <v>221.34</v>
      </c>
      <c r="ET69" s="228">
        <v>182.83</v>
      </c>
      <c r="EU69" s="228">
        <v>978.09</v>
      </c>
      <c r="EV69" s="231">
        <v>72031016</v>
      </c>
      <c r="EW69" s="231">
        <v>1382.25</v>
      </c>
      <c r="EX69" s="231">
        <v>1292.69</v>
      </c>
      <c r="EY69" s="228">
        <v>89.56</v>
      </c>
      <c r="EZ69" s="229">
        <v>6.93E-2</v>
      </c>
      <c r="FA69" s="229">
        <v>0.17749999999999999</v>
      </c>
      <c r="FB69" s="227" t="s">
        <v>567</v>
      </c>
      <c r="FC69">
        <f t="shared" si="1"/>
        <v>8</v>
      </c>
    </row>
    <row r="70" spans="1:159" ht="17.25" hidden="1" thickBot="1" x14ac:dyDescent="0.3">
      <c r="A70" s="226">
        <v>46093</v>
      </c>
      <c r="B70" s="227" t="s">
        <v>206</v>
      </c>
      <c r="C70" s="227" t="s">
        <v>218</v>
      </c>
      <c r="D70" s="228">
        <v>275</v>
      </c>
      <c r="E70" s="228">
        <v>18</v>
      </c>
      <c r="F70" s="231">
        <v>1622.5</v>
      </c>
      <c r="G70" s="231">
        <v>1655.3</v>
      </c>
      <c r="H70" s="228">
        <v>-32.799999999999997</v>
      </c>
      <c r="I70" s="229">
        <v>-1.9800000000000002E-2</v>
      </c>
      <c r="J70" s="231">
        <v>1616.3</v>
      </c>
      <c r="K70" s="231">
        <v>1651.1</v>
      </c>
      <c r="L70" s="228">
        <v>-34.799999999999997</v>
      </c>
      <c r="M70" s="229">
        <v>-2.1100000000000001E-2</v>
      </c>
      <c r="N70" s="231">
        <v>1622.5</v>
      </c>
      <c r="O70" s="231">
        <v>1655.3</v>
      </c>
      <c r="P70" s="228">
        <v>-32.799999999999997</v>
      </c>
      <c r="Q70" s="229">
        <v>-1.9800000000000002E-2</v>
      </c>
      <c r="R70" s="231">
        <v>1629.8</v>
      </c>
      <c r="S70" s="231">
        <v>1661.6</v>
      </c>
      <c r="T70" s="228">
        <v>-31.8</v>
      </c>
      <c r="U70" s="229">
        <v>-1.9099999999999999E-2</v>
      </c>
      <c r="V70" s="231">
        <v>1641</v>
      </c>
      <c r="W70" s="231">
        <v>1672.7</v>
      </c>
      <c r="X70" s="228">
        <v>-31.7</v>
      </c>
      <c r="Y70" s="229">
        <v>-1.9E-2</v>
      </c>
      <c r="Z70" s="228">
        <v>6.2</v>
      </c>
      <c r="AA70" s="228">
        <v>4.2</v>
      </c>
      <c r="AB70" s="228">
        <v>2</v>
      </c>
      <c r="AC70" s="229">
        <v>3.8E-3</v>
      </c>
      <c r="AD70" s="228">
        <v>6.2</v>
      </c>
      <c r="AE70" s="228">
        <v>4.2</v>
      </c>
      <c r="AF70" s="228">
        <v>2</v>
      </c>
      <c r="AG70" s="229">
        <v>3.8E-3</v>
      </c>
      <c r="AH70" s="228">
        <v>13.5</v>
      </c>
      <c r="AI70" s="228">
        <v>10.5</v>
      </c>
      <c r="AJ70" s="228">
        <v>3</v>
      </c>
      <c r="AK70" s="229">
        <v>8.3999999999999995E-3</v>
      </c>
      <c r="AL70" s="228">
        <v>24.7</v>
      </c>
      <c r="AM70" s="228">
        <v>21.6</v>
      </c>
      <c r="AN70" s="228">
        <v>3.1</v>
      </c>
      <c r="AO70" s="229">
        <v>1.5299999999999999E-2</v>
      </c>
      <c r="AP70" s="231">
        <v>1627.49</v>
      </c>
      <c r="AQ70" s="231">
        <v>1638.11</v>
      </c>
      <c r="AR70" s="228">
        <v>0</v>
      </c>
      <c r="AS70" s="228">
        <v>202</v>
      </c>
      <c r="AT70" s="228">
        <v>215</v>
      </c>
      <c r="AU70" s="228">
        <v>-13</v>
      </c>
      <c r="AV70" s="229">
        <v>-6.08E-2</v>
      </c>
      <c r="AW70" s="228">
        <v>186</v>
      </c>
      <c r="AX70" s="228">
        <v>199</v>
      </c>
      <c r="AY70" s="228">
        <v>-14</v>
      </c>
      <c r="AZ70" s="229">
        <v>-6.8500000000000005E-2</v>
      </c>
      <c r="BA70" s="228">
        <v>15</v>
      </c>
      <c r="BB70" s="228">
        <v>15</v>
      </c>
      <c r="BC70" s="228">
        <v>0</v>
      </c>
      <c r="BD70" s="229">
        <v>-6.0000000000000001E-3</v>
      </c>
      <c r="BE70" s="228">
        <v>2</v>
      </c>
      <c r="BF70" s="228">
        <v>1</v>
      </c>
      <c r="BG70" s="228">
        <v>1</v>
      </c>
      <c r="BH70" s="229">
        <v>0.6522</v>
      </c>
      <c r="BI70" s="228">
        <v>306</v>
      </c>
      <c r="BJ70" s="228">
        <v>246</v>
      </c>
      <c r="BK70" s="228">
        <v>60</v>
      </c>
      <c r="BL70" s="229">
        <v>0.24460000000000001</v>
      </c>
      <c r="BM70" s="228">
        <v>259</v>
      </c>
      <c r="BN70" s="228">
        <v>184</v>
      </c>
      <c r="BO70" s="228">
        <v>75</v>
      </c>
      <c r="BP70" s="229">
        <v>0.41110000000000002</v>
      </c>
      <c r="BQ70" s="228">
        <v>767</v>
      </c>
      <c r="BR70" s="228">
        <v>645</v>
      </c>
      <c r="BS70" s="228">
        <v>123</v>
      </c>
      <c r="BT70" s="229">
        <v>0.19009999999999999</v>
      </c>
      <c r="BU70" s="230">
        <v>779458</v>
      </c>
      <c r="BV70" s="230">
        <v>1211328</v>
      </c>
      <c r="BW70" s="230">
        <v>-431870</v>
      </c>
      <c r="BX70" s="229">
        <v>-0.35649999999999998</v>
      </c>
      <c r="BY70" s="230">
        <v>1404</v>
      </c>
      <c r="BZ70" s="230">
        <v>1378</v>
      </c>
      <c r="CA70" s="228">
        <v>26</v>
      </c>
      <c r="CB70" s="229">
        <v>1.89E-2</v>
      </c>
      <c r="CC70" s="230">
        <v>1362</v>
      </c>
      <c r="CD70" s="230">
        <v>1341</v>
      </c>
      <c r="CE70" s="228">
        <v>21</v>
      </c>
      <c r="CF70" s="229">
        <v>1.6E-2</v>
      </c>
      <c r="CG70" s="228">
        <v>34</v>
      </c>
      <c r="CH70" s="228">
        <v>29</v>
      </c>
      <c r="CI70" s="228">
        <v>5</v>
      </c>
      <c r="CJ70" s="229">
        <v>0.15429999999999999</v>
      </c>
      <c r="CK70" s="228">
        <v>7</v>
      </c>
      <c r="CL70" s="228">
        <v>7</v>
      </c>
      <c r="CM70" s="228">
        <v>0</v>
      </c>
      <c r="CN70" s="229">
        <v>1.2500000000000001E-2</v>
      </c>
      <c r="CO70" s="228">
        <v>457</v>
      </c>
      <c r="CP70" s="228">
        <v>457</v>
      </c>
      <c r="CQ70" s="228">
        <v>0</v>
      </c>
      <c r="CR70" s="229">
        <v>5.0000000000000001E-4</v>
      </c>
      <c r="CS70" s="228">
        <v>331</v>
      </c>
      <c r="CT70" s="228">
        <v>331</v>
      </c>
      <c r="CU70" s="228">
        <v>-1</v>
      </c>
      <c r="CV70" s="229">
        <v>-2.2000000000000001E-3</v>
      </c>
      <c r="CW70" s="230">
        <v>2191</v>
      </c>
      <c r="CX70" s="230">
        <v>2165</v>
      </c>
      <c r="CY70" s="228">
        <v>26</v>
      </c>
      <c r="CZ70" s="229">
        <v>1.18E-2</v>
      </c>
      <c r="DA70" s="228">
        <v>45.96</v>
      </c>
      <c r="DB70" s="228">
        <v>45.15</v>
      </c>
      <c r="DC70" s="228">
        <v>0.81</v>
      </c>
      <c r="DD70" s="228">
        <v>0.81</v>
      </c>
      <c r="DE70" s="228">
        <v>44.59</v>
      </c>
      <c r="DF70" s="228">
        <v>44.62</v>
      </c>
      <c r="DG70" s="228">
        <v>1.37</v>
      </c>
      <c r="DH70" s="228">
        <v>-0.03</v>
      </c>
      <c r="DI70" s="228">
        <v>44.31</v>
      </c>
      <c r="DJ70" s="228">
        <v>44.18</v>
      </c>
      <c r="DK70" s="228">
        <v>0.13</v>
      </c>
      <c r="DL70" s="228">
        <v>0.13</v>
      </c>
      <c r="DM70" s="228">
        <v>47.91</v>
      </c>
      <c r="DN70" s="228">
        <v>46.45</v>
      </c>
      <c r="DO70" s="228">
        <v>1.46</v>
      </c>
      <c r="DP70" s="228">
        <v>1.46</v>
      </c>
      <c r="DQ70" s="228">
        <v>0.72</v>
      </c>
      <c r="DR70" s="228">
        <v>0.73</v>
      </c>
      <c r="DS70" s="228">
        <v>-0.01</v>
      </c>
      <c r="DT70" s="229">
        <v>-1.37E-2</v>
      </c>
      <c r="DU70" s="231">
        <v>1700</v>
      </c>
      <c r="DV70" s="231">
        <v>1660</v>
      </c>
      <c r="DW70" s="228">
        <v>0.85</v>
      </c>
      <c r="DX70" s="228">
        <v>0.75</v>
      </c>
      <c r="DY70" s="228">
        <v>0.1</v>
      </c>
      <c r="DZ70" s="229">
        <v>0.1333</v>
      </c>
      <c r="EA70" s="229">
        <v>2.9399999999999999E-2</v>
      </c>
      <c r="EB70" s="230">
        <v>225775</v>
      </c>
      <c r="EC70" s="229">
        <v>4.4999999999999997E-3</v>
      </c>
      <c r="ED70" s="229">
        <v>2.9399999999999999E-2</v>
      </c>
      <c r="EE70" s="228">
        <v>10.62</v>
      </c>
      <c r="EF70" s="229">
        <v>6.4999999999999997E-3</v>
      </c>
      <c r="EG70" s="230">
        <v>359848</v>
      </c>
      <c r="EH70" s="230">
        <v>694720</v>
      </c>
      <c r="EI70" s="229">
        <v>-0.48199999999999998</v>
      </c>
      <c r="EJ70" s="229">
        <v>0.4617</v>
      </c>
      <c r="EK70" s="228">
        <v>334.91</v>
      </c>
      <c r="EL70" s="228">
        <v>264.23</v>
      </c>
      <c r="EM70" s="228">
        <v>202.86</v>
      </c>
      <c r="EN70" s="228">
        <v>65.069999999999993</v>
      </c>
      <c r="EO70" s="228">
        <v>802.01</v>
      </c>
      <c r="EP70" s="228">
        <v>688.19</v>
      </c>
      <c r="EQ70" s="228">
        <v>113.82</v>
      </c>
      <c r="ER70" s="229">
        <v>0.16539999999999999</v>
      </c>
      <c r="ES70" s="228">
        <v>512.27</v>
      </c>
      <c r="ET70" s="228">
        <v>344.81</v>
      </c>
      <c r="EU70" s="231">
        <v>1403.81</v>
      </c>
      <c r="EV70" s="231">
        <v>17263909</v>
      </c>
      <c r="EW70" s="231">
        <v>2260.89</v>
      </c>
      <c r="EX70" s="231">
        <v>2265.27</v>
      </c>
      <c r="EY70" s="228">
        <v>-4.38</v>
      </c>
      <c r="EZ70" s="229">
        <v>-1.9E-3</v>
      </c>
      <c r="FA70" s="229">
        <v>0.78220000000000001</v>
      </c>
      <c r="FB70" s="227" t="s">
        <v>567</v>
      </c>
      <c r="FC70">
        <f t="shared" si="1"/>
        <v>42</v>
      </c>
    </row>
    <row r="71" spans="1:159" ht="17.25" hidden="1" thickBot="1" x14ac:dyDescent="0.3">
      <c r="A71" s="226">
        <v>46093</v>
      </c>
      <c r="B71" s="227" t="s">
        <v>157</v>
      </c>
      <c r="C71" s="227" t="s">
        <v>219</v>
      </c>
      <c r="D71" s="228">
        <v>250</v>
      </c>
      <c r="E71" s="228">
        <v>18</v>
      </c>
      <c r="F71" s="231">
        <v>2675.6</v>
      </c>
      <c r="G71" s="231">
        <v>2734.4</v>
      </c>
      <c r="H71" s="228">
        <v>-58.8</v>
      </c>
      <c r="I71" s="229">
        <v>-2.1499999999999998E-2</v>
      </c>
      <c r="J71" s="231">
        <v>2673.1</v>
      </c>
      <c r="K71" s="231">
        <v>2735.6</v>
      </c>
      <c r="L71" s="228">
        <v>-62.5</v>
      </c>
      <c r="M71" s="229">
        <v>-2.2800000000000001E-2</v>
      </c>
      <c r="N71" s="231">
        <v>2675.6</v>
      </c>
      <c r="O71" s="231">
        <v>2734.4</v>
      </c>
      <c r="P71" s="228">
        <v>-58.8</v>
      </c>
      <c r="Q71" s="229">
        <v>-2.1499999999999998E-2</v>
      </c>
      <c r="R71" s="231">
        <v>2692.1</v>
      </c>
      <c r="S71" s="231">
        <v>2748.8</v>
      </c>
      <c r="T71" s="228">
        <v>-56.7</v>
      </c>
      <c r="U71" s="229">
        <v>-2.06E-2</v>
      </c>
      <c r="V71" s="231">
        <v>2728</v>
      </c>
      <c r="W71" s="231">
        <v>2758</v>
      </c>
      <c r="X71" s="228">
        <v>-30</v>
      </c>
      <c r="Y71" s="229">
        <v>-1.09E-2</v>
      </c>
      <c r="Z71" s="228">
        <v>2.5</v>
      </c>
      <c r="AA71" s="228">
        <v>-1.2</v>
      </c>
      <c r="AB71" s="228">
        <v>3.7</v>
      </c>
      <c r="AC71" s="229">
        <v>8.9999999999999998E-4</v>
      </c>
      <c r="AD71" s="228">
        <v>2.5</v>
      </c>
      <c r="AE71" s="228">
        <v>-1.2</v>
      </c>
      <c r="AF71" s="228">
        <v>3.7</v>
      </c>
      <c r="AG71" s="229">
        <v>8.9999999999999998E-4</v>
      </c>
      <c r="AH71" s="228">
        <v>19</v>
      </c>
      <c r="AI71" s="228">
        <v>13.2</v>
      </c>
      <c r="AJ71" s="228">
        <v>5.8</v>
      </c>
      <c r="AK71" s="229">
        <v>7.1000000000000004E-3</v>
      </c>
      <c r="AL71" s="228">
        <v>54.9</v>
      </c>
      <c r="AM71" s="228">
        <v>22.4</v>
      </c>
      <c r="AN71" s="228">
        <v>32.5</v>
      </c>
      <c r="AO71" s="229">
        <v>2.0500000000000001E-2</v>
      </c>
      <c r="AP71" s="231">
        <v>2690.6</v>
      </c>
      <c r="AQ71" s="231">
        <v>2709.97</v>
      </c>
      <c r="AR71" s="228">
        <v>0</v>
      </c>
      <c r="AS71" s="228">
        <v>328</v>
      </c>
      <c r="AT71" s="228">
        <v>383</v>
      </c>
      <c r="AU71" s="228">
        <v>-55</v>
      </c>
      <c r="AV71" s="229">
        <v>-0.14280000000000001</v>
      </c>
      <c r="AW71" s="228">
        <v>289</v>
      </c>
      <c r="AX71" s="228">
        <v>371</v>
      </c>
      <c r="AY71" s="228">
        <v>-83</v>
      </c>
      <c r="AZ71" s="229">
        <v>-0.22270000000000001</v>
      </c>
      <c r="BA71" s="228">
        <v>39</v>
      </c>
      <c r="BB71" s="228">
        <v>11</v>
      </c>
      <c r="BC71" s="228">
        <v>28</v>
      </c>
      <c r="BD71" s="229">
        <v>2.4379</v>
      </c>
      <c r="BE71" s="228">
        <v>1</v>
      </c>
      <c r="BF71" s="228">
        <v>0</v>
      </c>
      <c r="BG71" s="228">
        <v>0</v>
      </c>
      <c r="BH71" s="229">
        <v>7</v>
      </c>
      <c r="BI71" s="228">
        <v>379</v>
      </c>
      <c r="BJ71" s="228">
        <v>478</v>
      </c>
      <c r="BK71" s="228">
        <v>-99</v>
      </c>
      <c r="BL71" s="229">
        <v>-0.20699999999999999</v>
      </c>
      <c r="BM71" s="228">
        <v>269</v>
      </c>
      <c r="BN71" s="228">
        <v>329</v>
      </c>
      <c r="BO71" s="228">
        <v>-61</v>
      </c>
      <c r="BP71" s="229">
        <v>-0.18410000000000001</v>
      </c>
      <c r="BQ71" s="228">
        <v>976</v>
      </c>
      <c r="BR71" s="230">
        <v>1190</v>
      </c>
      <c r="BS71" s="228">
        <v>-214</v>
      </c>
      <c r="BT71" s="229">
        <v>-0.18</v>
      </c>
      <c r="BU71" s="230">
        <v>960166</v>
      </c>
      <c r="BV71" s="230">
        <v>1522995</v>
      </c>
      <c r="BW71" s="230">
        <v>-562829</v>
      </c>
      <c r="BX71" s="229">
        <v>-0.36959999999999998</v>
      </c>
      <c r="BY71" s="230">
        <v>4028</v>
      </c>
      <c r="BZ71" s="230">
        <v>4010</v>
      </c>
      <c r="CA71" s="228">
        <v>17</v>
      </c>
      <c r="CB71" s="229">
        <v>4.3E-3</v>
      </c>
      <c r="CC71" s="230">
        <v>3972</v>
      </c>
      <c r="CD71" s="230">
        <v>3989</v>
      </c>
      <c r="CE71" s="228">
        <v>-16</v>
      </c>
      <c r="CF71" s="229">
        <v>-4.1000000000000003E-3</v>
      </c>
      <c r="CG71" s="228">
        <v>54</v>
      </c>
      <c r="CH71" s="228">
        <v>20</v>
      </c>
      <c r="CI71" s="228">
        <v>34</v>
      </c>
      <c r="CJ71" s="229">
        <v>1.6744000000000001</v>
      </c>
      <c r="CK71" s="228">
        <v>2</v>
      </c>
      <c r="CL71" s="228">
        <v>2</v>
      </c>
      <c r="CM71" s="228">
        <v>0</v>
      </c>
      <c r="CN71" s="229">
        <v>3.6999999999999998E-2</v>
      </c>
      <c r="CO71" s="228">
        <v>529</v>
      </c>
      <c r="CP71" s="228">
        <v>505</v>
      </c>
      <c r="CQ71" s="228">
        <v>23</v>
      </c>
      <c r="CR71" s="229">
        <v>4.6300000000000001E-2</v>
      </c>
      <c r="CS71" s="228">
        <v>302</v>
      </c>
      <c r="CT71" s="228">
        <v>302</v>
      </c>
      <c r="CU71" s="228">
        <v>1</v>
      </c>
      <c r="CV71" s="229">
        <v>2E-3</v>
      </c>
      <c r="CW71" s="230">
        <v>4859</v>
      </c>
      <c r="CX71" s="230">
        <v>4817</v>
      </c>
      <c r="CY71" s="228">
        <v>41</v>
      </c>
      <c r="CZ71" s="229">
        <v>8.6E-3</v>
      </c>
      <c r="DA71" s="228">
        <v>27.04</v>
      </c>
      <c r="DB71" s="228">
        <v>25.65</v>
      </c>
      <c r="DC71" s="228">
        <v>1.39</v>
      </c>
      <c r="DD71" s="228">
        <v>1.39</v>
      </c>
      <c r="DE71" s="228">
        <v>25.93</v>
      </c>
      <c r="DF71" s="228">
        <v>25.82</v>
      </c>
      <c r="DG71" s="228">
        <v>1.1100000000000001</v>
      </c>
      <c r="DH71" s="228">
        <v>0.11</v>
      </c>
      <c r="DI71" s="228">
        <v>26.47</v>
      </c>
      <c r="DJ71" s="228">
        <v>24.87</v>
      </c>
      <c r="DK71" s="228">
        <v>1.6</v>
      </c>
      <c r="DL71" s="228">
        <v>1.6</v>
      </c>
      <c r="DM71" s="228">
        <v>27.84</v>
      </c>
      <c r="DN71" s="228">
        <v>26.79</v>
      </c>
      <c r="DO71" s="228">
        <v>1.05</v>
      </c>
      <c r="DP71" s="228">
        <v>1.05</v>
      </c>
      <c r="DQ71" s="228">
        <v>0.56999999999999995</v>
      </c>
      <c r="DR71" s="228">
        <v>0.6</v>
      </c>
      <c r="DS71" s="228">
        <v>-0.03</v>
      </c>
      <c r="DT71" s="229">
        <v>-0.05</v>
      </c>
      <c r="DU71" s="231">
        <v>2860</v>
      </c>
      <c r="DV71" s="231">
        <v>2500</v>
      </c>
      <c r="DW71" s="228">
        <v>0.71</v>
      </c>
      <c r="DX71" s="228">
        <v>0.69</v>
      </c>
      <c r="DY71" s="228">
        <v>0.02</v>
      </c>
      <c r="DZ71" s="229">
        <v>2.9000000000000001E-2</v>
      </c>
      <c r="EA71" s="229">
        <v>1.38E-2</v>
      </c>
      <c r="EB71" s="230">
        <v>82000</v>
      </c>
      <c r="EC71" s="229">
        <v>6.1999999999999998E-3</v>
      </c>
      <c r="ED71" s="229">
        <v>1.38E-2</v>
      </c>
      <c r="EE71" s="228">
        <v>19.37</v>
      </c>
      <c r="EF71" s="229">
        <v>7.1999999999999998E-3</v>
      </c>
      <c r="EG71" s="230">
        <v>509213</v>
      </c>
      <c r="EH71" s="230">
        <v>1126184</v>
      </c>
      <c r="EI71" s="229">
        <v>-0.54779999999999995</v>
      </c>
      <c r="EJ71" s="229">
        <v>0.53029999999999999</v>
      </c>
      <c r="EK71" s="228">
        <v>401.95</v>
      </c>
      <c r="EL71" s="228">
        <v>270.44</v>
      </c>
      <c r="EM71" s="228">
        <v>330.16</v>
      </c>
      <c r="EN71" s="228">
        <v>65.84</v>
      </c>
      <c r="EO71" s="231">
        <v>1002.54</v>
      </c>
      <c r="EP71" s="231">
        <v>1239.72</v>
      </c>
      <c r="EQ71" s="228">
        <v>-237.18</v>
      </c>
      <c r="ER71" s="229">
        <v>-0.1913</v>
      </c>
      <c r="ES71" s="228">
        <v>573.51</v>
      </c>
      <c r="ET71" s="228">
        <v>304.02</v>
      </c>
      <c r="EU71" s="231">
        <v>4028.15</v>
      </c>
      <c r="EV71" s="231">
        <v>38505832</v>
      </c>
      <c r="EW71" s="231">
        <v>4905.68</v>
      </c>
      <c r="EX71" s="231">
        <v>4951.8599999999997</v>
      </c>
      <c r="EY71" s="228">
        <v>-46.18</v>
      </c>
      <c r="EZ71" s="229">
        <v>-9.2999999999999992E-3</v>
      </c>
      <c r="FA71" s="229">
        <v>0.47160000000000002</v>
      </c>
      <c r="FB71" s="227" t="s">
        <v>567</v>
      </c>
      <c r="FC71">
        <f t="shared" si="1"/>
        <v>56</v>
      </c>
    </row>
    <row r="72" spans="1:159" ht="17.25" hidden="1" thickBot="1" x14ac:dyDescent="0.3">
      <c r="A72" s="226">
        <v>46093</v>
      </c>
      <c r="B72" s="227" t="s">
        <v>184</v>
      </c>
      <c r="C72" s="227" t="s">
        <v>513</v>
      </c>
      <c r="D72" s="228">
        <v>150</v>
      </c>
      <c r="E72" s="228">
        <v>18</v>
      </c>
      <c r="F72" s="231">
        <v>4017.5</v>
      </c>
      <c r="G72" s="231">
        <v>4008</v>
      </c>
      <c r="H72" s="228">
        <v>9.5</v>
      </c>
      <c r="I72" s="229">
        <v>2.3999999999999998E-3</v>
      </c>
      <c r="J72" s="231">
        <v>4013.5</v>
      </c>
      <c r="K72" s="231">
        <v>4005.1</v>
      </c>
      <c r="L72" s="228">
        <v>8.4</v>
      </c>
      <c r="M72" s="229">
        <v>2.0999999999999999E-3</v>
      </c>
      <c r="N72" s="231">
        <v>4017.5</v>
      </c>
      <c r="O72" s="231">
        <v>4008</v>
      </c>
      <c r="P72" s="228">
        <v>9.5</v>
      </c>
      <c r="Q72" s="229">
        <v>2.3999999999999998E-3</v>
      </c>
      <c r="R72" s="231">
        <v>4045.7</v>
      </c>
      <c r="S72" s="231">
        <v>4031.6</v>
      </c>
      <c r="T72" s="228">
        <v>14.1</v>
      </c>
      <c r="U72" s="229">
        <v>3.5000000000000001E-3</v>
      </c>
      <c r="V72" s="231">
        <v>4061.5</v>
      </c>
      <c r="W72" s="231">
        <v>4049.4</v>
      </c>
      <c r="X72" s="228">
        <v>12.1</v>
      </c>
      <c r="Y72" s="229">
        <v>3.0000000000000001E-3</v>
      </c>
      <c r="Z72" s="228">
        <v>4</v>
      </c>
      <c r="AA72" s="228">
        <v>2.9</v>
      </c>
      <c r="AB72" s="228">
        <v>1.1000000000000001</v>
      </c>
      <c r="AC72" s="229">
        <v>1E-3</v>
      </c>
      <c r="AD72" s="228">
        <v>4</v>
      </c>
      <c r="AE72" s="228">
        <v>2.9</v>
      </c>
      <c r="AF72" s="228">
        <v>1.1000000000000001</v>
      </c>
      <c r="AG72" s="229">
        <v>1E-3</v>
      </c>
      <c r="AH72" s="228">
        <v>32.200000000000003</v>
      </c>
      <c r="AI72" s="228">
        <v>26.5</v>
      </c>
      <c r="AJ72" s="228">
        <v>5.7</v>
      </c>
      <c r="AK72" s="229">
        <v>8.0000000000000002E-3</v>
      </c>
      <c r="AL72" s="228">
        <v>48</v>
      </c>
      <c r="AM72" s="228">
        <v>44.3</v>
      </c>
      <c r="AN72" s="228">
        <v>3.7</v>
      </c>
      <c r="AO72" s="229">
        <v>1.2E-2</v>
      </c>
      <c r="AP72" s="231">
        <v>3997.16</v>
      </c>
      <c r="AQ72" s="231">
        <v>4020.54</v>
      </c>
      <c r="AR72" s="228">
        <v>0</v>
      </c>
      <c r="AS72" s="228">
        <v>416</v>
      </c>
      <c r="AT72" s="228">
        <v>681</v>
      </c>
      <c r="AU72" s="228">
        <v>-265</v>
      </c>
      <c r="AV72" s="229">
        <v>-0.38879999999999998</v>
      </c>
      <c r="AW72" s="228">
        <v>356</v>
      </c>
      <c r="AX72" s="228">
        <v>610</v>
      </c>
      <c r="AY72" s="228">
        <v>-255</v>
      </c>
      <c r="AZ72" s="229">
        <v>-0.41720000000000002</v>
      </c>
      <c r="BA72" s="228">
        <v>55</v>
      </c>
      <c r="BB72" s="228">
        <v>60</v>
      </c>
      <c r="BC72" s="228">
        <v>-5</v>
      </c>
      <c r="BD72" s="229">
        <v>-9.1399999999999995E-2</v>
      </c>
      <c r="BE72" s="228">
        <v>6</v>
      </c>
      <c r="BF72" s="228">
        <v>11</v>
      </c>
      <c r="BG72" s="228">
        <v>-5</v>
      </c>
      <c r="BH72" s="229">
        <v>-0.4375</v>
      </c>
      <c r="BI72" s="230">
        <v>1939</v>
      </c>
      <c r="BJ72" s="230">
        <v>2215</v>
      </c>
      <c r="BK72" s="228">
        <v>-276</v>
      </c>
      <c r="BL72" s="229">
        <v>-0.12479999999999999</v>
      </c>
      <c r="BM72" s="228">
        <v>616</v>
      </c>
      <c r="BN72" s="228">
        <v>918</v>
      </c>
      <c r="BO72" s="228">
        <v>-301</v>
      </c>
      <c r="BP72" s="229">
        <v>-0.32840000000000003</v>
      </c>
      <c r="BQ72" s="230">
        <v>2971</v>
      </c>
      <c r="BR72" s="230">
        <v>3814</v>
      </c>
      <c r="BS72" s="228">
        <v>-842</v>
      </c>
      <c r="BT72" s="229">
        <v>-0.22090000000000001</v>
      </c>
      <c r="BU72" s="230">
        <v>1035566</v>
      </c>
      <c r="BV72" s="230">
        <v>1717779</v>
      </c>
      <c r="BW72" s="230">
        <v>-682213</v>
      </c>
      <c r="BX72" s="229">
        <v>-0.39710000000000001</v>
      </c>
      <c r="BY72" s="230">
        <v>4178</v>
      </c>
      <c r="BZ72" s="230">
        <v>4242</v>
      </c>
      <c r="CA72" s="228">
        <v>-65</v>
      </c>
      <c r="CB72" s="229">
        <v>-1.5299999999999999E-2</v>
      </c>
      <c r="CC72" s="230">
        <v>3842</v>
      </c>
      <c r="CD72" s="230">
        <v>3907</v>
      </c>
      <c r="CE72" s="228">
        <v>-65</v>
      </c>
      <c r="CF72" s="229">
        <v>-1.66E-2</v>
      </c>
      <c r="CG72" s="228">
        <v>269</v>
      </c>
      <c r="CH72" s="228">
        <v>269</v>
      </c>
      <c r="CI72" s="228">
        <v>0</v>
      </c>
      <c r="CJ72" s="229">
        <v>1.2999999999999999E-3</v>
      </c>
      <c r="CK72" s="228">
        <v>67</v>
      </c>
      <c r="CL72" s="228">
        <v>67</v>
      </c>
      <c r="CM72" s="228">
        <v>0</v>
      </c>
      <c r="CN72" s="229">
        <v>-1.8E-3</v>
      </c>
      <c r="CO72" s="230">
        <v>2249</v>
      </c>
      <c r="CP72" s="230">
        <v>2263</v>
      </c>
      <c r="CQ72" s="228">
        <v>-15</v>
      </c>
      <c r="CR72" s="229">
        <v>-6.4000000000000003E-3</v>
      </c>
      <c r="CS72" s="230">
        <v>1473</v>
      </c>
      <c r="CT72" s="230">
        <v>1499</v>
      </c>
      <c r="CU72" s="228">
        <v>-27</v>
      </c>
      <c r="CV72" s="229">
        <v>-1.77E-2</v>
      </c>
      <c r="CW72" s="230">
        <v>7899</v>
      </c>
      <c r="CX72" s="230">
        <v>8005</v>
      </c>
      <c r="CY72" s="228">
        <v>-106</v>
      </c>
      <c r="CZ72" s="229">
        <v>-1.32E-2</v>
      </c>
      <c r="DA72" s="228">
        <v>37.65</v>
      </c>
      <c r="DB72" s="228">
        <v>35.53</v>
      </c>
      <c r="DC72" s="228">
        <v>2.12</v>
      </c>
      <c r="DD72" s="228">
        <v>2.12</v>
      </c>
      <c r="DE72" s="228">
        <v>38.159999999999997</v>
      </c>
      <c r="DF72" s="228">
        <v>38.26</v>
      </c>
      <c r="DG72" s="228">
        <v>-0.51</v>
      </c>
      <c r="DH72" s="228">
        <v>-0.1</v>
      </c>
      <c r="DI72" s="228">
        <v>37.880000000000003</v>
      </c>
      <c r="DJ72" s="228">
        <v>34.880000000000003</v>
      </c>
      <c r="DK72" s="228">
        <v>3</v>
      </c>
      <c r="DL72" s="228">
        <v>3</v>
      </c>
      <c r="DM72" s="228">
        <v>36.93</v>
      </c>
      <c r="DN72" s="228">
        <v>37.11</v>
      </c>
      <c r="DO72" s="228">
        <v>-0.18</v>
      </c>
      <c r="DP72" s="228">
        <v>-0.18</v>
      </c>
      <c r="DQ72" s="228">
        <v>0.65</v>
      </c>
      <c r="DR72" s="228">
        <v>0.66</v>
      </c>
      <c r="DS72" s="228">
        <v>-0.01</v>
      </c>
      <c r="DT72" s="229">
        <v>-1.52E-2</v>
      </c>
      <c r="DU72" s="231">
        <v>4200</v>
      </c>
      <c r="DV72" s="231">
        <v>4000</v>
      </c>
      <c r="DW72" s="228">
        <v>0.32</v>
      </c>
      <c r="DX72" s="228">
        <v>0.41</v>
      </c>
      <c r="DY72" s="228">
        <v>-0.09</v>
      </c>
      <c r="DZ72" s="229">
        <v>-0.2195</v>
      </c>
      <c r="EA72" s="229">
        <v>8.0399999999999999E-2</v>
      </c>
      <c r="EB72" s="230">
        <v>835350</v>
      </c>
      <c r="EC72" s="229">
        <v>7.0000000000000001E-3</v>
      </c>
      <c r="ED72" s="229">
        <v>8.0399999999999999E-2</v>
      </c>
      <c r="EE72" s="228">
        <v>23.38</v>
      </c>
      <c r="EF72" s="229">
        <v>5.7999999999999996E-3</v>
      </c>
      <c r="EG72" s="230">
        <v>421291</v>
      </c>
      <c r="EH72" s="230">
        <v>922020</v>
      </c>
      <c r="EI72" s="229">
        <v>-0.54310000000000003</v>
      </c>
      <c r="EJ72" s="229">
        <v>0.40679999999999999</v>
      </c>
      <c r="EK72" s="231">
        <v>2130.62</v>
      </c>
      <c r="EL72" s="228">
        <v>604.97</v>
      </c>
      <c r="EM72" s="228">
        <v>414.38</v>
      </c>
      <c r="EN72" s="228">
        <v>153.28</v>
      </c>
      <c r="EO72" s="231">
        <v>3149.96</v>
      </c>
      <c r="EP72" s="231">
        <v>3950.67</v>
      </c>
      <c r="EQ72" s="228">
        <v>-800.71</v>
      </c>
      <c r="ER72" s="229">
        <v>-0.20269999999999999</v>
      </c>
      <c r="ES72" s="231">
        <v>2427</v>
      </c>
      <c r="ET72" s="231">
        <v>1484.46</v>
      </c>
      <c r="EU72" s="231">
        <v>4180.1400000000003</v>
      </c>
      <c r="EV72" s="231">
        <v>28450886</v>
      </c>
      <c r="EW72" s="231">
        <v>8091.6</v>
      </c>
      <c r="EX72" s="231">
        <v>8186.54</v>
      </c>
      <c r="EY72" s="228">
        <v>-94.94</v>
      </c>
      <c r="EZ72" s="229">
        <v>-1.1599999999999999E-2</v>
      </c>
      <c r="FA72" s="229">
        <v>0.69110000000000005</v>
      </c>
      <c r="FB72" s="227" t="s">
        <v>556</v>
      </c>
      <c r="FC72">
        <f t="shared" si="1"/>
        <v>336</v>
      </c>
    </row>
    <row r="73" spans="1:159" ht="17.25" hidden="1" thickBot="1" x14ac:dyDescent="0.3">
      <c r="A73" s="226">
        <v>46093</v>
      </c>
      <c r="B73" s="227" t="s">
        <v>184</v>
      </c>
      <c r="C73" s="227" t="s">
        <v>220</v>
      </c>
      <c r="D73" s="228">
        <v>500</v>
      </c>
      <c r="E73" s="228">
        <v>18</v>
      </c>
      <c r="F73" s="231">
        <v>1355.6</v>
      </c>
      <c r="G73" s="231">
        <v>1370.8</v>
      </c>
      <c r="H73" s="228">
        <v>-15.2</v>
      </c>
      <c r="I73" s="229">
        <v>-1.11E-2</v>
      </c>
      <c r="J73" s="231">
        <v>1354</v>
      </c>
      <c r="K73" s="231">
        <v>1365.5</v>
      </c>
      <c r="L73" s="228">
        <v>-11.5</v>
      </c>
      <c r="M73" s="229">
        <v>-8.3999999999999995E-3</v>
      </c>
      <c r="N73" s="231">
        <v>1355.6</v>
      </c>
      <c r="O73" s="231">
        <v>1370.8</v>
      </c>
      <c r="P73" s="228">
        <v>-15.2</v>
      </c>
      <c r="Q73" s="229">
        <v>-1.11E-2</v>
      </c>
      <c r="R73" s="231">
        <v>1363.7</v>
      </c>
      <c r="S73" s="231">
        <v>1379</v>
      </c>
      <c r="T73" s="228">
        <v>-15.3</v>
      </c>
      <c r="U73" s="229">
        <v>-1.11E-2</v>
      </c>
      <c r="V73" s="231">
        <v>1370.7</v>
      </c>
      <c r="W73" s="231">
        <v>1381</v>
      </c>
      <c r="X73" s="228">
        <v>-10.3</v>
      </c>
      <c r="Y73" s="229">
        <v>-7.4999999999999997E-3</v>
      </c>
      <c r="Z73" s="228">
        <v>1.6</v>
      </c>
      <c r="AA73" s="228">
        <v>5.3</v>
      </c>
      <c r="AB73" s="228">
        <v>-3.7</v>
      </c>
      <c r="AC73" s="229">
        <v>1.1999999999999999E-3</v>
      </c>
      <c r="AD73" s="228">
        <v>1.6</v>
      </c>
      <c r="AE73" s="228">
        <v>5.3</v>
      </c>
      <c r="AF73" s="228">
        <v>-3.7</v>
      </c>
      <c r="AG73" s="229">
        <v>1.1999999999999999E-3</v>
      </c>
      <c r="AH73" s="228">
        <v>9.6999999999999993</v>
      </c>
      <c r="AI73" s="228">
        <v>13.5</v>
      </c>
      <c r="AJ73" s="228">
        <v>-3.8</v>
      </c>
      <c r="AK73" s="229">
        <v>7.1999999999999998E-3</v>
      </c>
      <c r="AL73" s="228">
        <v>16.7</v>
      </c>
      <c r="AM73" s="228">
        <v>15.5</v>
      </c>
      <c r="AN73" s="228">
        <v>1.2</v>
      </c>
      <c r="AO73" s="229">
        <v>1.23E-2</v>
      </c>
      <c r="AP73" s="231">
        <v>1353.27</v>
      </c>
      <c r="AQ73" s="231">
        <v>1361.33</v>
      </c>
      <c r="AR73" s="228">
        <v>0</v>
      </c>
      <c r="AS73" s="228">
        <v>180</v>
      </c>
      <c r="AT73" s="228">
        <v>297</v>
      </c>
      <c r="AU73" s="228">
        <v>-117</v>
      </c>
      <c r="AV73" s="229">
        <v>-0.3931</v>
      </c>
      <c r="AW73" s="228">
        <v>175</v>
      </c>
      <c r="AX73" s="228">
        <v>285</v>
      </c>
      <c r="AY73" s="228">
        <v>-111</v>
      </c>
      <c r="AZ73" s="229">
        <v>-0.38790000000000002</v>
      </c>
      <c r="BA73" s="228">
        <v>5</v>
      </c>
      <c r="BB73" s="228">
        <v>11</v>
      </c>
      <c r="BC73" s="228">
        <v>-6</v>
      </c>
      <c r="BD73" s="229">
        <v>-0.52229999999999999</v>
      </c>
      <c r="BE73" s="228">
        <v>0</v>
      </c>
      <c r="BF73" s="228">
        <v>1</v>
      </c>
      <c r="BG73" s="228">
        <v>0</v>
      </c>
      <c r="BH73" s="229">
        <v>-0.55559999999999998</v>
      </c>
      <c r="BI73" s="228">
        <v>346</v>
      </c>
      <c r="BJ73" s="230">
        <v>1132</v>
      </c>
      <c r="BK73" s="228">
        <v>-786</v>
      </c>
      <c r="BL73" s="229">
        <v>-0.69410000000000005</v>
      </c>
      <c r="BM73" s="228">
        <v>234</v>
      </c>
      <c r="BN73" s="228">
        <v>357</v>
      </c>
      <c r="BO73" s="228">
        <v>-122</v>
      </c>
      <c r="BP73" s="229">
        <v>-0.34320000000000001</v>
      </c>
      <c r="BQ73" s="228">
        <v>761</v>
      </c>
      <c r="BR73" s="230">
        <v>1786</v>
      </c>
      <c r="BS73" s="230">
        <v>-1025</v>
      </c>
      <c r="BT73" s="229">
        <v>-0.57399999999999995</v>
      </c>
      <c r="BU73" s="230">
        <v>868868</v>
      </c>
      <c r="BV73" s="230">
        <v>778168</v>
      </c>
      <c r="BW73" s="230">
        <v>90700</v>
      </c>
      <c r="BX73" s="229">
        <v>0.1166</v>
      </c>
      <c r="BY73" s="230">
        <v>1229</v>
      </c>
      <c r="BZ73" s="230">
        <v>1249</v>
      </c>
      <c r="CA73" s="228">
        <v>-20</v>
      </c>
      <c r="CB73" s="229">
        <v>-1.61E-2</v>
      </c>
      <c r="CC73" s="230">
        <v>1207</v>
      </c>
      <c r="CD73" s="230">
        <v>1227</v>
      </c>
      <c r="CE73" s="228">
        <v>-21</v>
      </c>
      <c r="CF73" s="229">
        <v>-1.6799999999999999E-2</v>
      </c>
      <c r="CG73" s="228">
        <v>21</v>
      </c>
      <c r="CH73" s="228">
        <v>21</v>
      </c>
      <c r="CI73" s="228">
        <v>0</v>
      </c>
      <c r="CJ73" s="229">
        <v>1.6400000000000001E-2</v>
      </c>
      <c r="CK73" s="228">
        <v>1</v>
      </c>
      <c r="CL73" s="228">
        <v>1</v>
      </c>
      <c r="CM73" s="228">
        <v>0</v>
      </c>
      <c r="CN73" s="229">
        <v>0.15790000000000001</v>
      </c>
      <c r="CO73" s="228">
        <v>352</v>
      </c>
      <c r="CP73" s="228">
        <v>339</v>
      </c>
      <c r="CQ73" s="228">
        <v>12</v>
      </c>
      <c r="CR73" s="229">
        <v>3.6400000000000002E-2</v>
      </c>
      <c r="CS73" s="228">
        <v>263</v>
      </c>
      <c r="CT73" s="228">
        <v>283</v>
      </c>
      <c r="CU73" s="228">
        <v>-20</v>
      </c>
      <c r="CV73" s="229">
        <v>-7.0599999999999996E-2</v>
      </c>
      <c r="CW73" s="230">
        <v>1844</v>
      </c>
      <c r="CX73" s="230">
        <v>1872</v>
      </c>
      <c r="CY73" s="228">
        <v>-28</v>
      </c>
      <c r="CZ73" s="229">
        <v>-1.4800000000000001E-2</v>
      </c>
      <c r="DA73" s="228">
        <v>29.19</v>
      </c>
      <c r="DB73" s="228">
        <v>29.83</v>
      </c>
      <c r="DC73" s="228">
        <v>-0.64</v>
      </c>
      <c r="DD73" s="228">
        <v>-0.64</v>
      </c>
      <c r="DE73" s="228">
        <v>28.16</v>
      </c>
      <c r="DF73" s="228">
        <v>28.19</v>
      </c>
      <c r="DG73" s="228">
        <v>1.03</v>
      </c>
      <c r="DH73" s="228">
        <v>-0.03</v>
      </c>
      <c r="DI73" s="228">
        <v>28.32</v>
      </c>
      <c r="DJ73" s="228">
        <v>29.38</v>
      </c>
      <c r="DK73" s="228">
        <v>-1.06</v>
      </c>
      <c r="DL73" s="228">
        <v>-1.06</v>
      </c>
      <c r="DM73" s="228">
        <v>30.47</v>
      </c>
      <c r="DN73" s="228">
        <v>31.24</v>
      </c>
      <c r="DO73" s="228">
        <v>-0.77</v>
      </c>
      <c r="DP73" s="228">
        <v>-0.77</v>
      </c>
      <c r="DQ73" s="228">
        <v>0.75</v>
      </c>
      <c r="DR73" s="228">
        <v>0.84</v>
      </c>
      <c r="DS73" s="228">
        <v>-0.09</v>
      </c>
      <c r="DT73" s="229">
        <v>-0.1071</v>
      </c>
      <c r="DU73" s="231">
        <v>1400</v>
      </c>
      <c r="DV73" s="231">
        <v>1400</v>
      </c>
      <c r="DW73" s="228">
        <v>0.68</v>
      </c>
      <c r="DX73" s="228">
        <v>0.32</v>
      </c>
      <c r="DY73" s="228">
        <v>0.36</v>
      </c>
      <c r="DZ73" s="229">
        <v>1.125</v>
      </c>
      <c r="EA73" s="229">
        <v>1.83E-2</v>
      </c>
      <c r="EB73" s="230">
        <v>162000</v>
      </c>
      <c r="EC73" s="229">
        <v>6.0000000000000001E-3</v>
      </c>
      <c r="ED73" s="229">
        <v>1.83E-2</v>
      </c>
      <c r="EE73" s="228">
        <v>8.06</v>
      </c>
      <c r="EF73" s="229">
        <v>6.0000000000000001E-3</v>
      </c>
      <c r="EG73" s="230">
        <v>514506</v>
      </c>
      <c r="EH73" s="230">
        <v>258426</v>
      </c>
      <c r="EI73" s="229">
        <v>0.9909</v>
      </c>
      <c r="EJ73" s="229">
        <v>0.59219999999999995</v>
      </c>
      <c r="EK73" s="228">
        <v>364.74</v>
      </c>
      <c r="EL73" s="228">
        <v>232.44</v>
      </c>
      <c r="EM73" s="228">
        <v>179.75</v>
      </c>
      <c r="EN73" s="228">
        <v>33.909999999999997</v>
      </c>
      <c r="EO73" s="228">
        <v>776.93</v>
      </c>
      <c r="EP73" s="231">
        <v>1874.02</v>
      </c>
      <c r="EQ73" s="231">
        <v>-1097.0899999999999</v>
      </c>
      <c r="ER73" s="229">
        <v>-0.58540000000000003</v>
      </c>
      <c r="ES73" s="228">
        <v>373.27</v>
      </c>
      <c r="ET73" s="228">
        <v>260.02</v>
      </c>
      <c r="EU73" s="231">
        <v>1229.47</v>
      </c>
      <c r="EV73" s="231">
        <v>35667502</v>
      </c>
      <c r="EW73" s="231">
        <v>1862.76</v>
      </c>
      <c r="EX73" s="231">
        <v>1902.29</v>
      </c>
      <c r="EY73" s="228">
        <v>-39.53</v>
      </c>
      <c r="EZ73" s="229">
        <v>-2.0799999999999999E-2</v>
      </c>
      <c r="FA73" s="229">
        <v>0.38140000000000002</v>
      </c>
      <c r="FB73" s="227" t="s">
        <v>568</v>
      </c>
      <c r="FC73">
        <f t="shared" si="1"/>
        <v>22</v>
      </c>
    </row>
    <row r="74" spans="1:159" ht="17.25" hidden="1" thickBot="1" x14ac:dyDescent="0.3">
      <c r="A74" s="226">
        <v>46093</v>
      </c>
      <c r="B74" s="227" t="s">
        <v>221</v>
      </c>
      <c r="C74" s="227" t="s">
        <v>222</v>
      </c>
      <c r="D74" s="228">
        <v>350</v>
      </c>
      <c r="E74" s="228">
        <v>18</v>
      </c>
      <c r="F74" s="231">
        <v>1352.4</v>
      </c>
      <c r="G74" s="231">
        <v>1348.6</v>
      </c>
      <c r="H74" s="228">
        <v>3.8</v>
      </c>
      <c r="I74" s="229">
        <v>2.8E-3</v>
      </c>
      <c r="J74" s="231">
        <v>1358.1</v>
      </c>
      <c r="K74" s="231">
        <v>1350.3</v>
      </c>
      <c r="L74" s="228">
        <v>7.8</v>
      </c>
      <c r="M74" s="229">
        <v>5.7999999999999996E-3</v>
      </c>
      <c r="N74" s="231">
        <v>1352.4</v>
      </c>
      <c r="O74" s="231">
        <v>1348.6</v>
      </c>
      <c r="P74" s="228">
        <v>3.8</v>
      </c>
      <c r="Q74" s="229">
        <v>2.8E-3</v>
      </c>
      <c r="R74" s="231">
        <v>1349</v>
      </c>
      <c r="S74" s="231">
        <v>1346.6</v>
      </c>
      <c r="T74" s="228">
        <v>2.4</v>
      </c>
      <c r="U74" s="229">
        <v>1.8E-3</v>
      </c>
      <c r="V74" s="231">
        <v>1350.2</v>
      </c>
      <c r="W74" s="231">
        <v>1350</v>
      </c>
      <c r="X74" s="228">
        <v>0.2</v>
      </c>
      <c r="Y74" s="229">
        <v>1E-4</v>
      </c>
      <c r="Z74" s="228">
        <v>-5.7</v>
      </c>
      <c r="AA74" s="228">
        <v>-1.7</v>
      </c>
      <c r="AB74" s="228">
        <v>-4</v>
      </c>
      <c r="AC74" s="229">
        <v>-4.1999999999999997E-3</v>
      </c>
      <c r="AD74" s="228">
        <v>-5.7</v>
      </c>
      <c r="AE74" s="228">
        <v>-1.7</v>
      </c>
      <c r="AF74" s="228">
        <v>-4</v>
      </c>
      <c r="AG74" s="229">
        <v>-4.1999999999999997E-3</v>
      </c>
      <c r="AH74" s="228">
        <v>-9.1</v>
      </c>
      <c r="AI74" s="228">
        <v>-3.7</v>
      </c>
      <c r="AJ74" s="228">
        <v>-5.4</v>
      </c>
      <c r="AK74" s="229">
        <v>-6.7000000000000002E-3</v>
      </c>
      <c r="AL74" s="228">
        <v>-7.9</v>
      </c>
      <c r="AM74" s="228">
        <v>-0.3</v>
      </c>
      <c r="AN74" s="228">
        <v>-7.6</v>
      </c>
      <c r="AO74" s="229">
        <v>-5.7999999999999996E-3</v>
      </c>
      <c r="AP74" s="231">
        <v>1350.65</v>
      </c>
      <c r="AQ74" s="231">
        <v>1348.87</v>
      </c>
      <c r="AR74" s="228">
        <v>0</v>
      </c>
      <c r="AS74" s="228">
        <v>383</v>
      </c>
      <c r="AT74" s="228">
        <v>278</v>
      </c>
      <c r="AU74" s="228">
        <v>105</v>
      </c>
      <c r="AV74" s="229">
        <v>0.37869999999999998</v>
      </c>
      <c r="AW74" s="228">
        <v>363</v>
      </c>
      <c r="AX74" s="228">
        <v>260</v>
      </c>
      <c r="AY74" s="228">
        <v>102</v>
      </c>
      <c r="AZ74" s="229">
        <v>0.39319999999999999</v>
      </c>
      <c r="BA74" s="228">
        <v>19</v>
      </c>
      <c r="BB74" s="228">
        <v>17</v>
      </c>
      <c r="BC74" s="228">
        <v>2</v>
      </c>
      <c r="BD74" s="229">
        <v>0.14330000000000001</v>
      </c>
      <c r="BE74" s="228">
        <v>2</v>
      </c>
      <c r="BF74" s="228">
        <v>1</v>
      </c>
      <c r="BG74" s="228">
        <v>1</v>
      </c>
      <c r="BH74" s="229">
        <v>0.5</v>
      </c>
      <c r="BI74" s="228">
        <v>995</v>
      </c>
      <c r="BJ74" s="228">
        <v>511</v>
      </c>
      <c r="BK74" s="228">
        <v>484</v>
      </c>
      <c r="BL74" s="229">
        <v>0.94650000000000001</v>
      </c>
      <c r="BM74" s="228">
        <v>477</v>
      </c>
      <c r="BN74" s="228">
        <v>445</v>
      </c>
      <c r="BO74" s="228">
        <v>32</v>
      </c>
      <c r="BP74" s="229">
        <v>7.22E-2</v>
      </c>
      <c r="BQ74" s="230">
        <v>1856</v>
      </c>
      <c r="BR74" s="230">
        <v>1234</v>
      </c>
      <c r="BS74" s="228">
        <v>621</v>
      </c>
      <c r="BT74" s="229">
        <v>0.50339999999999996</v>
      </c>
      <c r="BU74" s="230">
        <v>2698994</v>
      </c>
      <c r="BV74" s="230">
        <v>1899067</v>
      </c>
      <c r="BW74" s="230">
        <v>799927</v>
      </c>
      <c r="BX74" s="229">
        <v>0.42120000000000002</v>
      </c>
      <c r="BY74" s="230">
        <v>3797</v>
      </c>
      <c r="BZ74" s="230">
        <v>3679</v>
      </c>
      <c r="CA74" s="228">
        <v>118</v>
      </c>
      <c r="CB74" s="229">
        <v>3.2099999999999997E-2</v>
      </c>
      <c r="CC74" s="230">
        <v>3705</v>
      </c>
      <c r="CD74" s="230">
        <v>3596</v>
      </c>
      <c r="CE74" s="228">
        <v>109</v>
      </c>
      <c r="CF74" s="229">
        <v>3.04E-2</v>
      </c>
      <c r="CG74" s="228">
        <v>83</v>
      </c>
      <c r="CH74" s="228">
        <v>75</v>
      </c>
      <c r="CI74" s="228">
        <v>8</v>
      </c>
      <c r="CJ74" s="229">
        <v>0.10639999999999999</v>
      </c>
      <c r="CK74" s="228">
        <v>9</v>
      </c>
      <c r="CL74" s="228">
        <v>8</v>
      </c>
      <c r="CM74" s="228">
        <v>1</v>
      </c>
      <c r="CN74" s="229">
        <v>8.3799999999999999E-2</v>
      </c>
      <c r="CO74" s="228">
        <v>921</v>
      </c>
      <c r="CP74" s="228">
        <v>832</v>
      </c>
      <c r="CQ74" s="228">
        <v>89</v>
      </c>
      <c r="CR74" s="229">
        <v>0.10680000000000001</v>
      </c>
      <c r="CS74" s="228">
        <v>457</v>
      </c>
      <c r="CT74" s="228">
        <v>459</v>
      </c>
      <c r="CU74" s="228">
        <v>-3</v>
      </c>
      <c r="CV74" s="229">
        <v>-5.7999999999999996E-3</v>
      </c>
      <c r="CW74" s="230">
        <v>5174</v>
      </c>
      <c r="CX74" s="230">
        <v>4970</v>
      </c>
      <c r="CY74" s="228">
        <v>204</v>
      </c>
      <c r="CZ74" s="229">
        <v>4.1099999999999998E-2</v>
      </c>
      <c r="DA74" s="228">
        <v>31.16</v>
      </c>
      <c r="DB74" s="228">
        <v>32.43</v>
      </c>
      <c r="DC74" s="228">
        <v>-1.27</v>
      </c>
      <c r="DD74" s="228">
        <v>-1.27</v>
      </c>
      <c r="DE74" s="228">
        <v>28.92</v>
      </c>
      <c r="DF74" s="228">
        <v>28.98</v>
      </c>
      <c r="DG74" s="228">
        <v>2.2400000000000002</v>
      </c>
      <c r="DH74" s="228">
        <v>-0.06</v>
      </c>
      <c r="DI74" s="228">
        <v>30.18</v>
      </c>
      <c r="DJ74" s="228">
        <v>31.42</v>
      </c>
      <c r="DK74" s="228">
        <v>-1.24</v>
      </c>
      <c r="DL74" s="228">
        <v>-1.24</v>
      </c>
      <c r="DM74" s="228">
        <v>33.200000000000003</v>
      </c>
      <c r="DN74" s="228">
        <v>33.590000000000003</v>
      </c>
      <c r="DO74" s="228">
        <v>-0.39</v>
      </c>
      <c r="DP74" s="228">
        <v>-0.39</v>
      </c>
      <c r="DQ74" s="228">
        <v>0.5</v>
      </c>
      <c r="DR74" s="228">
        <v>0.55000000000000004</v>
      </c>
      <c r="DS74" s="228">
        <v>-0.05</v>
      </c>
      <c r="DT74" s="229">
        <v>-9.0899999999999995E-2</v>
      </c>
      <c r="DU74" s="231">
        <v>1500</v>
      </c>
      <c r="DV74" s="231">
        <v>1360</v>
      </c>
      <c r="DW74" s="228">
        <v>0.48</v>
      </c>
      <c r="DX74" s="228">
        <v>0.87</v>
      </c>
      <c r="DY74" s="228">
        <v>-0.39</v>
      </c>
      <c r="DZ74" s="229">
        <v>-0.44829999999999998</v>
      </c>
      <c r="EA74" s="229">
        <v>2.4199999999999999E-2</v>
      </c>
      <c r="EB74" s="230">
        <v>615300</v>
      </c>
      <c r="EC74" s="229">
        <v>-2.5000000000000001E-3</v>
      </c>
      <c r="ED74" s="229">
        <v>2.4199999999999999E-2</v>
      </c>
      <c r="EE74" s="228">
        <v>-1.78</v>
      </c>
      <c r="EF74" s="229">
        <v>-1.2999999999999999E-3</v>
      </c>
      <c r="EG74" s="230">
        <v>1654020</v>
      </c>
      <c r="EH74" s="230">
        <v>1215633</v>
      </c>
      <c r="EI74" s="229">
        <v>0.36059999999999998</v>
      </c>
      <c r="EJ74" s="229">
        <v>0.61280000000000001</v>
      </c>
      <c r="EK74" s="231">
        <v>1048.27</v>
      </c>
      <c r="EL74" s="228">
        <v>471.82</v>
      </c>
      <c r="EM74" s="228">
        <v>382.55</v>
      </c>
      <c r="EN74" s="228">
        <v>66.38</v>
      </c>
      <c r="EO74" s="231">
        <v>1902.63</v>
      </c>
      <c r="EP74" s="231">
        <v>1267.6199999999999</v>
      </c>
      <c r="EQ74" s="228">
        <v>635.01</v>
      </c>
      <c r="ER74" s="229">
        <v>0.50090000000000001</v>
      </c>
      <c r="ES74" s="231">
        <v>1002.28</v>
      </c>
      <c r="ET74" s="228">
        <v>455.41</v>
      </c>
      <c r="EU74" s="231">
        <v>3796.67</v>
      </c>
      <c r="EV74" s="231">
        <v>106857976</v>
      </c>
      <c r="EW74" s="231">
        <v>5254.37</v>
      </c>
      <c r="EX74" s="231">
        <v>5037.9799999999996</v>
      </c>
      <c r="EY74" s="228">
        <v>216.39</v>
      </c>
      <c r="EZ74" s="229">
        <v>4.2999999999999997E-2</v>
      </c>
      <c r="FA74" s="229">
        <v>0.35809999999999997</v>
      </c>
      <c r="FB74" s="227" t="s">
        <v>555</v>
      </c>
      <c r="FC74">
        <f t="shared" si="1"/>
        <v>92</v>
      </c>
    </row>
    <row r="75" spans="1:159" ht="17.25" hidden="1" thickBot="1" x14ac:dyDescent="0.3">
      <c r="A75" s="226">
        <v>46093</v>
      </c>
      <c r="B75" s="227" t="s">
        <v>175</v>
      </c>
      <c r="C75" s="227" t="s">
        <v>475</v>
      </c>
      <c r="D75" s="228">
        <v>300</v>
      </c>
      <c r="E75" s="228">
        <v>18</v>
      </c>
      <c r="F75" s="231">
        <v>2434.8000000000002</v>
      </c>
      <c r="G75" s="231">
        <v>2457.1</v>
      </c>
      <c r="H75" s="228">
        <v>-22.3</v>
      </c>
      <c r="I75" s="229">
        <v>-9.1000000000000004E-3</v>
      </c>
      <c r="J75" s="231">
        <v>2429</v>
      </c>
      <c r="K75" s="231">
        <v>2448.1999999999998</v>
      </c>
      <c r="L75" s="228">
        <v>-19.2</v>
      </c>
      <c r="M75" s="229">
        <v>-7.7999999999999996E-3</v>
      </c>
      <c r="N75" s="231">
        <v>2434.8000000000002</v>
      </c>
      <c r="O75" s="231">
        <v>2457.1</v>
      </c>
      <c r="P75" s="228">
        <v>-22.3</v>
      </c>
      <c r="Q75" s="229">
        <v>-9.1000000000000004E-3</v>
      </c>
      <c r="R75" s="231">
        <v>2448.4</v>
      </c>
      <c r="S75" s="231">
        <v>2471.3000000000002</v>
      </c>
      <c r="T75" s="228">
        <v>-22.9</v>
      </c>
      <c r="U75" s="229">
        <v>-9.2999999999999992E-3</v>
      </c>
      <c r="V75" s="231">
        <v>2462.1</v>
      </c>
      <c r="W75" s="231">
        <v>2502</v>
      </c>
      <c r="X75" s="228">
        <v>-39.9</v>
      </c>
      <c r="Y75" s="229">
        <v>-1.5900000000000001E-2</v>
      </c>
      <c r="Z75" s="228">
        <v>5.8</v>
      </c>
      <c r="AA75" s="228">
        <v>8.9</v>
      </c>
      <c r="AB75" s="228">
        <v>-3.1</v>
      </c>
      <c r="AC75" s="229">
        <v>2.3999999999999998E-3</v>
      </c>
      <c r="AD75" s="228">
        <v>5.8</v>
      </c>
      <c r="AE75" s="228">
        <v>8.9</v>
      </c>
      <c r="AF75" s="228">
        <v>-3.1</v>
      </c>
      <c r="AG75" s="229">
        <v>2.3999999999999998E-3</v>
      </c>
      <c r="AH75" s="228">
        <v>19.399999999999999</v>
      </c>
      <c r="AI75" s="228">
        <v>23.1</v>
      </c>
      <c r="AJ75" s="228">
        <v>-3.7</v>
      </c>
      <c r="AK75" s="229">
        <v>8.0000000000000002E-3</v>
      </c>
      <c r="AL75" s="228">
        <v>33.1</v>
      </c>
      <c r="AM75" s="228">
        <v>53.8</v>
      </c>
      <c r="AN75" s="228">
        <v>-20.7</v>
      </c>
      <c r="AO75" s="229">
        <v>1.3599999999999999E-2</v>
      </c>
      <c r="AP75" s="231">
        <v>2449.94</v>
      </c>
      <c r="AQ75" s="231">
        <v>2462.41</v>
      </c>
      <c r="AR75" s="228">
        <v>0</v>
      </c>
      <c r="AS75" s="228">
        <v>214</v>
      </c>
      <c r="AT75" s="228">
        <v>262</v>
      </c>
      <c r="AU75" s="228">
        <v>-48</v>
      </c>
      <c r="AV75" s="229">
        <v>-0.1822</v>
      </c>
      <c r="AW75" s="228">
        <v>202</v>
      </c>
      <c r="AX75" s="228">
        <v>242</v>
      </c>
      <c r="AY75" s="228">
        <v>-40</v>
      </c>
      <c r="AZ75" s="229">
        <v>-0.16669999999999999</v>
      </c>
      <c r="BA75" s="228">
        <v>11</v>
      </c>
      <c r="BB75" s="228">
        <v>19</v>
      </c>
      <c r="BC75" s="228">
        <v>-7</v>
      </c>
      <c r="BD75" s="229">
        <v>-0.39689999999999998</v>
      </c>
      <c r="BE75" s="228">
        <v>1</v>
      </c>
      <c r="BF75" s="228">
        <v>1</v>
      </c>
      <c r="BG75" s="228">
        <v>0</v>
      </c>
      <c r="BH75" s="229">
        <v>0.22220000000000001</v>
      </c>
      <c r="BI75" s="228">
        <v>292</v>
      </c>
      <c r="BJ75" s="228">
        <v>356</v>
      </c>
      <c r="BK75" s="228">
        <v>-64</v>
      </c>
      <c r="BL75" s="229">
        <v>-0.1794</v>
      </c>
      <c r="BM75" s="228">
        <v>157</v>
      </c>
      <c r="BN75" s="228">
        <v>170</v>
      </c>
      <c r="BO75" s="228">
        <v>-14</v>
      </c>
      <c r="BP75" s="229">
        <v>-8.0299999999999996E-2</v>
      </c>
      <c r="BQ75" s="228">
        <v>663</v>
      </c>
      <c r="BR75" s="228">
        <v>788</v>
      </c>
      <c r="BS75" s="228">
        <v>-125</v>
      </c>
      <c r="BT75" s="229">
        <v>-0.15890000000000001</v>
      </c>
      <c r="BU75" s="230">
        <v>1023659</v>
      </c>
      <c r="BV75" s="230">
        <v>1480256</v>
      </c>
      <c r="BW75" s="230">
        <v>-456597</v>
      </c>
      <c r="BX75" s="229">
        <v>-0.3085</v>
      </c>
      <c r="BY75" s="230">
        <v>1378</v>
      </c>
      <c r="BZ75" s="230">
        <v>1378</v>
      </c>
      <c r="CA75" s="228">
        <v>0</v>
      </c>
      <c r="CB75" s="229">
        <v>1E-4</v>
      </c>
      <c r="CC75" s="230">
        <v>1349</v>
      </c>
      <c r="CD75" s="230">
        <v>1351</v>
      </c>
      <c r="CE75" s="228">
        <v>-2</v>
      </c>
      <c r="CF75" s="229">
        <v>-1.6000000000000001E-3</v>
      </c>
      <c r="CG75" s="228">
        <v>27</v>
      </c>
      <c r="CH75" s="228">
        <v>25</v>
      </c>
      <c r="CI75" s="228">
        <v>2</v>
      </c>
      <c r="CJ75" s="229">
        <v>7.6899999999999996E-2</v>
      </c>
      <c r="CK75" s="228">
        <v>2</v>
      </c>
      <c r="CL75" s="228">
        <v>2</v>
      </c>
      <c r="CM75" s="228">
        <v>0</v>
      </c>
      <c r="CN75" s="229">
        <v>0.14810000000000001</v>
      </c>
      <c r="CO75" s="228">
        <v>394</v>
      </c>
      <c r="CP75" s="228">
        <v>364</v>
      </c>
      <c r="CQ75" s="228">
        <v>30</v>
      </c>
      <c r="CR75" s="229">
        <v>8.2699999999999996E-2</v>
      </c>
      <c r="CS75" s="228">
        <v>253</v>
      </c>
      <c r="CT75" s="228">
        <v>249</v>
      </c>
      <c r="CU75" s="228">
        <v>4</v>
      </c>
      <c r="CV75" s="229">
        <v>1.5299999999999999E-2</v>
      </c>
      <c r="CW75" s="230">
        <v>2024</v>
      </c>
      <c r="CX75" s="230">
        <v>1990</v>
      </c>
      <c r="CY75" s="228">
        <v>34</v>
      </c>
      <c r="CZ75" s="229">
        <v>1.7100000000000001E-2</v>
      </c>
      <c r="DA75" s="228">
        <v>36.01</v>
      </c>
      <c r="DB75" s="228">
        <v>35.32</v>
      </c>
      <c r="DC75" s="228">
        <v>0.69</v>
      </c>
      <c r="DD75" s="228">
        <v>0.69</v>
      </c>
      <c r="DE75" s="228">
        <v>34.68</v>
      </c>
      <c r="DF75" s="228">
        <v>34.75</v>
      </c>
      <c r="DG75" s="228">
        <v>1.33</v>
      </c>
      <c r="DH75" s="228">
        <v>-7.0000000000000007E-2</v>
      </c>
      <c r="DI75" s="228">
        <v>35.229999999999997</v>
      </c>
      <c r="DJ75" s="228">
        <v>34.67</v>
      </c>
      <c r="DK75" s="228">
        <v>0.56000000000000005</v>
      </c>
      <c r="DL75" s="228">
        <v>0.56000000000000005</v>
      </c>
      <c r="DM75" s="228">
        <v>37.450000000000003</v>
      </c>
      <c r="DN75" s="228">
        <v>36.68</v>
      </c>
      <c r="DO75" s="228">
        <v>0.77</v>
      </c>
      <c r="DP75" s="228">
        <v>0.77</v>
      </c>
      <c r="DQ75" s="228">
        <v>0.64</v>
      </c>
      <c r="DR75" s="228">
        <v>0.68</v>
      </c>
      <c r="DS75" s="228">
        <v>-0.04</v>
      </c>
      <c r="DT75" s="229">
        <v>-5.8799999999999998E-2</v>
      </c>
      <c r="DU75" s="231">
        <v>2700</v>
      </c>
      <c r="DV75" s="231">
        <v>2360</v>
      </c>
      <c r="DW75" s="228">
        <v>0.54</v>
      </c>
      <c r="DX75" s="228">
        <v>0.48</v>
      </c>
      <c r="DY75" s="228">
        <v>0.06</v>
      </c>
      <c r="DZ75" s="229">
        <v>0.125</v>
      </c>
      <c r="EA75" s="229">
        <v>2.0899999999999998E-2</v>
      </c>
      <c r="EB75" s="230">
        <v>109500</v>
      </c>
      <c r="EC75" s="229">
        <v>5.5999999999999999E-3</v>
      </c>
      <c r="ED75" s="229">
        <v>2.0899999999999998E-2</v>
      </c>
      <c r="EE75" s="228">
        <v>12.47</v>
      </c>
      <c r="EF75" s="229">
        <v>5.1000000000000004E-3</v>
      </c>
      <c r="EG75" s="230">
        <v>641428</v>
      </c>
      <c r="EH75" s="230">
        <v>942187</v>
      </c>
      <c r="EI75" s="229">
        <v>-0.31919999999999998</v>
      </c>
      <c r="EJ75" s="229">
        <v>0.62660000000000005</v>
      </c>
      <c r="EK75" s="228">
        <v>315.14</v>
      </c>
      <c r="EL75" s="228">
        <v>156.46</v>
      </c>
      <c r="EM75" s="228">
        <v>215.49</v>
      </c>
      <c r="EN75" s="228">
        <v>43.2</v>
      </c>
      <c r="EO75" s="228">
        <v>687.08</v>
      </c>
      <c r="EP75" s="228">
        <v>827.36</v>
      </c>
      <c r="EQ75" s="228">
        <v>-140.28</v>
      </c>
      <c r="ER75" s="229">
        <v>-0.16950000000000001</v>
      </c>
      <c r="ES75" s="228">
        <v>437.76</v>
      </c>
      <c r="ET75" s="228">
        <v>260.72000000000003</v>
      </c>
      <c r="EU75" s="231">
        <v>1377.78</v>
      </c>
      <c r="EV75" s="231">
        <v>30592324</v>
      </c>
      <c r="EW75" s="231">
        <v>2076.2600000000002</v>
      </c>
      <c r="EX75" s="231">
        <v>2052.8000000000002</v>
      </c>
      <c r="EY75" s="228">
        <v>23.46</v>
      </c>
      <c r="EZ75" s="229">
        <v>1.14E-2</v>
      </c>
      <c r="FA75" s="229">
        <v>0.2717</v>
      </c>
      <c r="FB75" s="227" t="s">
        <v>567</v>
      </c>
      <c r="FC75">
        <f t="shared" si="1"/>
        <v>29</v>
      </c>
    </row>
    <row r="76" spans="1:159" ht="17.25" hidden="1" thickBot="1" x14ac:dyDescent="0.3">
      <c r="A76" s="226">
        <v>46093</v>
      </c>
      <c r="B76" s="227" t="s">
        <v>172</v>
      </c>
      <c r="C76" s="227" t="s">
        <v>224</v>
      </c>
      <c r="D76" s="228">
        <v>550</v>
      </c>
      <c r="E76" s="228">
        <v>18</v>
      </c>
      <c r="F76" s="228">
        <v>835.3</v>
      </c>
      <c r="G76" s="228">
        <v>837.95</v>
      </c>
      <c r="H76" s="228">
        <v>-2.65</v>
      </c>
      <c r="I76" s="229">
        <v>-3.2000000000000002E-3</v>
      </c>
      <c r="J76" s="228">
        <v>832.75</v>
      </c>
      <c r="K76" s="228">
        <v>833.95</v>
      </c>
      <c r="L76" s="228">
        <v>-1.2</v>
      </c>
      <c r="M76" s="229">
        <v>-1.4E-3</v>
      </c>
      <c r="N76" s="228">
        <v>835.3</v>
      </c>
      <c r="O76" s="228">
        <v>837.95</v>
      </c>
      <c r="P76" s="228">
        <v>-2.65</v>
      </c>
      <c r="Q76" s="229">
        <v>-3.2000000000000002E-3</v>
      </c>
      <c r="R76" s="228">
        <v>840.6</v>
      </c>
      <c r="S76" s="228">
        <v>843.3</v>
      </c>
      <c r="T76" s="228">
        <v>-2.7</v>
      </c>
      <c r="U76" s="229">
        <v>-3.2000000000000002E-3</v>
      </c>
      <c r="V76" s="228">
        <v>840.9</v>
      </c>
      <c r="W76" s="228">
        <v>843.9</v>
      </c>
      <c r="X76" s="228">
        <v>-3</v>
      </c>
      <c r="Y76" s="229">
        <v>-3.5999999999999999E-3</v>
      </c>
      <c r="Z76" s="228">
        <v>2.5499999999999998</v>
      </c>
      <c r="AA76" s="228">
        <v>4</v>
      </c>
      <c r="AB76" s="228">
        <v>-1.45</v>
      </c>
      <c r="AC76" s="229">
        <v>3.0999999999999999E-3</v>
      </c>
      <c r="AD76" s="228">
        <v>2.5499999999999998</v>
      </c>
      <c r="AE76" s="228">
        <v>4</v>
      </c>
      <c r="AF76" s="228">
        <v>-1.45</v>
      </c>
      <c r="AG76" s="229">
        <v>3.0999999999999999E-3</v>
      </c>
      <c r="AH76" s="228">
        <v>7.85</v>
      </c>
      <c r="AI76" s="228">
        <v>9.35</v>
      </c>
      <c r="AJ76" s="228">
        <v>-1.5</v>
      </c>
      <c r="AK76" s="229">
        <v>9.4000000000000004E-3</v>
      </c>
      <c r="AL76" s="228">
        <v>8.15</v>
      </c>
      <c r="AM76" s="228">
        <v>9.9499999999999993</v>
      </c>
      <c r="AN76" s="228">
        <v>-1.8</v>
      </c>
      <c r="AO76" s="229">
        <v>9.7999999999999997E-3</v>
      </c>
      <c r="AP76" s="228">
        <v>835.59</v>
      </c>
      <c r="AQ76" s="228">
        <v>841.48</v>
      </c>
      <c r="AR76" s="228">
        <v>0</v>
      </c>
      <c r="AS76" s="230">
        <v>2416</v>
      </c>
      <c r="AT76" s="230">
        <v>2484</v>
      </c>
      <c r="AU76" s="228">
        <v>-69</v>
      </c>
      <c r="AV76" s="229">
        <v>-2.76E-2</v>
      </c>
      <c r="AW76" s="230">
        <v>2147</v>
      </c>
      <c r="AX76" s="230">
        <v>2038</v>
      </c>
      <c r="AY76" s="228">
        <v>109</v>
      </c>
      <c r="AZ76" s="229">
        <v>5.33E-2</v>
      </c>
      <c r="BA76" s="228">
        <v>246</v>
      </c>
      <c r="BB76" s="228">
        <v>397</v>
      </c>
      <c r="BC76" s="228">
        <v>-151</v>
      </c>
      <c r="BD76" s="229">
        <v>-0.38069999999999998</v>
      </c>
      <c r="BE76" s="228">
        <v>23</v>
      </c>
      <c r="BF76" s="228">
        <v>48</v>
      </c>
      <c r="BG76" s="228">
        <v>-26</v>
      </c>
      <c r="BH76" s="229">
        <v>-0.53359999999999996</v>
      </c>
      <c r="BI76" s="230">
        <v>5044</v>
      </c>
      <c r="BJ76" s="230">
        <v>7780</v>
      </c>
      <c r="BK76" s="230">
        <v>-2736</v>
      </c>
      <c r="BL76" s="229">
        <v>-0.35160000000000002</v>
      </c>
      <c r="BM76" s="230">
        <v>2882</v>
      </c>
      <c r="BN76" s="230">
        <v>3862</v>
      </c>
      <c r="BO76" s="228">
        <v>-980</v>
      </c>
      <c r="BP76" s="229">
        <v>-0.25380000000000003</v>
      </c>
      <c r="BQ76" s="230">
        <v>10342</v>
      </c>
      <c r="BR76" s="230">
        <v>14127</v>
      </c>
      <c r="BS76" s="230">
        <v>-3785</v>
      </c>
      <c r="BT76" s="229">
        <v>-0.26790000000000003</v>
      </c>
      <c r="BU76" s="230">
        <v>48611393</v>
      </c>
      <c r="BV76" s="230">
        <v>43388954</v>
      </c>
      <c r="BW76" s="230">
        <v>5222439</v>
      </c>
      <c r="BX76" s="229">
        <v>0.12039999999999999</v>
      </c>
      <c r="BY76" s="230">
        <v>27165</v>
      </c>
      <c r="BZ76" s="230">
        <v>27730</v>
      </c>
      <c r="CA76" s="228">
        <v>-565</v>
      </c>
      <c r="CB76" s="229">
        <v>-2.0400000000000001E-2</v>
      </c>
      <c r="CC76" s="230">
        <v>23722</v>
      </c>
      <c r="CD76" s="230">
        <v>24437</v>
      </c>
      <c r="CE76" s="228">
        <v>-715</v>
      </c>
      <c r="CF76" s="229">
        <v>-2.93E-2</v>
      </c>
      <c r="CG76" s="230">
        <v>3310</v>
      </c>
      <c r="CH76" s="230">
        <v>3166</v>
      </c>
      <c r="CI76" s="228">
        <v>145</v>
      </c>
      <c r="CJ76" s="229">
        <v>4.5699999999999998E-2</v>
      </c>
      <c r="CK76" s="228">
        <v>133</v>
      </c>
      <c r="CL76" s="228">
        <v>128</v>
      </c>
      <c r="CM76" s="228">
        <v>6</v>
      </c>
      <c r="CN76" s="229">
        <v>4.4699999999999997E-2</v>
      </c>
      <c r="CO76" s="230">
        <v>7329</v>
      </c>
      <c r="CP76" s="230">
        <v>7218</v>
      </c>
      <c r="CQ76" s="228">
        <v>111</v>
      </c>
      <c r="CR76" s="229">
        <v>1.54E-2</v>
      </c>
      <c r="CS76" s="230">
        <v>3795</v>
      </c>
      <c r="CT76" s="230">
        <v>3679</v>
      </c>
      <c r="CU76" s="228">
        <v>116</v>
      </c>
      <c r="CV76" s="229">
        <v>3.1399999999999997E-2</v>
      </c>
      <c r="CW76" s="230">
        <v>38289</v>
      </c>
      <c r="CX76" s="230">
        <v>38628</v>
      </c>
      <c r="CY76" s="228">
        <v>-338</v>
      </c>
      <c r="CZ76" s="229">
        <v>-8.8000000000000005E-3</v>
      </c>
      <c r="DA76" s="228">
        <v>25.32</v>
      </c>
      <c r="DB76" s="228">
        <v>25.07</v>
      </c>
      <c r="DC76" s="228">
        <v>0.25</v>
      </c>
      <c r="DD76" s="228">
        <v>0.25</v>
      </c>
      <c r="DE76" s="228">
        <v>20.03</v>
      </c>
      <c r="DF76" s="228">
        <v>20.079999999999998</v>
      </c>
      <c r="DG76" s="228">
        <v>5.29</v>
      </c>
      <c r="DH76" s="228">
        <v>-0.05</v>
      </c>
      <c r="DI76" s="228">
        <v>24.94</v>
      </c>
      <c r="DJ76" s="228">
        <v>24.69</v>
      </c>
      <c r="DK76" s="228">
        <v>0.25</v>
      </c>
      <c r="DL76" s="228">
        <v>0.25</v>
      </c>
      <c r="DM76" s="228">
        <v>25.99</v>
      </c>
      <c r="DN76" s="228">
        <v>25.83</v>
      </c>
      <c r="DO76" s="228">
        <v>0.16</v>
      </c>
      <c r="DP76" s="228">
        <v>0.16</v>
      </c>
      <c r="DQ76" s="228">
        <v>0.52</v>
      </c>
      <c r="DR76" s="228">
        <v>0.51</v>
      </c>
      <c r="DS76" s="228">
        <v>0.01</v>
      </c>
      <c r="DT76" s="229">
        <v>1.9599999999999999E-2</v>
      </c>
      <c r="DU76" s="228">
        <v>900</v>
      </c>
      <c r="DV76" s="228">
        <v>800</v>
      </c>
      <c r="DW76" s="228">
        <v>0.56999999999999995</v>
      </c>
      <c r="DX76" s="228">
        <v>0.5</v>
      </c>
      <c r="DY76" s="228">
        <v>7.0000000000000007E-2</v>
      </c>
      <c r="DZ76" s="229">
        <v>0.14000000000000001</v>
      </c>
      <c r="EA76" s="229">
        <v>0.1268</v>
      </c>
      <c r="EB76" s="230">
        <v>39425650</v>
      </c>
      <c r="EC76" s="229">
        <v>6.3E-3</v>
      </c>
      <c r="ED76" s="229">
        <v>0.1268</v>
      </c>
      <c r="EE76" s="228">
        <v>5.89</v>
      </c>
      <c r="EF76" s="229">
        <v>7.0000000000000001E-3</v>
      </c>
      <c r="EG76" s="230">
        <v>28868523</v>
      </c>
      <c r="EH76" s="230">
        <v>27382379</v>
      </c>
      <c r="EI76" s="229">
        <v>5.4300000000000001E-2</v>
      </c>
      <c r="EJ76" s="229">
        <v>0.59389999999999998</v>
      </c>
      <c r="EK76" s="231">
        <v>5286.98</v>
      </c>
      <c r="EL76" s="231">
        <v>2882.45</v>
      </c>
      <c r="EM76" s="231">
        <v>2418.29</v>
      </c>
      <c r="EN76" s="228">
        <v>673.08</v>
      </c>
      <c r="EO76" s="231">
        <v>10587.72</v>
      </c>
      <c r="EP76" s="231">
        <v>14606.44</v>
      </c>
      <c r="EQ76" s="231">
        <v>-4018.72</v>
      </c>
      <c r="ER76" s="229">
        <v>-0.27510000000000001</v>
      </c>
      <c r="ES76" s="231">
        <v>7926.42</v>
      </c>
      <c r="ET76" s="231">
        <v>3947.77</v>
      </c>
      <c r="EU76" s="231">
        <v>27187.29</v>
      </c>
      <c r="EV76" s="231">
        <v>1330694977</v>
      </c>
      <c r="EW76" s="231">
        <v>39061.480000000003</v>
      </c>
      <c r="EX76" s="231">
        <v>39498.720000000001</v>
      </c>
      <c r="EY76" s="228">
        <v>-437.24</v>
      </c>
      <c r="EZ76" s="229">
        <v>-1.11E-2</v>
      </c>
      <c r="FA76" s="229">
        <v>0.34449999999999997</v>
      </c>
      <c r="FB76" s="227" t="s">
        <v>568</v>
      </c>
      <c r="FC76">
        <f t="shared" si="1"/>
        <v>3443</v>
      </c>
    </row>
    <row r="77" spans="1:159" ht="17.25" hidden="1" thickBot="1" x14ac:dyDescent="0.3">
      <c r="A77" s="226">
        <v>46093</v>
      </c>
      <c r="B77" s="227" t="s">
        <v>175</v>
      </c>
      <c r="C77" s="227" t="s">
        <v>225</v>
      </c>
      <c r="D77" s="228">
        <v>1100</v>
      </c>
      <c r="E77" s="228">
        <v>18</v>
      </c>
      <c r="F77" s="228">
        <v>646.6</v>
      </c>
      <c r="G77" s="228">
        <v>649</v>
      </c>
      <c r="H77" s="228">
        <v>-2.4</v>
      </c>
      <c r="I77" s="229">
        <v>-3.7000000000000002E-3</v>
      </c>
      <c r="J77" s="228">
        <v>645.70000000000005</v>
      </c>
      <c r="K77" s="228">
        <v>647.9</v>
      </c>
      <c r="L77" s="228">
        <v>-2.2000000000000002</v>
      </c>
      <c r="M77" s="229">
        <v>-3.3999999999999998E-3</v>
      </c>
      <c r="N77" s="228">
        <v>646.6</v>
      </c>
      <c r="O77" s="228">
        <v>649</v>
      </c>
      <c r="P77" s="228">
        <v>-2.4</v>
      </c>
      <c r="Q77" s="229">
        <v>-3.7000000000000002E-3</v>
      </c>
      <c r="R77" s="228">
        <v>650.65</v>
      </c>
      <c r="S77" s="228">
        <v>653.4</v>
      </c>
      <c r="T77" s="228">
        <v>-2.75</v>
      </c>
      <c r="U77" s="229">
        <v>-4.1999999999999997E-3</v>
      </c>
      <c r="V77" s="228">
        <v>653.65</v>
      </c>
      <c r="W77" s="228">
        <v>656.5</v>
      </c>
      <c r="X77" s="228">
        <v>-2.85</v>
      </c>
      <c r="Y77" s="229">
        <v>-4.3E-3</v>
      </c>
      <c r="Z77" s="228">
        <v>0.9</v>
      </c>
      <c r="AA77" s="228">
        <v>1.1000000000000001</v>
      </c>
      <c r="AB77" s="228">
        <v>-0.2</v>
      </c>
      <c r="AC77" s="229">
        <v>1.4E-3</v>
      </c>
      <c r="AD77" s="228">
        <v>0.9</v>
      </c>
      <c r="AE77" s="228">
        <v>1.1000000000000001</v>
      </c>
      <c r="AF77" s="228">
        <v>-0.2</v>
      </c>
      <c r="AG77" s="229">
        <v>1.4E-3</v>
      </c>
      <c r="AH77" s="228">
        <v>4.95</v>
      </c>
      <c r="AI77" s="228">
        <v>5.5</v>
      </c>
      <c r="AJ77" s="228">
        <v>-0.55000000000000004</v>
      </c>
      <c r="AK77" s="229">
        <v>7.7000000000000002E-3</v>
      </c>
      <c r="AL77" s="228">
        <v>7.95</v>
      </c>
      <c r="AM77" s="228">
        <v>8.6</v>
      </c>
      <c r="AN77" s="228">
        <v>-0.65</v>
      </c>
      <c r="AO77" s="229">
        <v>1.23E-2</v>
      </c>
      <c r="AP77" s="228">
        <v>644.67999999999995</v>
      </c>
      <c r="AQ77" s="228">
        <v>647.62</v>
      </c>
      <c r="AR77" s="228">
        <v>0</v>
      </c>
      <c r="AS77" s="228">
        <v>156</v>
      </c>
      <c r="AT77" s="228">
        <v>200</v>
      </c>
      <c r="AU77" s="228">
        <v>-43</v>
      </c>
      <c r="AV77" s="229">
        <v>-0.216</v>
      </c>
      <c r="AW77" s="228">
        <v>141</v>
      </c>
      <c r="AX77" s="228">
        <v>188</v>
      </c>
      <c r="AY77" s="228">
        <v>-47</v>
      </c>
      <c r="AZ77" s="229">
        <v>-0.25240000000000001</v>
      </c>
      <c r="BA77" s="228">
        <v>15</v>
      </c>
      <c r="BB77" s="228">
        <v>11</v>
      </c>
      <c r="BC77" s="228">
        <v>5</v>
      </c>
      <c r="BD77" s="229">
        <v>0.4662</v>
      </c>
      <c r="BE77" s="228">
        <v>0</v>
      </c>
      <c r="BF77" s="228">
        <v>1</v>
      </c>
      <c r="BG77" s="228">
        <v>-1</v>
      </c>
      <c r="BH77" s="229">
        <v>-0.5333</v>
      </c>
      <c r="BI77" s="228">
        <v>496</v>
      </c>
      <c r="BJ77" s="228">
        <v>434</v>
      </c>
      <c r="BK77" s="228">
        <v>63</v>
      </c>
      <c r="BL77" s="229">
        <v>0.14449999999999999</v>
      </c>
      <c r="BM77" s="228">
        <v>205</v>
      </c>
      <c r="BN77" s="228">
        <v>216</v>
      </c>
      <c r="BO77" s="228">
        <v>-11</v>
      </c>
      <c r="BP77" s="229">
        <v>-5.2999999999999999E-2</v>
      </c>
      <c r="BQ77" s="228">
        <v>857</v>
      </c>
      <c r="BR77" s="228">
        <v>849</v>
      </c>
      <c r="BS77" s="228">
        <v>8</v>
      </c>
      <c r="BT77" s="229">
        <v>9.4999999999999998E-3</v>
      </c>
      <c r="BU77" s="230">
        <v>3371249</v>
      </c>
      <c r="BV77" s="230">
        <v>1362040</v>
      </c>
      <c r="BW77" s="230">
        <v>2009209</v>
      </c>
      <c r="BX77" s="229">
        <v>1.4751000000000001</v>
      </c>
      <c r="BY77" s="230">
        <v>2443</v>
      </c>
      <c r="BZ77" s="230">
        <v>2446</v>
      </c>
      <c r="CA77" s="228">
        <v>-2</v>
      </c>
      <c r="CB77" s="229">
        <v>-1E-3</v>
      </c>
      <c r="CC77" s="230">
        <v>2358</v>
      </c>
      <c r="CD77" s="230">
        <v>2366</v>
      </c>
      <c r="CE77" s="228">
        <v>-8</v>
      </c>
      <c r="CF77" s="229">
        <v>-3.5000000000000001E-3</v>
      </c>
      <c r="CG77" s="228">
        <v>79</v>
      </c>
      <c r="CH77" s="228">
        <v>74</v>
      </c>
      <c r="CI77" s="228">
        <v>6</v>
      </c>
      <c r="CJ77" s="229">
        <v>7.5399999999999995E-2</v>
      </c>
      <c r="CK77" s="228">
        <v>6</v>
      </c>
      <c r="CL77" s="228">
        <v>6</v>
      </c>
      <c r="CM77" s="228">
        <v>0</v>
      </c>
      <c r="CN77" s="229">
        <v>2.3800000000000002E-2</v>
      </c>
      <c r="CO77" s="228">
        <v>926</v>
      </c>
      <c r="CP77" s="228">
        <v>945</v>
      </c>
      <c r="CQ77" s="228">
        <v>-19</v>
      </c>
      <c r="CR77" s="229">
        <v>-0.02</v>
      </c>
      <c r="CS77" s="228">
        <v>363</v>
      </c>
      <c r="CT77" s="228">
        <v>348</v>
      </c>
      <c r="CU77" s="228">
        <v>15</v>
      </c>
      <c r="CV77" s="229">
        <v>4.3499999999999997E-2</v>
      </c>
      <c r="CW77" s="230">
        <v>3732</v>
      </c>
      <c r="CX77" s="230">
        <v>3738</v>
      </c>
      <c r="CY77" s="228">
        <v>-6</v>
      </c>
      <c r="CZ77" s="229">
        <v>-1.6999999999999999E-3</v>
      </c>
      <c r="DA77" s="228">
        <v>27.47</v>
      </c>
      <c r="DB77" s="228">
        <v>27.18</v>
      </c>
      <c r="DC77" s="228">
        <v>0.28999999999999998</v>
      </c>
      <c r="DD77" s="228">
        <v>0.28999999999999998</v>
      </c>
      <c r="DE77" s="228">
        <v>25.05</v>
      </c>
      <c r="DF77" s="228">
        <v>25.11</v>
      </c>
      <c r="DG77" s="228">
        <v>2.42</v>
      </c>
      <c r="DH77" s="228">
        <v>-0.06</v>
      </c>
      <c r="DI77" s="228">
        <v>27.44</v>
      </c>
      <c r="DJ77" s="228">
        <v>27.41</v>
      </c>
      <c r="DK77" s="228">
        <v>0.03</v>
      </c>
      <c r="DL77" s="228">
        <v>0.03</v>
      </c>
      <c r="DM77" s="228">
        <v>27.55</v>
      </c>
      <c r="DN77" s="228">
        <v>26.72</v>
      </c>
      <c r="DO77" s="228">
        <v>0.83</v>
      </c>
      <c r="DP77" s="228">
        <v>0.83</v>
      </c>
      <c r="DQ77" s="228">
        <v>0.39</v>
      </c>
      <c r="DR77" s="228">
        <v>0.37</v>
      </c>
      <c r="DS77" s="228">
        <v>0.02</v>
      </c>
      <c r="DT77" s="229">
        <v>5.4100000000000002E-2</v>
      </c>
      <c r="DU77" s="228">
        <v>750</v>
      </c>
      <c r="DV77" s="228">
        <v>620</v>
      </c>
      <c r="DW77" s="228">
        <v>0.41</v>
      </c>
      <c r="DX77" s="228">
        <v>0.5</v>
      </c>
      <c r="DY77" s="228">
        <v>-0.09</v>
      </c>
      <c r="DZ77" s="229">
        <v>-0.18</v>
      </c>
      <c r="EA77" s="229">
        <v>3.49E-2</v>
      </c>
      <c r="EB77" s="230">
        <v>1229800</v>
      </c>
      <c r="EC77" s="229">
        <v>6.3E-3</v>
      </c>
      <c r="ED77" s="229">
        <v>3.49E-2</v>
      </c>
      <c r="EE77" s="228">
        <v>2.94</v>
      </c>
      <c r="EF77" s="229">
        <v>4.5999999999999999E-3</v>
      </c>
      <c r="EG77" s="230">
        <v>2080781</v>
      </c>
      <c r="EH77" s="230">
        <v>825145</v>
      </c>
      <c r="EI77" s="229">
        <v>1.5217000000000001</v>
      </c>
      <c r="EJ77" s="229">
        <v>0.61719999999999997</v>
      </c>
      <c r="EK77" s="228">
        <v>536.21</v>
      </c>
      <c r="EL77" s="228">
        <v>204.63</v>
      </c>
      <c r="EM77" s="228">
        <v>156.09</v>
      </c>
      <c r="EN77" s="228">
        <v>38.22</v>
      </c>
      <c r="EO77" s="228">
        <v>896.93</v>
      </c>
      <c r="EP77" s="228">
        <v>887.27</v>
      </c>
      <c r="EQ77" s="228">
        <v>9.66</v>
      </c>
      <c r="ER77" s="229">
        <v>1.09E-2</v>
      </c>
      <c r="ES77" s="231">
        <v>1059.56</v>
      </c>
      <c r="ET77" s="228">
        <v>378.74</v>
      </c>
      <c r="EU77" s="231">
        <v>2443.9499999999998</v>
      </c>
      <c r="EV77" s="231">
        <v>128849634</v>
      </c>
      <c r="EW77" s="231">
        <v>3882.25</v>
      </c>
      <c r="EX77" s="231">
        <v>3905.11</v>
      </c>
      <c r="EY77" s="228">
        <v>-22.86</v>
      </c>
      <c r="EZ77" s="229">
        <v>-5.8999999999999999E-3</v>
      </c>
      <c r="FA77" s="229">
        <v>0.44800000000000001</v>
      </c>
      <c r="FB77" s="227" t="s">
        <v>568</v>
      </c>
      <c r="FC77">
        <f t="shared" si="1"/>
        <v>85</v>
      </c>
    </row>
    <row r="78" spans="1:159" ht="17.25" hidden="1" thickBot="1" x14ac:dyDescent="0.3">
      <c r="A78" s="226">
        <v>46093</v>
      </c>
      <c r="B78" s="227" t="s">
        <v>162</v>
      </c>
      <c r="C78" s="227" t="s">
        <v>226</v>
      </c>
      <c r="D78" s="228">
        <v>150</v>
      </c>
      <c r="E78" s="228">
        <v>18</v>
      </c>
      <c r="F78" s="231">
        <v>5403</v>
      </c>
      <c r="G78" s="231">
        <v>5582.5</v>
      </c>
      <c r="H78" s="228">
        <v>-179.5</v>
      </c>
      <c r="I78" s="229">
        <v>-3.2199999999999999E-2</v>
      </c>
      <c r="J78" s="231">
        <v>5394.5</v>
      </c>
      <c r="K78" s="231">
        <v>5575</v>
      </c>
      <c r="L78" s="228">
        <v>-180.5</v>
      </c>
      <c r="M78" s="229">
        <v>-3.2399999999999998E-2</v>
      </c>
      <c r="N78" s="231">
        <v>5403</v>
      </c>
      <c r="O78" s="231">
        <v>5582.5</v>
      </c>
      <c r="P78" s="228">
        <v>-179.5</v>
      </c>
      <c r="Q78" s="229">
        <v>-3.2199999999999999E-2</v>
      </c>
      <c r="R78" s="231">
        <v>5431.5</v>
      </c>
      <c r="S78" s="231">
        <v>5609</v>
      </c>
      <c r="T78" s="228">
        <v>-177.5</v>
      </c>
      <c r="U78" s="229">
        <v>-3.1600000000000003E-2</v>
      </c>
      <c r="V78" s="231">
        <v>5454</v>
      </c>
      <c r="W78" s="231">
        <v>5636.5</v>
      </c>
      <c r="X78" s="228">
        <v>-182.5</v>
      </c>
      <c r="Y78" s="229">
        <v>-3.2399999999999998E-2</v>
      </c>
      <c r="Z78" s="228">
        <v>8.5</v>
      </c>
      <c r="AA78" s="228">
        <v>7.5</v>
      </c>
      <c r="AB78" s="228">
        <v>1</v>
      </c>
      <c r="AC78" s="229">
        <v>1.6000000000000001E-3</v>
      </c>
      <c r="AD78" s="228">
        <v>8.5</v>
      </c>
      <c r="AE78" s="228">
        <v>7.5</v>
      </c>
      <c r="AF78" s="228">
        <v>1</v>
      </c>
      <c r="AG78" s="229">
        <v>1.6000000000000001E-3</v>
      </c>
      <c r="AH78" s="228">
        <v>37</v>
      </c>
      <c r="AI78" s="228">
        <v>34</v>
      </c>
      <c r="AJ78" s="228">
        <v>3</v>
      </c>
      <c r="AK78" s="229">
        <v>6.8999999999999999E-3</v>
      </c>
      <c r="AL78" s="228">
        <v>59.5</v>
      </c>
      <c r="AM78" s="228">
        <v>61.5</v>
      </c>
      <c r="AN78" s="228">
        <v>-2</v>
      </c>
      <c r="AO78" s="229">
        <v>1.0999999999999999E-2</v>
      </c>
      <c r="AP78" s="231">
        <v>5442.13</v>
      </c>
      <c r="AQ78" s="231">
        <v>5471.04</v>
      </c>
      <c r="AR78" s="228">
        <v>0</v>
      </c>
      <c r="AS78" s="228">
        <v>454</v>
      </c>
      <c r="AT78" s="228">
        <v>417</v>
      </c>
      <c r="AU78" s="228">
        <v>37</v>
      </c>
      <c r="AV78" s="229">
        <v>8.7999999999999995E-2</v>
      </c>
      <c r="AW78" s="228">
        <v>433</v>
      </c>
      <c r="AX78" s="228">
        <v>395</v>
      </c>
      <c r="AY78" s="228">
        <v>38</v>
      </c>
      <c r="AZ78" s="229">
        <v>9.6100000000000005E-2</v>
      </c>
      <c r="BA78" s="228">
        <v>17</v>
      </c>
      <c r="BB78" s="228">
        <v>19</v>
      </c>
      <c r="BC78" s="228">
        <v>-2</v>
      </c>
      <c r="BD78" s="229">
        <v>-0.10920000000000001</v>
      </c>
      <c r="BE78" s="228">
        <v>3</v>
      </c>
      <c r="BF78" s="228">
        <v>2</v>
      </c>
      <c r="BG78" s="228">
        <v>1</v>
      </c>
      <c r="BH78" s="229">
        <v>0.35709999999999997</v>
      </c>
      <c r="BI78" s="230">
        <v>1695</v>
      </c>
      <c r="BJ78" s="230">
        <v>1911</v>
      </c>
      <c r="BK78" s="228">
        <v>-215</v>
      </c>
      <c r="BL78" s="229">
        <v>-0.1128</v>
      </c>
      <c r="BM78" s="230">
        <v>1102</v>
      </c>
      <c r="BN78" s="230">
        <v>1088</v>
      </c>
      <c r="BO78" s="228">
        <v>14</v>
      </c>
      <c r="BP78" s="229">
        <v>1.29E-2</v>
      </c>
      <c r="BQ78" s="230">
        <v>3251</v>
      </c>
      <c r="BR78" s="230">
        <v>3416</v>
      </c>
      <c r="BS78" s="228">
        <v>-165</v>
      </c>
      <c r="BT78" s="229">
        <v>-4.82E-2</v>
      </c>
      <c r="BU78" s="230">
        <v>508250</v>
      </c>
      <c r="BV78" s="230">
        <v>529877</v>
      </c>
      <c r="BW78" s="230">
        <v>-21627</v>
      </c>
      <c r="BX78" s="229">
        <v>-4.0800000000000003E-2</v>
      </c>
      <c r="BY78" s="230">
        <v>1952</v>
      </c>
      <c r="BZ78" s="230">
        <v>1953</v>
      </c>
      <c r="CA78" s="228">
        <v>-1</v>
      </c>
      <c r="CB78" s="229">
        <v>-5.0000000000000001E-4</v>
      </c>
      <c r="CC78" s="230">
        <v>1908</v>
      </c>
      <c r="CD78" s="230">
        <v>1914</v>
      </c>
      <c r="CE78" s="228">
        <v>-5</v>
      </c>
      <c r="CF78" s="229">
        <v>-2.8E-3</v>
      </c>
      <c r="CG78" s="228">
        <v>40</v>
      </c>
      <c r="CH78" s="228">
        <v>36</v>
      </c>
      <c r="CI78" s="228">
        <v>3</v>
      </c>
      <c r="CJ78" s="229">
        <v>9.3799999999999994E-2</v>
      </c>
      <c r="CK78" s="228">
        <v>4</v>
      </c>
      <c r="CL78" s="228">
        <v>3</v>
      </c>
      <c r="CM78" s="228">
        <v>1</v>
      </c>
      <c r="CN78" s="229">
        <v>0.31430000000000002</v>
      </c>
      <c r="CO78" s="230">
        <v>1049</v>
      </c>
      <c r="CP78" s="228">
        <v>934</v>
      </c>
      <c r="CQ78" s="228">
        <v>115</v>
      </c>
      <c r="CR78" s="229">
        <v>0.1232</v>
      </c>
      <c r="CS78" s="228">
        <v>696</v>
      </c>
      <c r="CT78" s="228">
        <v>668</v>
      </c>
      <c r="CU78" s="228">
        <v>28</v>
      </c>
      <c r="CV78" s="229">
        <v>4.1700000000000001E-2</v>
      </c>
      <c r="CW78" s="230">
        <v>3697</v>
      </c>
      <c r="CX78" s="230">
        <v>3555</v>
      </c>
      <c r="CY78" s="228">
        <v>142</v>
      </c>
      <c r="CZ78" s="229">
        <v>3.9899999999999998E-2</v>
      </c>
      <c r="DA78" s="228">
        <v>35.520000000000003</v>
      </c>
      <c r="DB78" s="228">
        <v>32.78</v>
      </c>
      <c r="DC78" s="228">
        <v>2.74</v>
      </c>
      <c r="DD78" s="228">
        <v>2.74</v>
      </c>
      <c r="DE78" s="228">
        <v>31.15</v>
      </c>
      <c r="DF78" s="228">
        <v>30.91</v>
      </c>
      <c r="DG78" s="228">
        <v>4.37</v>
      </c>
      <c r="DH78" s="228">
        <v>0.24</v>
      </c>
      <c r="DI78" s="228">
        <v>34.49</v>
      </c>
      <c r="DJ78" s="228">
        <v>31.9</v>
      </c>
      <c r="DK78" s="228">
        <v>2.59</v>
      </c>
      <c r="DL78" s="228">
        <v>2.59</v>
      </c>
      <c r="DM78" s="228">
        <v>37.1</v>
      </c>
      <c r="DN78" s="228">
        <v>34.33</v>
      </c>
      <c r="DO78" s="228">
        <v>2.77</v>
      </c>
      <c r="DP78" s="228">
        <v>2.77</v>
      </c>
      <c r="DQ78" s="228">
        <v>0.66</v>
      </c>
      <c r="DR78" s="228">
        <v>0.72</v>
      </c>
      <c r="DS78" s="228">
        <v>-0.06</v>
      </c>
      <c r="DT78" s="229">
        <v>-8.3299999999999999E-2</v>
      </c>
      <c r="DU78" s="231">
        <v>5800</v>
      </c>
      <c r="DV78" s="231">
        <v>5400</v>
      </c>
      <c r="DW78" s="228">
        <v>0.65</v>
      </c>
      <c r="DX78" s="228">
        <v>0.56999999999999995</v>
      </c>
      <c r="DY78" s="228">
        <v>0.08</v>
      </c>
      <c r="DZ78" s="229">
        <v>0.1404</v>
      </c>
      <c r="EA78" s="229">
        <v>2.23E-2</v>
      </c>
      <c r="EB78" s="230">
        <v>72450</v>
      </c>
      <c r="EC78" s="229">
        <v>5.3E-3</v>
      </c>
      <c r="ED78" s="229">
        <v>2.23E-2</v>
      </c>
      <c r="EE78" s="228">
        <v>28.91</v>
      </c>
      <c r="EF78" s="229">
        <v>5.3E-3</v>
      </c>
      <c r="EG78" s="230">
        <v>246415</v>
      </c>
      <c r="EH78" s="230">
        <v>230166</v>
      </c>
      <c r="EI78" s="229">
        <v>7.0599999999999996E-2</v>
      </c>
      <c r="EJ78" s="229">
        <v>0.48480000000000001</v>
      </c>
      <c r="EK78" s="231">
        <v>1846.84</v>
      </c>
      <c r="EL78" s="231">
        <v>1086.07</v>
      </c>
      <c r="EM78" s="228">
        <v>457.1</v>
      </c>
      <c r="EN78" s="228">
        <v>49.65</v>
      </c>
      <c r="EO78" s="231">
        <v>3390.01</v>
      </c>
      <c r="EP78" s="231">
        <v>3684.56</v>
      </c>
      <c r="EQ78" s="228">
        <v>-294.54000000000002</v>
      </c>
      <c r="ER78" s="229">
        <v>-7.9899999999999999E-2</v>
      </c>
      <c r="ES78" s="231">
        <v>1153.9100000000001</v>
      </c>
      <c r="ET78" s="228">
        <v>683.23</v>
      </c>
      <c r="EU78" s="231">
        <v>1952.05</v>
      </c>
      <c r="EV78" s="231">
        <v>19586951</v>
      </c>
      <c r="EW78" s="231">
        <v>3789.18</v>
      </c>
      <c r="EX78" s="231">
        <v>3708.11</v>
      </c>
      <c r="EY78" s="228">
        <v>81.069999999999993</v>
      </c>
      <c r="EZ78" s="229">
        <v>2.1899999999999999E-2</v>
      </c>
      <c r="FA78" s="229">
        <v>0.3493</v>
      </c>
      <c r="FB78" s="227" t="s">
        <v>568</v>
      </c>
      <c r="FC78">
        <f t="shared" si="1"/>
        <v>44</v>
      </c>
    </row>
    <row r="79" spans="1:159" ht="17.25" hidden="1" thickBot="1" x14ac:dyDescent="0.3">
      <c r="A79" s="226">
        <v>46093</v>
      </c>
      <c r="B79" s="227" t="s">
        <v>227</v>
      </c>
      <c r="C79" s="227" t="s">
        <v>228</v>
      </c>
      <c r="D79" s="228">
        <v>700</v>
      </c>
      <c r="E79" s="228">
        <v>18</v>
      </c>
      <c r="F79" s="228">
        <v>970.9</v>
      </c>
      <c r="G79" s="228">
        <v>960.1</v>
      </c>
      <c r="H79" s="228">
        <v>10.8</v>
      </c>
      <c r="I79" s="229">
        <v>1.12E-2</v>
      </c>
      <c r="J79" s="228">
        <v>969.75</v>
      </c>
      <c r="K79" s="228">
        <v>959.1</v>
      </c>
      <c r="L79" s="228">
        <v>10.65</v>
      </c>
      <c r="M79" s="229">
        <v>1.11E-2</v>
      </c>
      <c r="N79" s="228">
        <v>970.9</v>
      </c>
      <c r="O79" s="228">
        <v>960.1</v>
      </c>
      <c r="P79" s="228">
        <v>10.8</v>
      </c>
      <c r="Q79" s="229">
        <v>1.12E-2</v>
      </c>
      <c r="R79" s="228">
        <v>976.7</v>
      </c>
      <c r="S79" s="228">
        <v>965.85</v>
      </c>
      <c r="T79" s="228">
        <v>10.85</v>
      </c>
      <c r="U79" s="229">
        <v>1.12E-2</v>
      </c>
      <c r="V79" s="228">
        <v>981.35</v>
      </c>
      <c r="W79" s="228">
        <v>970.3</v>
      </c>
      <c r="X79" s="228">
        <v>11.05</v>
      </c>
      <c r="Y79" s="229">
        <v>1.14E-2</v>
      </c>
      <c r="Z79" s="228">
        <v>1.1499999999999999</v>
      </c>
      <c r="AA79" s="228">
        <v>1</v>
      </c>
      <c r="AB79" s="228">
        <v>0.15</v>
      </c>
      <c r="AC79" s="229">
        <v>1.1999999999999999E-3</v>
      </c>
      <c r="AD79" s="228">
        <v>1.1499999999999999</v>
      </c>
      <c r="AE79" s="228">
        <v>1</v>
      </c>
      <c r="AF79" s="228">
        <v>0.15</v>
      </c>
      <c r="AG79" s="229">
        <v>1.1999999999999999E-3</v>
      </c>
      <c r="AH79" s="228">
        <v>6.95</v>
      </c>
      <c r="AI79" s="228">
        <v>6.75</v>
      </c>
      <c r="AJ79" s="228">
        <v>0.2</v>
      </c>
      <c r="AK79" s="229">
        <v>7.1999999999999998E-3</v>
      </c>
      <c r="AL79" s="228">
        <v>11.6</v>
      </c>
      <c r="AM79" s="228">
        <v>11.2</v>
      </c>
      <c r="AN79" s="228">
        <v>0.4</v>
      </c>
      <c r="AO79" s="229">
        <v>1.2E-2</v>
      </c>
      <c r="AP79" s="228">
        <v>957.18</v>
      </c>
      <c r="AQ79" s="228">
        <v>961.5</v>
      </c>
      <c r="AR79" s="228">
        <v>0</v>
      </c>
      <c r="AS79" s="228">
        <v>803</v>
      </c>
      <c r="AT79" s="228">
        <v>780</v>
      </c>
      <c r="AU79" s="228">
        <v>22</v>
      </c>
      <c r="AV79" s="229">
        <v>2.8799999999999999E-2</v>
      </c>
      <c r="AW79" s="228">
        <v>759</v>
      </c>
      <c r="AX79" s="228">
        <v>736</v>
      </c>
      <c r="AY79" s="228">
        <v>23</v>
      </c>
      <c r="AZ79" s="229">
        <v>3.1699999999999999E-2</v>
      </c>
      <c r="BA79" s="228">
        <v>38</v>
      </c>
      <c r="BB79" s="228">
        <v>40</v>
      </c>
      <c r="BC79" s="228">
        <v>-2</v>
      </c>
      <c r="BD79" s="229">
        <v>-5.2999999999999999E-2</v>
      </c>
      <c r="BE79" s="228">
        <v>6</v>
      </c>
      <c r="BF79" s="228">
        <v>5</v>
      </c>
      <c r="BG79" s="228">
        <v>1</v>
      </c>
      <c r="BH79" s="229">
        <v>0.28360000000000002</v>
      </c>
      <c r="BI79" s="230">
        <v>1950</v>
      </c>
      <c r="BJ79" s="230">
        <v>2151</v>
      </c>
      <c r="BK79" s="228">
        <v>-200</v>
      </c>
      <c r="BL79" s="229">
        <v>-9.3100000000000002E-2</v>
      </c>
      <c r="BM79" s="230">
        <v>1251</v>
      </c>
      <c r="BN79" s="230">
        <v>1437</v>
      </c>
      <c r="BO79" s="228">
        <v>-186</v>
      </c>
      <c r="BP79" s="229">
        <v>-0.12939999999999999</v>
      </c>
      <c r="BQ79" s="230">
        <v>4004</v>
      </c>
      <c r="BR79" s="230">
        <v>4368</v>
      </c>
      <c r="BS79" s="228">
        <v>-364</v>
      </c>
      <c r="BT79" s="229">
        <v>-8.3299999999999999E-2</v>
      </c>
      <c r="BU79" s="230">
        <v>4800428</v>
      </c>
      <c r="BV79" s="230">
        <v>4631956</v>
      </c>
      <c r="BW79" s="230">
        <v>168472</v>
      </c>
      <c r="BX79" s="229">
        <v>3.6400000000000002E-2</v>
      </c>
      <c r="BY79" s="230">
        <v>4374</v>
      </c>
      <c r="BZ79" s="230">
        <v>4337</v>
      </c>
      <c r="CA79" s="228">
        <v>37</v>
      </c>
      <c r="CB79" s="229">
        <v>8.5000000000000006E-3</v>
      </c>
      <c r="CC79" s="230">
        <v>3642</v>
      </c>
      <c r="CD79" s="230">
        <v>3615</v>
      </c>
      <c r="CE79" s="228">
        <v>27</v>
      </c>
      <c r="CF79" s="229">
        <v>7.4999999999999997E-3</v>
      </c>
      <c r="CG79" s="228">
        <v>398</v>
      </c>
      <c r="CH79" s="228">
        <v>388</v>
      </c>
      <c r="CI79" s="228">
        <v>9</v>
      </c>
      <c r="CJ79" s="229">
        <v>2.4299999999999999E-2</v>
      </c>
      <c r="CK79" s="228">
        <v>335</v>
      </c>
      <c r="CL79" s="228">
        <v>334</v>
      </c>
      <c r="CM79" s="228">
        <v>0</v>
      </c>
      <c r="CN79" s="229">
        <v>4.0000000000000002E-4</v>
      </c>
      <c r="CO79" s="230">
        <v>1027</v>
      </c>
      <c r="CP79" s="230">
        <v>1076</v>
      </c>
      <c r="CQ79" s="228">
        <v>-49</v>
      </c>
      <c r="CR79" s="229">
        <v>-4.5600000000000002E-2</v>
      </c>
      <c r="CS79" s="228">
        <v>925</v>
      </c>
      <c r="CT79" s="228">
        <v>934</v>
      </c>
      <c r="CU79" s="228">
        <v>-8</v>
      </c>
      <c r="CV79" s="229">
        <v>-8.9999999999999993E-3</v>
      </c>
      <c r="CW79" s="230">
        <v>6327</v>
      </c>
      <c r="CX79" s="230">
        <v>6348</v>
      </c>
      <c r="CY79" s="228">
        <v>-21</v>
      </c>
      <c r="CZ79" s="229">
        <v>-3.3E-3</v>
      </c>
      <c r="DA79" s="228">
        <v>36.6</v>
      </c>
      <c r="DB79" s="228">
        <v>35.93</v>
      </c>
      <c r="DC79" s="228">
        <v>0.67</v>
      </c>
      <c r="DD79" s="228">
        <v>0.67</v>
      </c>
      <c r="DE79" s="228">
        <v>34.96</v>
      </c>
      <c r="DF79" s="228">
        <v>35.020000000000003</v>
      </c>
      <c r="DG79" s="228">
        <v>1.64</v>
      </c>
      <c r="DH79" s="228">
        <v>-0.06</v>
      </c>
      <c r="DI79" s="228">
        <v>35.85</v>
      </c>
      <c r="DJ79" s="228">
        <v>35.54</v>
      </c>
      <c r="DK79" s="228">
        <v>0.31</v>
      </c>
      <c r="DL79" s="228">
        <v>0.31</v>
      </c>
      <c r="DM79" s="228">
        <v>37.770000000000003</v>
      </c>
      <c r="DN79" s="228">
        <v>36.5</v>
      </c>
      <c r="DO79" s="228">
        <v>1.27</v>
      </c>
      <c r="DP79" s="228">
        <v>1.27</v>
      </c>
      <c r="DQ79" s="228">
        <v>0.9</v>
      </c>
      <c r="DR79" s="228">
        <v>0.87</v>
      </c>
      <c r="DS79" s="228">
        <v>0.03</v>
      </c>
      <c r="DT79" s="229">
        <v>3.4500000000000003E-2</v>
      </c>
      <c r="DU79" s="231">
        <v>1000</v>
      </c>
      <c r="DV79" s="228">
        <v>900</v>
      </c>
      <c r="DW79" s="228">
        <v>0.64</v>
      </c>
      <c r="DX79" s="228">
        <v>0.67</v>
      </c>
      <c r="DY79" s="228">
        <v>-0.03</v>
      </c>
      <c r="DZ79" s="229">
        <v>-4.48E-2</v>
      </c>
      <c r="EA79" s="229">
        <v>0.16739999999999999</v>
      </c>
      <c r="EB79" s="230">
        <v>7442400</v>
      </c>
      <c r="EC79" s="229">
        <v>6.0000000000000001E-3</v>
      </c>
      <c r="ED79" s="229">
        <v>0.16739999999999999</v>
      </c>
      <c r="EE79" s="228">
        <v>4.32</v>
      </c>
      <c r="EF79" s="229">
        <v>4.4999999999999997E-3</v>
      </c>
      <c r="EG79" s="230">
        <v>2030539</v>
      </c>
      <c r="EH79" s="230">
        <v>2181489</v>
      </c>
      <c r="EI79" s="229">
        <v>-6.9199999999999998E-2</v>
      </c>
      <c r="EJ79" s="229">
        <v>0.42299999999999999</v>
      </c>
      <c r="EK79" s="231">
        <v>2025.85</v>
      </c>
      <c r="EL79" s="231">
        <v>1208.6500000000001</v>
      </c>
      <c r="EM79" s="228">
        <v>791.72</v>
      </c>
      <c r="EN79" s="228">
        <v>184</v>
      </c>
      <c r="EO79" s="231">
        <v>4026.23</v>
      </c>
      <c r="EP79" s="231">
        <v>4431.21</v>
      </c>
      <c r="EQ79" s="228">
        <v>-404.99</v>
      </c>
      <c r="ER79" s="229">
        <v>-9.1399999999999995E-2</v>
      </c>
      <c r="ES79" s="231">
        <v>1059.42</v>
      </c>
      <c r="ET79" s="228">
        <v>855.14</v>
      </c>
      <c r="EU79" s="231">
        <v>4379.9399999999996</v>
      </c>
      <c r="EV79" s="231">
        <v>212176873</v>
      </c>
      <c r="EW79" s="231">
        <v>6294.5</v>
      </c>
      <c r="EX79" s="231">
        <v>6268.05</v>
      </c>
      <c r="EY79" s="228">
        <v>26.45</v>
      </c>
      <c r="EZ79" s="229">
        <v>4.1999999999999997E-3</v>
      </c>
      <c r="FA79" s="229">
        <v>0.30709999999999998</v>
      </c>
      <c r="FB79" s="227" t="s">
        <v>555</v>
      </c>
      <c r="FC79">
        <f t="shared" si="1"/>
        <v>732</v>
      </c>
    </row>
    <row r="80" spans="1:159" ht="17.25" hidden="1" thickBot="1" x14ac:dyDescent="0.3">
      <c r="A80" s="226">
        <v>46093</v>
      </c>
      <c r="B80" s="227" t="s">
        <v>193</v>
      </c>
      <c r="C80" s="227" t="s">
        <v>229</v>
      </c>
      <c r="D80" s="228">
        <v>2025</v>
      </c>
      <c r="E80" s="228">
        <v>18</v>
      </c>
      <c r="F80" s="228">
        <v>382.95</v>
      </c>
      <c r="G80" s="228">
        <v>383.4</v>
      </c>
      <c r="H80" s="228">
        <v>-0.45</v>
      </c>
      <c r="I80" s="229">
        <v>-1.1999999999999999E-3</v>
      </c>
      <c r="J80" s="228">
        <v>384.35</v>
      </c>
      <c r="K80" s="228">
        <v>384.25</v>
      </c>
      <c r="L80" s="228">
        <v>0.1</v>
      </c>
      <c r="M80" s="229">
        <v>2.9999999999999997E-4</v>
      </c>
      <c r="N80" s="228">
        <v>382.95</v>
      </c>
      <c r="O80" s="228">
        <v>383.4</v>
      </c>
      <c r="P80" s="228">
        <v>-0.45</v>
      </c>
      <c r="Q80" s="229">
        <v>-1.1999999999999999E-3</v>
      </c>
      <c r="R80" s="228">
        <v>384.95</v>
      </c>
      <c r="S80" s="228">
        <v>385.75</v>
      </c>
      <c r="T80" s="228">
        <v>-0.8</v>
      </c>
      <c r="U80" s="229">
        <v>-2.0999999999999999E-3</v>
      </c>
      <c r="V80" s="228">
        <v>386.55</v>
      </c>
      <c r="W80" s="228">
        <v>387.65</v>
      </c>
      <c r="X80" s="228">
        <v>-1.1000000000000001</v>
      </c>
      <c r="Y80" s="229">
        <v>-2.8E-3</v>
      </c>
      <c r="Z80" s="228">
        <v>-1.4</v>
      </c>
      <c r="AA80" s="228">
        <v>-0.85</v>
      </c>
      <c r="AB80" s="228">
        <v>-0.55000000000000004</v>
      </c>
      <c r="AC80" s="229">
        <v>-3.5999999999999999E-3</v>
      </c>
      <c r="AD80" s="228">
        <v>-1.4</v>
      </c>
      <c r="AE80" s="228">
        <v>-0.85</v>
      </c>
      <c r="AF80" s="228">
        <v>-0.55000000000000004</v>
      </c>
      <c r="AG80" s="229">
        <v>-3.5999999999999999E-3</v>
      </c>
      <c r="AH80" s="228">
        <v>0.6</v>
      </c>
      <c r="AI80" s="228">
        <v>1.5</v>
      </c>
      <c r="AJ80" s="228">
        <v>-0.9</v>
      </c>
      <c r="AK80" s="229">
        <v>1.6000000000000001E-3</v>
      </c>
      <c r="AL80" s="228">
        <v>2.2000000000000002</v>
      </c>
      <c r="AM80" s="228">
        <v>3.4</v>
      </c>
      <c r="AN80" s="228">
        <v>-1.2</v>
      </c>
      <c r="AO80" s="229">
        <v>5.7000000000000002E-3</v>
      </c>
      <c r="AP80" s="228">
        <v>378.7</v>
      </c>
      <c r="AQ80" s="228">
        <v>380.55</v>
      </c>
      <c r="AR80" s="228">
        <v>0</v>
      </c>
      <c r="AS80" s="228">
        <v>741</v>
      </c>
      <c r="AT80" s="228">
        <v>737</v>
      </c>
      <c r="AU80" s="228">
        <v>4</v>
      </c>
      <c r="AV80" s="229">
        <v>6.0000000000000001E-3</v>
      </c>
      <c r="AW80" s="228">
        <v>655</v>
      </c>
      <c r="AX80" s="228">
        <v>493</v>
      </c>
      <c r="AY80" s="228">
        <v>162</v>
      </c>
      <c r="AZ80" s="229">
        <v>0.3286</v>
      </c>
      <c r="BA80" s="228">
        <v>68</v>
      </c>
      <c r="BB80" s="228">
        <v>137</v>
      </c>
      <c r="BC80" s="228">
        <v>-70</v>
      </c>
      <c r="BD80" s="229">
        <v>-0.50729999999999997</v>
      </c>
      <c r="BE80" s="228">
        <v>18</v>
      </c>
      <c r="BF80" s="228">
        <v>106</v>
      </c>
      <c r="BG80" s="228">
        <v>-88</v>
      </c>
      <c r="BH80" s="229">
        <v>-0.82889999999999997</v>
      </c>
      <c r="BI80" s="230">
        <v>1080</v>
      </c>
      <c r="BJ80" s="228">
        <v>679</v>
      </c>
      <c r="BK80" s="228">
        <v>401</v>
      </c>
      <c r="BL80" s="229">
        <v>0.59140000000000004</v>
      </c>
      <c r="BM80" s="228">
        <v>946</v>
      </c>
      <c r="BN80" s="228">
        <v>646</v>
      </c>
      <c r="BO80" s="228">
        <v>300</v>
      </c>
      <c r="BP80" s="229">
        <v>0.46410000000000001</v>
      </c>
      <c r="BQ80" s="230">
        <v>2767</v>
      </c>
      <c r="BR80" s="230">
        <v>2062</v>
      </c>
      <c r="BS80" s="228">
        <v>706</v>
      </c>
      <c r="BT80" s="229">
        <v>0.34229999999999999</v>
      </c>
      <c r="BU80" s="230">
        <v>8900913</v>
      </c>
      <c r="BV80" s="230">
        <v>8198781</v>
      </c>
      <c r="BW80" s="230">
        <v>702132</v>
      </c>
      <c r="BX80" s="229">
        <v>8.5599999999999996E-2</v>
      </c>
      <c r="BY80" s="230">
        <v>2128</v>
      </c>
      <c r="BZ80" s="230">
        <v>1984</v>
      </c>
      <c r="CA80" s="228">
        <v>145</v>
      </c>
      <c r="CB80" s="229">
        <v>7.2900000000000006E-2</v>
      </c>
      <c r="CC80" s="230">
        <v>1818</v>
      </c>
      <c r="CD80" s="230">
        <v>1700</v>
      </c>
      <c r="CE80" s="228">
        <v>118</v>
      </c>
      <c r="CF80" s="229">
        <v>6.9199999999999998E-2</v>
      </c>
      <c r="CG80" s="228">
        <v>202</v>
      </c>
      <c r="CH80" s="228">
        <v>175</v>
      </c>
      <c r="CI80" s="228">
        <v>27</v>
      </c>
      <c r="CJ80" s="229">
        <v>0.1535</v>
      </c>
      <c r="CK80" s="228">
        <v>108</v>
      </c>
      <c r="CL80" s="228">
        <v>108</v>
      </c>
      <c r="CM80" s="228">
        <v>0</v>
      </c>
      <c r="CN80" s="229">
        <v>0</v>
      </c>
      <c r="CO80" s="228">
        <v>698</v>
      </c>
      <c r="CP80" s="228">
        <v>681</v>
      </c>
      <c r="CQ80" s="228">
        <v>17</v>
      </c>
      <c r="CR80" s="229">
        <v>2.53E-2</v>
      </c>
      <c r="CS80" s="228">
        <v>649</v>
      </c>
      <c r="CT80" s="228">
        <v>649</v>
      </c>
      <c r="CU80" s="228">
        <v>0</v>
      </c>
      <c r="CV80" s="229">
        <v>-5.9999999999999995E-4</v>
      </c>
      <c r="CW80" s="230">
        <v>3476</v>
      </c>
      <c r="CX80" s="230">
        <v>3314</v>
      </c>
      <c r="CY80" s="228">
        <v>161</v>
      </c>
      <c r="CZ80" s="229">
        <v>4.87E-2</v>
      </c>
      <c r="DA80" s="228">
        <v>47.25</v>
      </c>
      <c r="DB80" s="228">
        <v>47.01</v>
      </c>
      <c r="DC80" s="228">
        <v>0.24</v>
      </c>
      <c r="DD80" s="228">
        <v>0.24</v>
      </c>
      <c r="DE80" s="228">
        <v>40.020000000000003</v>
      </c>
      <c r="DF80" s="228">
        <v>40.119999999999997</v>
      </c>
      <c r="DG80" s="228">
        <v>7.23</v>
      </c>
      <c r="DH80" s="228">
        <v>-0.1</v>
      </c>
      <c r="DI80" s="228">
        <v>45.28</v>
      </c>
      <c r="DJ80" s="228">
        <v>45.48</v>
      </c>
      <c r="DK80" s="228">
        <v>-0.2</v>
      </c>
      <c r="DL80" s="228">
        <v>-0.2</v>
      </c>
      <c r="DM80" s="228">
        <v>49.51</v>
      </c>
      <c r="DN80" s="228">
        <v>48.63</v>
      </c>
      <c r="DO80" s="228">
        <v>0.88</v>
      </c>
      <c r="DP80" s="228">
        <v>0.88</v>
      </c>
      <c r="DQ80" s="228">
        <v>0.93</v>
      </c>
      <c r="DR80" s="228">
        <v>0.95</v>
      </c>
      <c r="DS80" s="228">
        <v>-0.02</v>
      </c>
      <c r="DT80" s="229">
        <v>-2.1100000000000001E-2</v>
      </c>
      <c r="DU80" s="228">
        <v>400</v>
      </c>
      <c r="DV80" s="228">
        <v>400</v>
      </c>
      <c r="DW80" s="228">
        <v>0.88</v>
      </c>
      <c r="DX80" s="228">
        <v>0.95</v>
      </c>
      <c r="DY80" s="228">
        <v>-7.0000000000000007E-2</v>
      </c>
      <c r="DZ80" s="229">
        <v>-7.3700000000000002E-2</v>
      </c>
      <c r="EA80" s="229">
        <v>0.1459</v>
      </c>
      <c r="EB80" s="230">
        <v>7405425</v>
      </c>
      <c r="EC80" s="229">
        <v>5.1999999999999998E-3</v>
      </c>
      <c r="ED80" s="229">
        <v>0.1459</v>
      </c>
      <c r="EE80" s="228">
        <v>1.85</v>
      </c>
      <c r="EF80" s="229">
        <v>4.8999999999999998E-3</v>
      </c>
      <c r="EG80" s="230">
        <v>3680189</v>
      </c>
      <c r="EH80" s="230">
        <v>4290751</v>
      </c>
      <c r="EI80" s="229">
        <v>-0.14230000000000001</v>
      </c>
      <c r="EJ80" s="229">
        <v>0.41349999999999998</v>
      </c>
      <c r="EK80" s="231">
        <v>1160.5</v>
      </c>
      <c r="EL80" s="228">
        <v>939.39</v>
      </c>
      <c r="EM80" s="228">
        <v>733.33</v>
      </c>
      <c r="EN80" s="228">
        <v>104.71</v>
      </c>
      <c r="EO80" s="231">
        <v>2833.22</v>
      </c>
      <c r="EP80" s="231">
        <v>2140.25</v>
      </c>
      <c r="EQ80" s="228">
        <v>692.97</v>
      </c>
      <c r="ER80" s="229">
        <v>0.32379999999999998</v>
      </c>
      <c r="ES80" s="228">
        <v>773.01</v>
      </c>
      <c r="ET80" s="228">
        <v>672.5</v>
      </c>
      <c r="EU80" s="231">
        <v>2130.2800000000002</v>
      </c>
      <c r="EV80" s="231">
        <v>143933168</v>
      </c>
      <c r="EW80" s="231">
        <v>3575.79</v>
      </c>
      <c r="EX80" s="231">
        <v>3420.32</v>
      </c>
      <c r="EY80" s="228">
        <v>155.47</v>
      </c>
      <c r="EZ80" s="229">
        <v>4.5499999999999999E-2</v>
      </c>
      <c r="FA80" s="229">
        <v>0.63049999999999995</v>
      </c>
      <c r="FB80" s="227" t="s">
        <v>567</v>
      </c>
      <c r="FC80">
        <f t="shared" si="1"/>
        <v>310</v>
      </c>
    </row>
    <row r="81" spans="1:159" ht="17.25" hidden="1" thickBot="1" x14ac:dyDescent="0.3">
      <c r="A81" s="226">
        <v>46093</v>
      </c>
      <c r="B81" s="227" t="s">
        <v>168</v>
      </c>
      <c r="C81" s="227" t="s">
        <v>230</v>
      </c>
      <c r="D81" s="228">
        <v>300</v>
      </c>
      <c r="E81" s="228">
        <v>18</v>
      </c>
      <c r="F81" s="231">
        <v>2139</v>
      </c>
      <c r="G81" s="231">
        <v>2168.8000000000002</v>
      </c>
      <c r="H81" s="228">
        <v>-29.8</v>
      </c>
      <c r="I81" s="229">
        <v>-1.37E-2</v>
      </c>
      <c r="J81" s="231">
        <v>2136.9</v>
      </c>
      <c r="K81" s="231">
        <v>2161.4</v>
      </c>
      <c r="L81" s="228">
        <v>-24.5</v>
      </c>
      <c r="M81" s="229">
        <v>-1.1299999999999999E-2</v>
      </c>
      <c r="N81" s="231">
        <v>2139</v>
      </c>
      <c r="O81" s="231">
        <v>2168.8000000000002</v>
      </c>
      <c r="P81" s="228">
        <v>-29.8</v>
      </c>
      <c r="Q81" s="229">
        <v>-1.37E-2</v>
      </c>
      <c r="R81" s="231">
        <v>2151.1999999999998</v>
      </c>
      <c r="S81" s="231">
        <v>2181.8000000000002</v>
      </c>
      <c r="T81" s="228">
        <v>-30.6</v>
      </c>
      <c r="U81" s="229">
        <v>-1.4E-2</v>
      </c>
      <c r="V81" s="231">
        <v>2162.1999999999998</v>
      </c>
      <c r="W81" s="231">
        <v>2193.6999999999998</v>
      </c>
      <c r="X81" s="228">
        <v>-31.5</v>
      </c>
      <c r="Y81" s="229">
        <v>-1.44E-2</v>
      </c>
      <c r="Z81" s="228">
        <v>2.1</v>
      </c>
      <c r="AA81" s="228">
        <v>7.4</v>
      </c>
      <c r="AB81" s="228">
        <v>-5.3</v>
      </c>
      <c r="AC81" s="229">
        <v>1E-3</v>
      </c>
      <c r="AD81" s="228">
        <v>2.1</v>
      </c>
      <c r="AE81" s="228">
        <v>7.4</v>
      </c>
      <c r="AF81" s="228">
        <v>-5.3</v>
      </c>
      <c r="AG81" s="229">
        <v>1E-3</v>
      </c>
      <c r="AH81" s="228">
        <v>14.3</v>
      </c>
      <c r="AI81" s="228">
        <v>20.399999999999999</v>
      </c>
      <c r="AJ81" s="228">
        <v>-6.1</v>
      </c>
      <c r="AK81" s="229">
        <v>6.7000000000000002E-3</v>
      </c>
      <c r="AL81" s="228">
        <v>25.3</v>
      </c>
      <c r="AM81" s="228">
        <v>32.299999999999997</v>
      </c>
      <c r="AN81" s="228">
        <v>-7</v>
      </c>
      <c r="AO81" s="229">
        <v>1.18E-2</v>
      </c>
      <c r="AP81" s="231">
        <v>2135.86</v>
      </c>
      <c r="AQ81" s="231">
        <v>2147.77</v>
      </c>
      <c r="AR81" s="228">
        <v>0</v>
      </c>
      <c r="AS81" s="228">
        <v>385</v>
      </c>
      <c r="AT81" s="228">
        <v>332</v>
      </c>
      <c r="AU81" s="228">
        <v>53</v>
      </c>
      <c r="AV81" s="229">
        <v>0.161</v>
      </c>
      <c r="AW81" s="228">
        <v>330</v>
      </c>
      <c r="AX81" s="228">
        <v>292</v>
      </c>
      <c r="AY81" s="228">
        <v>38</v>
      </c>
      <c r="AZ81" s="229">
        <v>0.12989999999999999</v>
      </c>
      <c r="BA81" s="228">
        <v>48</v>
      </c>
      <c r="BB81" s="228">
        <v>35</v>
      </c>
      <c r="BC81" s="228">
        <v>13</v>
      </c>
      <c r="BD81" s="229">
        <v>0.36699999999999999</v>
      </c>
      <c r="BE81" s="228">
        <v>7</v>
      </c>
      <c r="BF81" s="228">
        <v>5</v>
      </c>
      <c r="BG81" s="228">
        <v>3</v>
      </c>
      <c r="BH81" s="229">
        <v>0.55410000000000004</v>
      </c>
      <c r="BI81" s="230">
        <v>2250</v>
      </c>
      <c r="BJ81" s="230">
        <v>1271</v>
      </c>
      <c r="BK81" s="228">
        <v>979</v>
      </c>
      <c r="BL81" s="229">
        <v>0.76970000000000005</v>
      </c>
      <c r="BM81" s="230">
        <v>1006</v>
      </c>
      <c r="BN81" s="228">
        <v>681</v>
      </c>
      <c r="BO81" s="228">
        <v>325</v>
      </c>
      <c r="BP81" s="229">
        <v>0.47670000000000001</v>
      </c>
      <c r="BQ81" s="230">
        <v>3641</v>
      </c>
      <c r="BR81" s="230">
        <v>2285</v>
      </c>
      <c r="BS81" s="230">
        <v>1357</v>
      </c>
      <c r="BT81" s="229">
        <v>0.59389999999999998</v>
      </c>
      <c r="BU81" s="230">
        <v>1868074</v>
      </c>
      <c r="BV81" s="230">
        <v>1362256</v>
      </c>
      <c r="BW81" s="230">
        <v>505818</v>
      </c>
      <c r="BX81" s="229">
        <v>0.37130000000000002</v>
      </c>
      <c r="BY81" s="230">
        <v>3488</v>
      </c>
      <c r="BZ81" s="230">
        <v>3487</v>
      </c>
      <c r="CA81" s="228">
        <v>1</v>
      </c>
      <c r="CB81" s="229">
        <v>2.9999999999999997E-4</v>
      </c>
      <c r="CC81" s="230">
        <v>3366</v>
      </c>
      <c r="CD81" s="230">
        <v>3378</v>
      </c>
      <c r="CE81" s="228">
        <v>-13</v>
      </c>
      <c r="CF81" s="229">
        <v>-3.8E-3</v>
      </c>
      <c r="CG81" s="228">
        <v>105</v>
      </c>
      <c r="CH81" s="228">
        <v>94</v>
      </c>
      <c r="CI81" s="228">
        <v>12</v>
      </c>
      <c r="CJ81" s="229">
        <v>0.124</v>
      </c>
      <c r="CK81" s="228">
        <v>17</v>
      </c>
      <c r="CL81" s="228">
        <v>15</v>
      </c>
      <c r="CM81" s="228">
        <v>2</v>
      </c>
      <c r="CN81" s="229">
        <v>0.16089999999999999</v>
      </c>
      <c r="CO81" s="230">
        <v>1481</v>
      </c>
      <c r="CP81" s="230">
        <v>1269</v>
      </c>
      <c r="CQ81" s="228">
        <v>211</v>
      </c>
      <c r="CR81" s="229">
        <v>0.16650000000000001</v>
      </c>
      <c r="CS81" s="228">
        <v>700</v>
      </c>
      <c r="CT81" s="228">
        <v>664</v>
      </c>
      <c r="CU81" s="228">
        <v>36</v>
      </c>
      <c r="CV81" s="229">
        <v>5.3699999999999998E-2</v>
      </c>
      <c r="CW81" s="230">
        <v>5668</v>
      </c>
      <c r="CX81" s="230">
        <v>5420</v>
      </c>
      <c r="CY81" s="228">
        <v>248</v>
      </c>
      <c r="CZ81" s="229">
        <v>4.58E-2</v>
      </c>
      <c r="DA81" s="228">
        <v>22.97</v>
      </c>
      <c r="DB81" s="228">
        <v>23.35</v>
      </c>
      <c r="DC81" s="228">
        <v>-0.38</v>
      </c>
      <c r="DD81" s="228">
        <v>-0.38</v>
      </c>
      <c r="DE81" s="228">
        <v>22.7</v>
      </c>
      <c r="DF81" s="228">
        <v>22.71</v>
      </c>
      <c r="DG81" s="228">
        <v>0.27</v>
      </c>
      <c r="DH81" s="228">
        <v>-0.01</v>
      </c>
      <c r="DI81" s="228">
        <v>22.65</v>
      </c>
      <c r="DJ81" s="228">
        <v>23.22</v>
      </c>
      <c r="DK81" s="228">
        <v>-0.56999999999999995</v>
      </c>
      <c r="DL81" s="228">
        <v>-0.56999999999999995</v>
      </c>
      <c r="DM81" s="228">
        <v>23.68</v>
      </c>
      <c r="DN81" s="228">
        <v>23.57</v>
      </c>
      <c r="DO81" s="228">
        <v>0.11</v>
      </c>
      <c r="DP81" s="228">
        <v>0.11</v>
      </c>
      <c r="DQ81" s="228">
        <v>0.47</v>
      </c>
      <c r="DR81" s="228">
        <v>0.52</v>
      </c>
      <c r="DS81" s="228">
        <v>-0.05</v>
      </c>
      <c r="DT81" s="229">
        <v>-9.6199999999999994E-2</v>
      </c>
      <c r="DU81" s="231">
        <v>2400</v>
      </c>
      <c r="DV81" s="231">
        <v>2000</v>
      </c>
      <c r="DW81" s="228">
        <v>0.45</v>
      </c>
      <c r="DX81" s="228">
        <v>0.54</v>
      </c>
      <c r="DY81" s="228">
        <v>-0.09</v>
      </c>
      <c r="DZ81" s="229">
        <v>-0.16669999999999999</v>
      </c>
      <c r="EA81" s="229">
        <v>3.5099999999999999E-2</v>
      </c>
      <c r="EB81" s="230">
        <v>507000</v>
      </c>
      <c r="EC81" s="229">
        <v>5.7000000000000002E-3</v>
      </c>
      <c r="ED81" s="229">
        <v>3.5099999999999999E-2</v>
      </c>
      <c r="EE81" s="228">
        <v>11.91</v>
      </c>
      <c r="EF81" s="229">
        <v>5.5999999999999999E-3</v>
      </c>
      <c r="EG81" s="230">
        <v>1041373</v>
      </c>
      <c r="EH81" s="230">
        <v>800973</v>
      </c>
      <c r="EI81" s="229">
        <v>0.30009999999999998</v>
      </c>
      <c r="EJ81" s="229">
        <v>0.5575</v>
      </c>
      <c r="EK81" s="231">
        <v>2371.21</v>
      </c>
      <c r="EL81" s="231">
        <v>1005.65</v>
      </c>
      <c r="EM81" s="228">
        <v>384.74</v>
      </c>
      <c r="EN81" s="228">
        <v>59.81</v>
      </c>
      <c r="EO81" s="231">
        <v>3761.59</v>
      </c>
      <c r="EP81" s="231">
        <v>2386.19</v>
      </c>
      <c r="EQ81" s="231">
        <v>1375.41</v>
      </c>
      <c r="ER81" s="229">
        <v>0.57640000000000002</v>
      </c>
      <c r="ES81" s="231">
        <v>1618.48</v>
      </c>
      <c r="ET81" s="228">
        <v>720.63</v>
      </c>
      <c r="EU81" s="231">
        <v>3488.81</v>
      </c>
      <c r="EV81" s="231">
        <v>91001773</v>
      </c>
      <c r="EW81" s="231">
        <v>5827.92</v>
      </c>
      <c r="EX81" s="231">
        <v>5631.75</v>
      </c>
      <c r="EY81" s="228">
        <v>196.17</v>
      </c>
      <c r="EZ81" s="229">
        <v>3.4799999999999998E-2</v>
      </c>
      <c r="FA81" s="229">
        <v>0.29120000000000001</v>
      </c>
      <c r="FB81" s="227" t="s">
        <v>567</v>
      </c>
      <c r="FC81">
        <f t="shared" si="1"/>
        <v>122</v>
      </c>
    </row>
    <row r="82" spans="1:159" ht="17.25" hidden="1" thickBot="1" x14ac:dyDescent="0.3">
      <c r="A82" s="226">
        <v>46093</v>
      </c>
      <c r="B82" s="227" t="s">
        <v>227</v>
      </c>
      <c r="C82" s="227" t="s">
        <v>667</v>
      </c>
      <c r="D82" s="228">
        <v>1225</v>
      </c>
      <c r="E82" s="228">
        <v>18</v>
      </c>
      <c r="F82" s="228">
        <v>583.70000000000005</v>
      </c>
      <c r="G82" s="228">
        <v>588.54999999999995</v>
      </c>
      <c r="H82" s="228">
        <v>-4.8499999999999996</v>
      </c>
      <c r="I82" s="229">
        <v>-8.2000000000000007E-3</v>
      </c>
      <c r="J82" s="228">
        <v>583</v>
      </c>
      <c r="K82" s="228">
        <v>587.6</v>
      </c>
      <c r="L82" s="228">
        <v>-4.5999999999999996</v>
      </c>
      <c r="M82" s="229">
        <v>-7.7999999999999996E-3</v>
      </c>
      <c r="N82" s="228">
        <v>583.70000000000005</v>
      </c>
      <c r="O82" s="228">
        <v>588.54999999999995</v>
      </c>
      <c r="P82" s="228">
        <v>-4.8499999999999996</v>
      </c>
      <c r="Q82" s="229">
        <v>-8.2000000000000007E-3</v>
      </c>
      <c r="R82" s="228">
        <v>587.6</v>
      </c>
      <c r="S82" s="228">
        <v>592.29999999999995</v>
      </c>
      <c r="T82" s="228">
        <v>-4.7</v>
      </c>
      <c r="U82" s="229">
        <v>-7.9000000000000008E-3</v>
      </c>
      <c r="V82" s="228">
        <v>588.75</v>
      </c>
      <c r="W82" s="228">
        <v>594.25</v>
      </c>
      <c r="X82" s="228">
        <v>-5.5</v>
      </c>
      <c r="Y82" s="229">
        <v>-9.2999999999999992E-3</v>
      </c>
      <c r="Z82" s="228">
        <v>0.7</v>
      </c>
      <c r="AA82" s="228">
        <v>0.95</v>
      </c>
      <c r="AB82" s="228">
        <v>-0.25</v>
      </c>
      <c r="AC82" s="229">
        <v>1.1999999999999999E-3</v>
      </c>
      <c r="AD82" s="228">
        <v>0.7</v>
      </c>
      <c r="AE82" s="228">
        <v>0.95</v>
      </c>
      <c r="AF82" s="228">
        <v>-0.25</v>
      </c>
      <c r="AG82" s="229">
        <v>1.1999999999999999E-3</v>
      </c>
      <c r="AH82" s="228">
        <v>4.5999999999999996</v>
      </c>
      <c r="AI82" s="228">
        <v>4.7</v>
      </c>
      <c r="AJ82" s="228">
        <v>-0.1</v>
      </c>
      <c r="AK82" s="229">
        <v>7.9000000000000008E-3</v>
      </c>
      <c r="AL82" s="228">
        <v>5.75</v>
      </c>
      <c r="AM82" s="228">
        <v>6.65</v>
      </c>
      <c r="AN82" s="228">
        <v>-0.9</v>
      </c>
      <c r="AO82" s="229">
        <v>9.9000000000000008E-3</v>
      </c>
      <c r="AP82" s="228">
        <v>578.57000000000005</v>
      </c>
      <c r="AQ82" s="228">
        <v>578.79999999999995</v>
      </c>
      <c r="AR82" s="228">
        <v>0</v>
      </c>
      <c r="AS82" s="228">
        <v>354</v>
      </c>
      <c r="AT82" s="228">
        <v>470</v>
      </c>
      <c r="AU82" s="228">
        <v>-116</v>
      </c>
      <c r="AV82" s="229">
        <v>-0.246</v>
      </c>
      <c r="AW82" s="228">
        <v>285</v>
      </c>
      <c r="AX82" s="228">
        <v>433</v>
      </c>
      <c r="AY82" s="228">
        <v>-148</v>
      </c>
      <c r="AZ82" s="229">
        <v>-0.34129999999999999</v>
      </c>
      <c r="BA82" s="228">
        <v>62</v>
      </c>
      <c r="BB82" s="228">
        <v>35</v>
      </c>
      <c r="BC82" s="228">
        <v>26</v>
      </c>
      <c r="BD82" s="229">
        <v>0.75049999999999994</v>
      </c>
      <c r="BE82" s="228">
        <v>7</v>
      </c>
      <c r="BF82" s="228">
        <v>2</v>
      </c>
      <c r="BG82" s="228">
        <v>6</v>
      </c>
      <c r="BH82" s="229">
        <v>3.8571</v>
      </c>
      <c r="BI82" s="230">
        <v>1107</v>
      </c>
      <c r="BJ82" s="230">
        <v>1703</v>
      </c>
      <c r="BK82" s="228">
        <v>-596</v>
      </c>
      <c r="BL82" s="229">
        <v>-0.35020000000000001</v>
      </c>
      <c r="BM82" s="228">
        <v>631</v>
      </c>
      <c r="BN82" s="230">
        <v>1151</v>
      </c>
      <c r="BO82" s="228">
        <v>-519</v>
      </c>
      <c r="BP82" s="229">
        <v>-0.45150000000000001</v>
      </c>
      <c r="BQ82" s="230">
        <v>2092</v>
      </c>
      <c r="BR82" s="230">
        <v>3324</v>
      </c>
      <c r="BS82" s="230">
        <v>-1232</v>
      </c>
      <c r="BT82" s="229">
        <v>-0.3705</v>
      </c>
      <c r="BU82" s="230">
        <v>4551961</v>
      </c>
      <c r="BV82" s="230">
        <v>5363060</v>
      </c>
      <c r="BW82" s="230">
        <v>-811099</v>
      </c>
      <c r="BX82" s="229">
        <v>-0.1512</v>
      </c>
      <c r="BY82" s="230">
        <v>2147</v>
      </c>
      <c r="BZ82" s="230">
        <v>2146</v>
      </c>
      <c r="CA82" s="228">
        <v>1</v>
      </c>
      <c r="CB82" s="229">
        <v>4.0000000000000002E-4</v>
      </c>
      <c r="CC82" s="230">
        <v>1944</v>
      </c>
      <c r="CD82" s="230">
        <v>1950</v>
      </c>
      <c r="CE82" s="228">
        <v>-6</v>
      </c>
      <c r="CF82" s="229">
        <v>-3.3E-3</v>
      </c>
      <c r="CG82" s="228">
        <v>166</v>
      </c>
      <c r="CH82" s="228">
        <v>160</v>
      </c>
      <c r="CI82" s="228">
        <v>6</v>
      </c>
      <c r="CJ82" s="229">
        <v>3.7499999999999999E-2</v>
      </c>
      <c r="CK82" s="228">
        <v>37</v>
      </c>
      <c r="CL82" s="228">
        <v>35</v>
      </c>
      <c r="CM82" s="228">
        <v>1</v>
      </c>
      <c r="CN82" s="229">
        <v>3.6299999999999999E-2</v>
      </c>
      <c r="CO82" s="230">
        <v>1608</v>
      </c>
      <c r="CP82" s="230">
        <v>1603</v>
      </c>
      <c r="CQ82" s="228">
        <v>6</v>
      </c>
      <c r="CR82" s="229">
        <v>3.5000000000000001E-3</v>
      </c>
      <c r="CS82" s="228">
        <v>917</v>
      </c>
      <c r="CT82" s="228">
        <v>925</v>
      </c>
      <c r="CU82" s="228">
        <v>-8</v>
      </c>
      <c r="CV82" s="229">
        <v>-8.5000000000000006E-3</v>
      </c>
      <c r="CW82" s="230">
        <v>4672</v>
      </c>
      <c r="CX82" s="230">
        <v>4674</v>
      </c>
      <c r="CY82" s="228">
        <v>-1</v>
      </c>
      <c r="CZ82" s="229">
        <v>-2.9999999999999997E-4</v>
      </c>
      <c r="DA82" s="228">
        <v>40.86</v>
      </c>
      <c r="DB82" s="228">
        <v>40.270000000000003</v>
      </c>
      <c r="DC82" s="228">
        <v>0.59</v>
      </c>
      <c r="DD82" s="228">
        <v>0.59</v>
      </c>
      <c r="DE82" s="228">
        <v>49.65</v>
      </c>
      <c r="DF82" s="228">
        <v>49.76</v>
      </c>
      <c r="DG82" s="228">
        <v>-8.7899999999999991</v>
      </c>
      <c r="DH82" s="228">
        <v>-0.11</v>
      </c>
      <c r="DI82" s="228">
        <v>40.74</v>
      </c>
      <c r="DJ82" s="228">
        <v>40.28</v>
      </c>
      <c r="DK82" s="228">
        <v>0.46</v>
      </c>
      <c r="DL82" s="228">
        <v>0.46</v>
      </c>
      <c r="DM82" s="228">
        <v>41.06</v>
      </c>
      <c r="DN82" s="228">
        <v>40.24</v>
      </c>
      <c r="DO82" s="228">
        <v>0.82</v>
      </c>
      <c r="DP82" s="228">
        <v>0.82</v>
      </c>
      <c r="DQ82" s="228">
        <v>0.56999999999999995</v>
      </c>
      <c r="DR82" s="228">
        <v>0.57999999999999996</v>
      </c>
      <c r="DS82" s="228">
        <v>-0.01</v>
      </c>
      <c r="DT82" s="229">
        <v>-1.72E-2</v>
      </c>
      <c r="DU82" s="228">
        <v>700</v>
      </c>
      <c r="DV82" s="228">
        <v>600</v>
      </c>
      <c r="DW82" s="228">
        <v>0.56999999999999995</v>
      </c>
      <c r="DX82" s="228">
        <v>0.68</v>
      </c>
      <c r="DY82" s="228">
        <v>-0.11</v>
      </c>
      <c r="DZ82" s="229">
        <v>-0.1618</v>
      </c>
      <c r="EA82" s="229">
        <v>9.4500000000000001E-2</v>
      </c>
      <c r="EB82" s="230">
        <v>3351600</v>
      </c>
      <c r="EC82" s="229">
        <v>6.7000000000000002E-3</v>
      </c>
      <c r="ED82" s="229">
        <v>9.4500000000000001E-2</v>
      </c>
      <c r="EE82" s="228">
        <v>0.23</v>
      </c>
      <c r="EF82" s="229">
        <v>4.0000000000000002E-4</v>
      </c>
      <c r="EG82" s="230">
        <v>1670048</v>
      </c>
      <c r="EH82" s="230">
        <v>1400077</v>
      </c>
      <c r="EI82" s="229">
        <v>0.1928</v>
      </c>
      <c r="EJ82" s="229">
        <v>0.3669</v>
      </c>
      <c r="EK82" s="231">
        <v>1194.9100000000001</v>
      </c>
      <c r="EL82" s="228">
        <v>625.23</v>
      </c>
      <c r="EM82" s="228">
        <v>351.38</v>
      </c>
      <c r="EN82" s="228">
        <v>60.07</v>
      </c>
      <c r="EO82" s="231">
        <v>2171.52</v>
      </c>
      <c r="EP82" s="231">
        <v>3499.09</v>
      </c>
      <c r="EQ82" s="231">
        <v>-1327.57</v>
      </c>
      <c r="ER82" s="229">
        <v>-0.37940000000000002</v>
      </c>
      <c r="ES82" s="231">
        <v>1794.17</v>
      </c>
      <c r="ET82" s="228">
        <v>922.23</v>
      </c>
      <c r="EU82" s="231">
        <v>2148.46</v>
      </c>
      <c r="EV82" s="231">
        <v>161247058</v>
      </c>
      <c r="EW82" s="231">
        <v>4864.8599999999997</v>
      </c>
      <c r="EX82" s="231">
        <v>4886.5600000000004</v>
      </c>
      <c r="EY82" s="228">
        <v>-21.7</v>
      </c>
      <c r="EZ82" s="229">
        <v>-4.4000000000000003E-3</v>
      </c>
      <c r="FA82" s="229">
        <v>0.49640000000000001</v>
      </c>
      <c r="FB82" s="227" t="s">
        <v>567</v>
      </c>
      <c r="FC82">
        <f t="shared" si="1"/>
        <v>203</v>
      </c>
    </row>
    <row r="83" spans="1:159" ht="17.25" hidden="1" thickBot="1" x14ac:dyDescent="0.3">
      <c r="A83" s="226">
        <v>46093</v>
      </c>
      <c r="B83" s="227" t="s">
        <v>206</v>
      </c>
      <c r="C83" s="227" t="s">
        <v>608</v>
      </c>
      <c r="D83" s="228">
        <v>2775</v>
      </c>
      <c r="E83" s="228">
        <v>18</v>
      </c>
      <c r="F83" s="228">
        <v>177.05</v>
      </c>
      <c r="G83" s="228">
        <v>178.01</v>
      </c>
      <c r="H83" s="228">
        <v>-0.96</v>
      </c>
      <c r="I83" s="229">
        <v>-5.4000000000000003E-3</v>
      </c>
      <c r="J83" s="228">
        <v>176.66</v>
      </c>
      <c r="K83" s="228">
        <v>177.56</v>
      </c>
      <c r="L83" s="228">
        <v>-0.9</v>
      </c>
      <c r="M83" s="229">
        <v>-5.1000000000000004E-3</v>
      </c>
      <c r="N83" s="228">
        <v>177.05</v>
      </c>
      <c r="O83" s="228">
        <v>178.01</v>
      </c>
      <c r="P83" s="228">
        <v>-0.96</v>
      </c>
      <c r="Q83" s="229">
        <v>-5.4000000000000003E-3</v>
      </c>
      <c r="R83" s="228">
        <v>177.69</v>
      </c>
      <c r="S83" s="228">
        <v>178.86</v>
      </c>
      <c r="T83" s="228">
        <v>-1.17</v>
      </c>
      <c r="U83" s="229">
        <v>-6.4999999999999997E-3</v>
      </c>
      <c r="V83" s="228">
        <v>0</v>
      </c>
      <c r="W83" s="228">
        <v>0</v>
      </c>
      <c r="X83" s="228">
        <v>0</v>
      </c>
      <c r="Y83" s="229">
        <v>0</v>
      </c>
      <c r="Z83" s="228">
        <v>0.39</v>
      </c>
      <c r="AA83" s="228">
        <v>0.45</v>
      </c>
      <c r="AB83" s="228">
        <v>-0.06</v>
      </c>
      <c r="AC83" s="229">
        <v>2.2000000000000001E-3</v>
      </c>
      <c r="AD83" s="228">
        <v>0.39</v>
      </c>
      <c r="AE83" s="228">
        <v>0.45</v>
      </c>
      <c r="AF83" s="228">
        <v>-0.06</v>
      </c>
      <c r="AG83" s="229">
        <v>2.2000000000000001E-3</v>
      </c>
      <c r="AH83" s="228">
        <v>1.03</v>
      </c>
      <c r="AI83" s="228">
        <v>1.3</v>
      </c>
      <c r="AJ83" s="228">
        <v>-0.27</v>
      </c>
      <c r="AK83" s="229">
        <v>5.7999999999999996E-3</v>
      </c>
      <c r="AL83" s="228">
        <v>0</v>
      </c>
      <c r="AM83" s="228">
        <v>0</v>
      </c>
      <c r="AN83" s="228">
        <v>0</v>
      </c>
      <c r="AO83" s="229">
        <v>0</v>
      </c>
      <c r="AP83" s="228">
        <v>177.17</v>
      </c>
      <c r="AQ83" s="228">
        <v>178.34</v>
      </c>
      <c r="AR83" s="228">
        <v>0</v>
      </c>
      <c r="AS83" s="228">
        <v>63</v>
      </c>
      <c r="AT83" s="228">
        <v>107</v>
      </c>
      <c r="AU83" s="228">
        <v>-44</v>
      </c>
      <c r="AV83" s="229">
        <v>-0.40839999999999999</v>
      </c>
      <c r="AW83" s="228">
        <v>55</v>
      </c>
      <c r="AX83" s="228">
        <v>97</v>
      </c>
      <c r="AY83" s="228">
        <v>-42</v>
      </c>
      <c r="AZ83" s="229">
        <v>-0.42899999999999999</v>
      </c>
      <c r="BA83" s="228">
        <v>8</v>
      </c>
      <c r="BB83" s="228">
        <v>10</v>
      </c>
      <c r="BC83" s="228">
        <v>-2</v>
      </c>
      <c r="BD83" s="229">
        <v>-0.20499999999999999</v>
      </c>
      <c r="BE83" s="228">
        <v>0</v>
      </c>
      <c r="BF83" s="228">
        <v>0</v>
      </c>
      <c r="BG83" s="228">
        <v>0</v>
      </c>
      <c r="BH83" s="229">
        <v>0</v>
      </c>
      <c r="BI83" s="228">
        <v>154</v>
      </c>
      <c r="BJ83" s="228">
        <v>181</v>
      </c>
      <c r="BK83" s="228">
        <v>-27</v>
      </c>
      <c r="BL83" s="229">
        <v>-0.1477</v>
      </c>
      <c r="BM83" s="228">
        <v>43</v>
      </c>
      <c r="BN83" s="228">
        <v>97</v>
      </c>
      <c r="BO83" s="228">
        <v>-54</v>
      </c>
      <c r="BP83" s="229">
        <v>-0.55349999999999999</v>
      </c>
      <c r="BQ83" s="228">
        <v>261</v>
      </c>
      <c r="BR83" s="228">
        <v>385</v>
      </c>
      <c r="BS83" s="228">
        <v>-124</v>
      </c>
      <c r="BT83" s="229">
        <v>-0.32269999999999999</v>
      </c>
      <c r="BU83" s="230">
        <v>2753644</v>
      </c>
      <c r="BV83" s="230">
        <v>2615114</v>
      </c>
      <c r="BW83" s="230">
        <v>138530</v>
      </c>
      <c r="BX83" s="229">
        <v>5.2999999999999999E-2</v>
      </c>
      <c r="BY83" s="228">
        <v>702</v>
      </c>
      <c r="BZ83" s="228">
        <v>707</v>
      </c>
      <c r="CA83" s="228">
        <v>-5</v>
      </c>
      <c r="CB83" s="229">
        <v>-7.4000000000000003E-3</v>
      </c>
      <c r="CC83" s="228">
        <v>674</v>
      </c>
      <c r="CD83" s="228">
        <v>680</v>
      </c>
      <c r="CE83" s="228">
        <v>-6</v>
      </c>
      <c r="CF83" s="229">
        <v>-9.1000000000000004E-3</v>
      </c>
      <c r="CG83" s="228">
        <v>28</v>
      </c>
      <c r="CH83" s="228">
        <v>27</v>
      </c>
      <c r="CI83" s="228">
        <v>1</v>
      </c>
      <c r="CJ83" s="229">
        <v>3.4200000000000001E-2</v>
      </c>
      <c r="CK83" s="228">
        <v>0</v>
      </c>
      <c r="CL83" s="228">
        <v>0</v>
      </c>
      <c r="CM83" s="228">
        <v>0</v>
      </c>
      <c r="CN83" s="229">
        <v>0</v>
      </c>
      <c r="CO83" s="228">
        <v>369</v>
      </c>
      <c r="CP83" s="228">
        <v>349</v>
      </c>
      <c r="CQ83" s="228">
        <v>20</v>
      </c>
      <c r="CR83" s="229">
        <v>5.6800000000000003E-2</v>
      </c>
      <c r="CS83" s="228">
        <v>233</v>
      </c>
      <c r="CT83" s="228">
        <v>234</v>
      </c>
      <c r="CU83" s="228">
        <v>0</v>
      </c>
      <c r="CV83" s="229">
        <v>-8.0000000000000004E-4</v>
      </c>
      <c r="CW83" s="230">
        <v>1304</v>
      </c>
      <c r="CX83" s="230">
        <v>1290</v>
      </c>
      <c r="CY83" s="228">
        <v>14</v>
      </c>
      <c r="CZ83" s="229">
        <v>1.11E-2</v>
      </c>
      <c r="DA83" s="228">
        <v>38.68</v>
      </c>
      <c r="DB83" s="228">
        <v>39.4</v>
      </c>
      <c r="DC83" s="228">
        <v>-0.72</v>
      </c>
      <c r="DD83" s="228">
        <v>-0.72</v>
      </c>
      <c r="DE83" s="228">
        <v>48.97</v>
      </c>
      <c r="DF83" s="228">
        <v>49.08</v>
      </c>
      <c r="DG83" s="228">
        <v>-10.29</v>
      </c>
      <c r="DH83" s="228">
        <v>-0.11</v>
      </c>
      <c r="DI83" s="228">
        <v>38.17</v>
      </c>
      <c r="DJ83" s="228">
        <v>39.08</v>
      </c>
      <c r="DK83" s="228">
        <v>-0.91</v>
      </c>
      <c r="DL83" s="228">
        <v>-0.91</v>
      </c>
      <c r="DM83" s="228">
        <v>40.47</v>
      </c>
      <c r="DN83" s="228">
        <v>40</v>
      </c>
      <c r="DO83" s="228">
        <v>0.47</v>
      </c>
      <c r="DP83" s="228">
        <v>0.47</v>
      </c>
      <c r="DQ83" s="228">
        <v>0.63</v>
      </c>
      <c r="DR83" s="228">
        <v>0.67</v>
      </c>
      <c r="DS83" s="228">
        <v>-0.04</v>
      </c>
      <c r="DT83" s="229">
        <v>-5.9700000000000003E-2</v>
      </c>
      <c r="DU83" s="228">
        <v>200</v>
      </c>
      <c r="DV83" s="228">
        <v>175</v>
      </c>
      <c r="DW83" s="228">
        <v>0.28000000000000003</v>
      </c>
      <c r="DX83" s="228">
        <v>0.54</v>
      </c>
      <c r="DY83" s="228">
        <v>-0.26</v>
      </c>
      <c r="DZ83" s="229">
        <v>-0.48149999999999998</v>
      </c>
      <c r="EA83" s="229">
        <v>4.02E-2</v>
      </c>
      <c r="EB83" s="230">
        <v>1540125</v>
      </c>
      <c r="EC83" s="229">
        <v>3.5999999999999999E-3</v>
      </c>
      <c r="ED83" s="229">
        <v>4.02E-2</v>
      </c>
      <c r="EE83" s="228">
        <v>1.17</v>
      </c>
      <c r="EF83" s="229">
        <v>6.6E-3</v>
      </c>
      <c r="EG83" s="230">
        <v>741529</v>
      </c>
      <c r="EH83" s="230">
        <v>801625</v>
      </c>
      <c r="EI83" s="229">
        <v>-7.4999999999999997E-2</v>
      </c>
      <c r="EJ83" s="229">
        <v>0.26929999999999998</v>
      </c>
      <c r="EK83" s="228">
        <v>165.17</v>
      </c>
      <c r="EL83" s="228">
        <v>43.74</v>
      </c>
      <c r="EM83" s="228">
        <v>63.23</v>
      </c>
      <c r="EN83" s="228">
        <v>20.49</v>
      </c>
      <c r="EO83" s="228">
        <v>272.14</v>
      </c>
      <c r="EP83" s="228">
        <v>405.04</v>
      </c>
      <c r="EQ83" s="228">
        <v>-132.9</v>
      </c>
      <c r="ER83" s="229">
        <v>-0.3281</v>
      </c>
      <c r="ES83" s="228">
        <v>409.94</v>
      </c>
      <c r="ET83" s="228">
        <v>244.12</v>
      </c>
      <c r="EU83" s="228">
        <v>701.99</v>
      </c>
      <c r="EV83" s="231">
        <v>75071250</v>
      </c>
      <c r="EW83" s="231">
        <v>1356.06</v>
      </c>
      <c r="EX83" s="231">
        <v>1345.25</v>
      </c>
      <c r="EY83" s="228">
        <v>10.81</v>
      </c>
      <c r="EZ83" s="229">
        <v>8.0000000000000002E-3</v>
      </c>
      <c r="FA83" s="229">
        <v>0.98099999999999998</v>
      </c>
      <c r="FB83" s="227" t="s">
        <v>568</v>
      </c>
      <c r="FC83">
        <f t="shared" si="1"/>
        <v>28</v>
      </c>
    </row>
    <row r="84" spans="1:159" ht="17.25" hidden="1" thickBot="1" x14ac:dyDescent="0.3">
      <c r="A84" s="226">
        <v>46093</v>
      </c>
      <c r="B84" s="227" t="s">
        <v>172</v>
      </c>
      <c r="C84" s="227" t="s">
        <v>232</v>
      </c>
      <c r="D84" s="228">
        <v>700</v>
      </c>
      <c r="E84" s="228">
        <v>18</v>
      </c>
      <c r="F84" s="231">
        <v>1271.5999999999999</v>
      </c>
      <c r="G84" s="231">
        <v>1296.2</v>
      </c>
      <c r="H84" s="228">
        <v>-24.6</v>
      </c>
      <c r="I84" s="229">
        <v>-1.9E-2</v>
      </c>
      <c r="J84" s="231">
        <v>1266.5</v>
      </c>
      <c r="K84" s="231">
        <v>1294.5999999999999</v>
      </c>
      <c r="L84" s="228">
        <v>-28.1</v>
      </c>
      <c r="M84" s="229">
        <v>-2.1700000000000001E-2</v>
      </c>
      <c r="N84" s="231">
        <v>1271.5999999999999</v>
      </c>
      <c r="O84" s="231">
        <v>1296.2</v>
      </c>
      <c r="P84" s="228">
        <v>-24.6</v>
      </c>
      <c r="Q84" s="229">
        <v>-1.9E-2</v>
      </c>
      <c r="R84" s="231">
        <v>1279.5</v>
      </c>
      <c r="S84" s="231">
        <v>1304.4000000000001</v>
      </c>
      <c r="T84" s="228">
        <v>-24.9</v>
      </c>
      <c r="U84" s="229">
        <v>-1.9099999999999999E-2</v>
      </c>
      <c r="V84" s="231">
        <v>1287.3</v>
      </c>
      <c r="W84" s="231">
        <v>1311.4</v>
      </c>
      <c r="X84" s="228">
        <v>-24.1</v>
      </c>
      <c r="Y84" s="229">
        <v>-1.84E-2</v>
      </c>
      <c r="Z84" s="228">
        <v>5.0999999999999996</v>
      </c>
      <c r="AA84" s="228">
        <v>1.6</v>
      </c>
      <c r="AB84" s="228">
        <v>3.5</v>
      </c>
      <c r="AC84" s="229">
        <v>4.0000000000000001E-3</v>
      </c>
      <c r="AD84" s="228">
        <v>5.0999999999999996</v>
      </c>
      <c r="AE84" s="228">
        <v>1.6</v>
      </c>
      <c r="AF84" s="228">
        <v>3.5</v>
      </c>
      <c r="AG84" s="229">
        <v>4.0000000000000001E-3</v>
      </c>
      <c r="AH84" s="228">
        <v>13</v>
      </c>
      <c r="AI84" s="228">
        <v>9.8000000000000007</v>
      </c>
      <c r="AJ84" s="228">
        <v>3.2</v>
      </c>
      <c r="AK84" s="229">
        <v>1.03E-2</v>
      </c>
      <c r="AL84" s="228">
        <v>20.8</v>
      </c>
      <c r="AM84" s="228">
        <v>16.8</v>
      </c>
      <c r="AN84" s="228">
        <v>4</v>
      </c>
      <c r="AO84" s="229">
        <v>1.6400000000000001E-2</v>
      </c>
      <c r="AP84" s="231">
        <v>1274.8599999999999</v>
      </c>
      <c r="AQ84" s="231">
        <v>1283.9100000000001</v>
      </c>
      <c r="AR84" s="228">
        <v>0</v>
      </c>
      <c r="AS84" s="230">
        <v>2458</v>
      </c>
      <c r="AT84" s="230">
        <v>1838</v>
      </c>
      <c r="AU84" s="228">
        <v>620</v>
      </c>
      <c r="AV84" s="229">
        <v>0.33729999999999999</v>
      </c>
      <c r="AW84" s="230">
        <v>2123</v>
      </c>
      <c r="AX84" s="230">
        <v>1659</v>
      </c>
      <c r="AY84" s="228">
        <v>464</v>
      </c>
      <c r="AZ84" s="229">
        <v>0.27979999999999999</v>
      </c>
      <c r="BA84" s="228">
        <v>319</v>
      </c>
      <c r="BB84" s="228">
        <v>161</v>
      </c>
      <c r="BC84" s="228">
        <v>158</v>
      </c>
      <c r="BD84" s="229">
        <v>0.98450000000000004</v>
      </c>
      <c r="BE84" s="228">
        <v>15</v>
      </c>
      <c r="BF84" s="228">
        <v>18</v>
      </c>
      <c r="BG84" s="228">
        <v>-3</v>
      </c>
      <c r="BH84" s="229">
        <v>-0.1542</v>
      </c>
      <c r="BI84" s="230">
        <v>6001</v>
      </c>
      <c r="BJ84" s="230">
        <v>4572</v>
      </c>
      <c r="BK84" s="230">
        <v>1429</v>
      </c>
      <c r="BL84" s="229">
        <v>0.3125</v>
      </c>
      <c r="BM84" s="230">
        <v>3253</v>
      </c>
      <c r="BN84" s="230">
        <v>3098</v>
      </c>
      <c r="BO84" s="228">
        <v>155</v>
      </c>
      <c r="BP84" s="229">
        <v>0.05</v>
      </c>
      <c r="BQ84" s="230">
        <v>11712</v>
      </c>
      <c r="BR84" s="230">
        <v>9508</v>
      </c>
      <c r="BS84" s="230">
        <v>2204</v>
      </c>
      <c r="BT84" s="229">
        <v>0.23180000000000001</v>
      </c>
      <c r="BU84" s="230">
        <v>20954757</v>
      </c>
      <c r="BV84" s="230">
        <v>13784412</v>
      </c>
      <c r="BW84" s="230">
        <v>7170345</v>
      </c>
      <c r="BX84" s="229">
        <v>0.5202</v>
      </c>
      <c r="BY84" s="230">
        <v>16681</v>
      </c>
      <c r="BZ84" s="230">
        <v>16257</v>
      </c>
      <c r="CA84" s="228">
        <v>424</v>
      </c>
      <c r="CB84" s="229">
        <v>2.6100000000000002E-2</v>
      </c>
      <c r="CC84" s="230">
        <v>15282</v>
      </c>
      <c r="CD84" s="230">
        <v>14943</v>
      </c>
      <c r="CE84" s="228">
        <v>339</v>
      </c>
      <c r="CF84" s="229">
        <v>2.2700000000000001E-2</v>
      </c>
      <c r="CG84" s="230">
        <v>1271</v>
      </c>
      <c r="CH84" s="230">
        <v>1189</v>
      </c>
      <c r="CI84" s="228">
        <v>81</v>
      </c>
      <c r="CJ84" s="229">
        <v>6.8199999999999997E-2</v>
      </c>
      <c r="CK84" s="228">
        <v>128</v>
      </c>
      <c r="CL84" s="228">
        <v>124</v>
      </c>
      <c r="CM84" s="228">
        <v>4</v>
      </c>
      <c r="CN84" s="229">
        <v>2.93E-2</v>
      </c>
      <c r="CO84" s="230">
        <v>4398</v>
      </c>
      <c r="CP84" s="230">
        <v>4248</v>
      </c>
      <c r="CQ84" s="228">
        <v>150</v>
      </c>
      <c r="CR84" s="229">
        <v>3.5299999999999998E-2</v>
      </c>
      <c r="CS84" s="230">
        <v>2591</v>
      </c>
      <c r="CT84" s="230">
        <v>2602</v>
      </c>
      <c r="CU84" s="228">
        <v>-11</v>
      </c>
      <c r="CV84" s="229">
        <v>-4.1000000000000003E-3</v>
      </c>
      <c r="CW84" s="230">
        <v>23670</v>
      </c>
      <c r="CX84" s="230">
        <v>23107</v>
      </c>
      <c r="CY84" s="228">
        <v>563</v>
      </c>
      <c r="CZ84" s="229">
        <v>2.4400000000000002E-2</v>
      </c>
      <c r="DA84" s="228">
        <v>25.39</v>
      </c>
      <c r="DB84" s="228">
        <v>24.61</v>
      </c>
      <c r="DC84" s="228">
        <v>0.78</v>
      </c>
      <c r="DD84" s="228">
        <v>0.78</v>
      </c>
      <c r="DE84" s="228">
        <v>21.93</v>
      </c>
      <c r="DF84" s="228">
        <v>21.78</v>
      </c>
      <c r="DG84" s="228">
        <v>3.46</v>
      </c>
      <c r="DH84" s="228">
        <v>0.15</v>
      </c>
      <c r="DI84" s="228">
        <v>24.86</v>
      </c>
      <c r="DJ84" s="228">
        <v>23.79</v>
      </c>
      <c r="DK84" s="228">
        <v>1.07</v>
      </c>
      <c r="DL84" s="228">
        <v>1.07</v>
      </c>
      <c r="DM84" s="228">
        <v>26.38</v>
      </c>
      <c r="DN84" s="228">
        <v>25.83</v>
      </c>
      <c r="DO84" s="228">
        <v>0.55000000000000004</v>
      </c>
      <c r="DP84" s="228">
        <v>0.55000000000000004</v>
      </c>
      <c r="DQ84" s="228">
        <v>0.59</v>
      </c>
      <c r="DR84" s="228">
        <v>0.61</v>
      </c>
      <c r="DS84" s="228">
        <v>-0.02</v>
      </c>
      <c r="DT84" s="229">
        <v>-3.2800000000000003E-2</v>
      </c>
      <c r="DU84" s="231">
        <v>1400</v>
      </c>
      <c r="DV84" s="231">
        <v>1400</v>
      </c>
      <c r="DW84" s="228">
        <v>0.54</v>
      </c>
      <c r="DX84" s="228">
        <v>0.68</v>
      </c>
      <c r="DY84" s="228">
        <v>-0.14000000000000001</v>
      </c>
      <c r="DZ84" s="229">
        <v>-0.2059</v>
      </c>
      <c r="EA84" s="229">
        <v>8.3799999999999999E-2</v>
      </c>
      <c r="EB84" s="230">
        <v>10332000</v>
      </c>
      <c r="EC84" s="229">
        <v>6.1999999999999998E-3</v>
      </c>
      <c r="ED84" s="229">
        <v>8.3799999999999999E-2</v>
      </c>
      <c r="EE84" s="228">
        <v>9.0500000000000007</v>
      </c>
      <c r="EF84" s="229">
        <v>7.1000000000000004E-3</v>
      </c>
      <c r="EG84" s="230">
        <v>10928595</v>
      </c>
      <c r="EH84" s="230">
        <v>7312230</v>
      </c>
      <c r="EI84" s="229">
        <v>0.49459999999999998</v>
      </c>
      <c r="EJ84" s="229">
        <v>0.52149999999999996</v>
      </c>
      <c r="EK84" s="231">
        <v>6328.76</v>
      </c>
      <c r="EL84" s="231">
        <v>3252.23</v>
      </c>
      <c r="EM84" s="231">
        <v>2466.48</v>
      </c>
      <c r="EN84" s="228">
        <v>287.33999999999997</v>
      </c>
      <c r="EO84" s="231">
        <v>12047.47</v>
      </c>
      <c r="EP84" s="231">
        <v>9902.68</v>
      </c>
      <c r="EQ84" s="231">
        <v>2144.79</v>
      </c>
      <c r="ER84" s="229">
        <v>0.21659999999999999</v>
      </c>
      <c r="ES84" s="231">
        <v>4745.96</v>
      </c>
      <c r="ET84" s="231">
        <v>2680.43</v>
      </c>
      <c r="EU84" s="231">
        <v>16690.150000000001</v>
      </c>
      <c r="EV84" s="231">
        <v>580601807</v>
      </c>
      <c r="EW84" s="231">
        <v>24116.53</v>
      </c>
      <c r="EX84" s="231">
        <v>23892.45</v>
      </c>
      <c r="EY84" s="228">
        <v>224.08</v>
      </c>
      <c r="EZ84" s="229">
        <v>9.4000000000000004E-3</v>
      </c>
      <c r="FA84" s="229">
        <v>0.3206</v>
      </c>
      <c r="FB84" s="227" t="s">
        <v>567</v>
      </c>
      <c r="FC84">
        <f t="shared" si="1"/>
        <v>1399</v>
      </c>
    </row>
    <row r="85" spans="1:159" ht="17.25" hidden="1" thickBot="1" x14ac:dyDescent="0.3">
      <c r="A85" s="226">
        <v>46093</v>
      </c>
      <c r="B85" s="227" t="s">
        <v>175</v>
      </c>
      <c r="C85" s="227" t="s">
        <v>472</v>
      </c>
      <c r="D85" s="228">
        <v>325</v>
      </c>
      <c r="E85" s="228">
        <v>18</v>
      </c>
      <c r="F85" s="231">
        <v>1856.2</v>
      </c>
      <c r="G85" s="231">
        <v>1882.7</v>
      </c>
      <c r="H85" s="228">
        <v>-26.5</v>
      </c>
      <c r="I85" s="229">
        <v>-1.41E-2</v>
      </c>
      <c r="J85" s="231">
        <v>1855.3</v>
      </c>
      <c r="K85" s="231">
        <v>1875.2</v>
      </c>
      <c r="L85" s="228">
        <v>-19.899999999999999</v>
      </c>
      <c r="M85" s="229">
        <v>-1.06E-2</v>
      </c>
      <c r="N85" s="231">
        <v>1856.2</v>
      </c>
      <c r="O85" s="231">
        <v>1882.7</v>
      </c>
      <c r="P85" s="228">
        <v>-26.5</v>
      </c>
      <c r="Q85" s="229">
        <v>-1.41E-2</v>
      </c>
      <c r="R85" s="231">
        <v>1864.1</v>
      </c>
      <c r="S85" s="231">
        <v>1890.8</v>
      </c>
      <c r="T85" s="228">
        <v>-26.7</v>
      </c>
      <c r="U85" s="229">
        <v>-1.41E-2</v>
      </c>
      <c r="V85" s="231">
        <v>1870</v>
      </c>
      <c r="W85" s="231">
        <v>1892</v>
      </c>
      <c r="X85" s="228">
        <v>-22</v>
      </c>
      <c r="Y85" s="229">
        <v>-1.1599999999999999E-2</v>
      </c>
      <c r="Z85" s="228">
        <v>0.9</v>
      </c>
      <c r="AA85" s="228">
        <v>7.5</v>
      </c>
      <c r="AB85" s="228">
        <v>-6.6</v>
      </c>
      <c r="AC85" s="229">
        <v>5.0000000000000001E-4</v>
      </c>
      <c r="AD85" s="228">
        <v>0.9</v>
      </c>
      <c r="AE85" s="228">
        <v>7.5</v>
      </c>
      <c r="AF85" s="228">
        <v>-6.6</v>
      </c>
      <c r="AG85" s="229">
        <v>5.0000000000000001E-4</v>
      </c>
      <c r="AH85" s="228">
        <v>8.8000000000000007</v>
      </c>
      <c r="AI85" s="228">
        <v>15.6</v>
      </c>
      <c r="AJ85" s="228">
        <v>-6.8</v>
      </c>
      <c r="AK85" s="229">
        <v>4.7000000000000002E-3</v>
      </c>
      <c r="AL85" s="228">
        <v>14.7</v>
      </c>
      <c r="AM85" s="228">
        <v>16.8</v>
      </c>
      <c r="AN85" s="228">
        <v>-2.1</v>
      </c>
      <c r="AO85" s="229">
        <v>7.9000000000000008E-3</v>
      </c>
      <c r="AP85" s="231">
        <v>1856.14</v>
      </c>
      <c r="AQ85" s="231">
        <v>1862.25</v>
      </c>
      <c r="AR85" s="228">
        <v>0</v>
      </c>
      <c r="AS85" s="228">
        <v>103</v>
      </c>
      <c r="AT85" s="228">
        <v>183</v>
      </c>
      <c r="AU85" s="228">
        <v>-80</v>
      </c>
      <c r="AV85" s="229">
        <v>-0.4395</v>
      </c>
      <c r="AW85" s="228">
        <v>102</v>
      </c>
      <c r="AX85" s="228">
        <v>181</v>
      </c>
      <c r="AY85" s="228">
        <v>-80</v>
      </c>
      <c r="AZ85" s="229">
        <v>-0.4395</v>
      </c>
      <c r="BA85" s="228">
        <v>1</v>
      </c>
      <c r="BB85" s="228">
        <v>2</v>
      </c>
      <c r="BC85" s="228">
        <v>-1</v>
      </c>
      <c r="BD85" s="229">
        <v>-0.5</v>
      </c>
      <c r="BE85" s="228">
        <v>0</v>
      </c>
      <c r="BF85" s="228">
        <v>0</v>
      </c>
      <c r="BG85" s="228">
        <v>0</v>
      </c>
      <c r="BH85" s="229">
        <v>1</v>
      </c>
      <c r="BI85" s="228">
        <v>233</v>
      </c>
      <c r="BJ85" s="228">
        <v>239</v>
      </c>
      <c r="BK85" s="228">
        <v>-6</v>
      </c>
      <c r="BL85" s="229">
        <v>-2.6499999999999999E-2</v>
      </c>
      <c r="BM85" s="228">
        <v>83</v>
      </c>
      <c r="BN85" s="228">
        <v>155</v>
      </c>
      <c r="BO85" s="228">
        <v>-72</v>
      </c>
      <c r="BP85" s="229">
        <v>-0.46400000000000002</v>
      </c>
      <c r="BQ85" s="228">
        <v>419</v>
      </c>
      <c r="BR85" s="228">
        <v>577</v>
      </c>
      <c r="BS85" s="228">
        <v>-159</v>
      </c>
      <c r="BT85" s="229">
        <v>-0.27500000000000002</v>
      </c>
      <c r="BU85" s="230">
        <v>620908</v>
      </c>
      <c r="BV85" s="230">
        <v>782957</v>
      </c>
      <c r="BW85" s="230">
        <v>-162049</v>
      </c>
      <c r="BX85" s="229">
        <v>-0.20699999999999999</v>
      </c>
      <c r="BY85" s="228">
        <v>895</v>
      </c>
      <c r="BZ85" s="228">
        <v>888</v>
      </c>
      <c r="CA85" s="228">
        <v>7</v>
      </c>
      <c r="CB85" s="229">
        <v>7.7000000000000002E-3</v>
      </c>
      <c r="CC85" s="228">
        <v>891</v>
      </c>
      <c r="CD85" s="228">
        <v>885</v>
      </c>
      <c r="CE85" s="228">
        <v>7</v>
      </c>
      <c r="CF85" s="229">
        <v>7.6E-3</v>
      </c>
      <c r="CG85" s="228">
        <v>4</v>
      </c>
      <c r="CH85" s="228">
        <v>4</v>
      </c>
      <c r="CI85" s="228">
        <v>0</v>
      </c>
      <c r="CJ85" s="229">
        <v>1.6899999999999998E-2</v>
      </c>
      <c r="CK85" s="228">
        <v>0</v>
      </c>
      <c r="CL85" s="228">
        <v>0</v>
      </c>
      <c r="CM85" s="228">
        <v>0</v>
      </c>
      <c r="CN85" s="229">
        <v>1</v>
      </c>
      <c r="CO85" s="228">
        <v>234</v>
      </c>
      <c r="CP85" s="228">
        <v>200</v>
      </c>
      <c r="CQ85" s="228">
        <v>35</v>
      </c>
      <c r="CR85" s="229">
        <v>0.17249999999999999</v>
      </c>
      <c r="CS85" s="228">
        <v>125</v>
      </c>
      <c r="CT85" s="228">
        <v>126</v>
      </c>
      <c r="CU85" s="228">
        <v>-1</v>
      </c>
      <c r="CV85" s="229">
        <v>-7.6E-3</v>
      </c>
      <c r="CW85" s="230">
        <v>1255</v>
      </c>
      <c r="CX85" s="230">
        <v>1214</v>
      </c>
      <c r="CY85" s="228">
        <v>40</v>
      </c>
      <c r="CZ85" s="229">
        <v>3.3300000000000003E-2</v>
      </c>
      <c r="DA85" s="228">
        <v>22.45</v>
      </c>
      <c r="DB85" s="228">
        <v>23.63</v>
      </c>
      <c r="DC85" s="228">
        <v>-1.18</v>
      </c>
      <c r="DD85" s="228">
        <v>-1.18</v>
      </c>
      <c r="DE85" s="228">
        <v>26.73</v>
      </c>
      <c r="DF85" s="228">
        <v>26.76</v>
      </c>
      <c r="DG85" s="228">
        <v>-4.28</v>
      </c>
      <c r="DH85" s="228">
        <v>-0.03</v>
      </c>
      <c r="DI85" s="228">
        <v>22.06</v>
      </c>
      <c r="DJ85" s="228">
        <v>23.06</v>
      </c>
      <c r="DK85" s="228">
        <v>-1</v>
      </c>
      <c r="DL85" s="228">
        <v>-1</v>
      </c>
      <c r="DM85" s="228">
        <v>23.53</v>
      </c>
      <c r="DN85" s="228">
        <v>24.51</v>
      </c>
      <c r="DO85" s="228">
        <v>-0.98</v>
      </c>
      <c r="DP85" s="228">
        <v>-0.98</v>
      </c>
      <c r="DQ85" s="228">
        <v>0.53</v>
      </c>
      <c r="DR85" s="228">
        <v>0.63</v>
      </c>
      <c r="DS85" s="228">
        <v>-0.1</v>
      </c>
      <c r="DT85" s="229">
        <v>-0.15870000000000001</v>
      </c>
      <c r="DU85" s="231">
        <v>1900</v>
      </c>
      <c r="DV85" s="231">
        <v>1900</v>
      </c>
      <c r="DW85" s="228">
        <v>0.36</v>
      </c>
      <c r="DX85" s="228">
        <v>0.65</v>
      </c>
      <c r="DY85" s="228">
        <v>-0.28999999999999998</v>
      </c>
      <c r="DZ85" s="229">
        <v>-0.44619999999999999</v>
      </c>
      <c r="EA85" s="229">
        <v>4.1999999999999997E-3</v>
      </c>
      <c r="EB85" s="230">
        <v>19500</v>
      </c>
      <c r="EC85" s="229">
        <v>4.3E-3</v>
      </c>
      <c r="ED85" s="229">
        <v>4.1999999999999997E-3</v>
      </c>
      <c r="EE85" s="228">
        <v>6.11</v>
      </c>
      <c r="EF85" s="229">
        <v>3.3E-3</v>
      </c>
      <c r="EG85" s="230">
        <v>407211</v>
      </c>
      <c r="EH85" s="230">
        <v>520492</v>
      </c>
      <c r="EI85" s="229">
        <v>-0.21759999999999999</v>
      </c>
      <c r="EJ85" s="229">
        <v>0.65580000000000005</v>
      </c>
      <c r="EK85" s="228">
        <v>244.87</v>
      </c>
      <c r="EL85" s="228">
        <v>82.8</v>
      </c>
      <c r="EM85" s="228">
        <v>102.56</v>
      </c>
      <c r="EN85" s="228">
        <v>19.559999999999999</v>
      </c>
      <c r="EO85" s="228">
        <v>430.23</v>
      </c>
      <c r="EP85" s="228">
        <v>597.16999999999996</v>
      </c>
      <c r="EQ85" s="228">
        <v>-166.95</v>
      </c>
      <c r="ER85" s="229">
        <v>-0.27960000000000002</v>
      </c>
      <c r="ES85" s="228">
        <v>247.05</v>
      </c>
      <c r="ET85" s="228">
        <v>124.27</v>
      </c>
      <c r="EU85" s="228">
        <v>895.02</v>
      </c>
      <c r="EV85" s="231">
        <v>28747897</v>
      </c>
      <c r="EW85" s="231">
        <v>1266.3499999999999</v>
      </c>
      <c r="EX85" s="231">
        <v>1238.1400000000001</v>
      </c>
      <c r="EY85" s="228">
        <v>28.21</v>
      </c>
      <c r="EZ85" s="229">
        <v>2.2800000000000001E-2</v>
      </c>
      <c r="FA85" s="229">
        <v>0.2351</v>
      </c>
      <c r="FB85" s="227" t="s">
        <v>567</v>
      </c>
      <c r="FC85">
        <f t="shared" si="1"/>
        <v>4</v>
      </c>
    </row>
    <row r="86" spans="1:159" ht="17.25" hidden="1" thickBot="1" x14ac:dyDescent="0.3">
      <c r="A86" s="226">
        <v>46093</v>
      </c>
      <c r="B86" s="227" t="s">
        <v>175</v>
      </c>
      <c r="C86" s="227" t="s">
        <v>233</v>
      </c>
      <c r="D86" s="228">
        <v>925</v>
      </c>
      <c r="E86" s="228">
        <v>18</v>
      </c>
      <c r="F86" s="228">
        <v>594.20000000000005</v>
      </c>
      <c r="G86" s="228">
        <v>598.04999999999995</v>
      </c>
      <c r="H86" s="228">
        <v>-3.85</v>
      </c>
      <c r="I86" s="229">
        <v>-6.4000000000000003E-3</v>
      </c>
      <c r="J86" s="228">
        <v>592.95000000000005</v>
      </c>
      <c r="K86" s="228">
        <v>598.5</v>
      </c>
      <c r="L86" s="228">
        <v>-5.55</v>
      </c>
      <c r="M86" s="229">
        <v>-9.2999999999999992E-3</v>
      </c>
      <c r="N86" s="228">
        <v>594.20000000000005</v>
      </c>
      <c r="O86" s="228">
        <v>598.04999999999995</v>
      </c>
      <c r="P86" s="228">
        <v>-3.85</v>
      </c>
      <c r="Q86" s="229">
        <v>-6.4000000000000003E-3</v>
      </c>
      <c r="R86" s="228">
        <v>598.35</v>
      </c>
      <c r="S86" s="228">
        <v>601.6</v>
      </c>
      <c r="T86" s="228">
        <v>-3.25</v>
      </c>
      <c r="U86" s="229">
        <v>-5.4000000000000003E-3</v>
      </c>
      <c r="V86" s="228">
        <v>594.20000000000005</v>
      </c>
      <c r="W86" s="228">
        <v>610.9</v>
      </c>
      <c r="X86" s="228">
        <v>-16.7</v>
      </c>
      <c r="Y86" s="229">
        <v>-2.7300000000000001E-2</v>
      </c>
      <c r="Z86" s="228">
        <v>1.25</v>
      </c>
      <c r="AA86" s="228">
        <v>-0.45</v>
      </c>
      <c r="AB86" s="228">
        <v>1.7</v>
      </c>
      <c r="AC86" s="229">
        <v>2.0999999999999999E-3</v>
      </c>
      <c r="AD86" s="228">
        <v>1.25</v>
      </c>
      <c r="AE86" s="228">
        <v>-0.45</v>
      </c>
      <c r="AF86" s="228">
        <v>1.7</v>
      </c>
      <c r="AG86" s="229">
        <v>2.0999999999999999E-3</v>
      </c>
      <c r="AH86" s="228">
        <v>5.4</v>
      </c>
      <c r="AI86" s="228">
        <v>3.1</v>
      </c>
      <c r="AJ86" s="228">
        <v>2.2999999999999998</v>
      </c>
      <c r="AK86" s="229">
        <v>9.1000000000000004E-3</v>
      </c>
      <c r="AL86" s="228">
        <v>1.25</v>
      </c>
      <c r="AM86" s="228">
        <v>12.4</v>
      </c>
      <c r="AN86" s="228">
        <v>-11.15</v>
      </c>
      <c r="AO86" s="229">
        <v>2.0999999999999999E-3</v>
      </c>
      <c r="AP86" s="228">
        <v>592.27</v>
      </c>
      <c r="AQ86" s="228">
        <v>593.78</v>
      </c>
      <c r="AR86" s="228">
        <v>0</v>
      </c>
      <c r="AS86" s="228">
        <v>67</v>
      </c>
      <c r="AT86" s="228">
        <v>120</v>
      </c>
      <c r="AU86" s="228">
        <v>-53</v>
      </c>
      <c r="AV86" s="229">
        <v>-0.44230000000000003</v>
      </c>
      <c r="AW86" s="228">
        <v>65</v>
      </c>
      <c r="AX86" s="228">
        <v>118</v>
      </c>
      <c r="AY86" s="228">
        <v>-53</v>
      </c>
      <c r="AZ86" s="229">
        <v>-0.4496</v>
      </c>
      <c r="BA86" s="228">
        <v>2</v>
      </c>
      <c r="BB86" s="228">
        <v>1</v>
      </c>
      <c r="BC86" s="228">
        <v>0</v>
      </c>
      <c r="BD86" s="229">
        <v>0.16669999999999999</v>
      </c>
      <c r="BE86" s="228">
        <v>0</v>
      </c>
      <c r="BF86" s="228">
        <v>0</v>
      </c>
      <c r="BG86" s="228">
        <v>0</v>
      </c>
      <c r="BH86" s="229">
        <v>0</v>
      </c>
      <c r="BI86" s="228">
        <v>94</v>
      </c>
      <c r="BJ86" s="228">
        <v>61</v>
      </c>
      <c r="BK86" s="228">
        <v>34</v>
      </c>
      <c r="BL86" s="229">
        <v>0.55479999999999996</v>
      </c>
      <c r="BM86" s="228">
        <v>81</v>
      </c>
      <c r="BN86" s="228">
        <v>40</v>
      </c>
      <c r="BO86" s="228">
        <v>41</v>
      </c>
      <c r="BP86" s="229">
        <v>1.0318000000000001</v>
      </c>
      <c r="BQ86" s="228">
        <v>242</v>
      </c>
      <c r="BR86" s="228">
        <v>220</v>
      </c>
      <c r="BS86" s="228">
        <v>22</v>
      </c>
      <c r="BT86" s="229">
        <v>9.9400000000000002E-2</v>
      </c>
      <c r="BU86" s="230">
        <v>960735</v>
      </c>
      <c r="BV86" s="230">
        <v>1308239</v>
      </c>
      <c r="BW86" s="230">
        <v>-347504</v>
      </c>
      <c r="BX86" s="229">
        <v>-0.2656</v>
      </c>
      <c r="BY86" s="230">
        <v>1005</v>
      </c>
      <c r="BZ86" s="230">
        <v>1008</v>
      </c>
      <c r="CA86" s="228">
        <v>-4</v>
      </c>
      <c r="CB86" s="229">
        <v>-3.7000000000000002E-3</v>
      </c>
      <c r="CC86" s="228">
        <v>999</v>
      </c>
      <c r="CD86" s="230">
        <v>1003</v>
      </c>
      <c r="CE86" s="228">
        <v>-3</v>
      </c>
      <c r="CF86" s="229">
        <v>-3.3999999999999998E-3</v>
      </c>
      <c r="CG86" s="228">
        <v>5</v>
      </c>
      <c r="CH86" s="228">
        <v>5</v>
      </c>
      <c r="CI86" s="228">
        <v>0</v>
      </c>
      <c r="CJ86" s="229">
        <v>-5.1499999999999997E-2</v>
      </c>
      <c r="CK86" s="228">
        <v>0</v>
      </c>
      <c r="CL86" s="228">
        <v>0</v>
      </c>
      <c r="CM86" s="228">
        <v>0</v>
      </c>
      <c r="CN86" s="229">
        <v>-0.2</v>
      </c>
      <c r="CO86" s="228">
        <v>205</v>
      </c>
      <c r="CP86" s="228">
        <v>193</v>
      </c>
      <c r="CQ86" s="228">
        <v>12</v>
      </c>
      <c r="CR86" s="229">
        <v>6.3899999999999998E-2</v>
      </c>
      <c r="CS86" s="228">
        <v>142</v>
      </c>
      <c r="CT86" s="228">
        <v>141</v>
      </c>
      <c r="CU86" s="228">
        <v>1</v>
      </c>
      <c r="CV86" s="229">
        <v>7.7999999999999996E-3</v>
      </c>
      <c r="CW86" s="230">
        <v>1352</v>
      </c>
      <c r="CX86" s="230">
        <v>1342</v>
      </c>
      <c r="CY86" s="228">
        <v>10</v>
      </c>
      <c r="CZ86" s="229">
        <v>7.1999999999999998E-3</v>
      </c>
      <c r="DA86" s="228">
        <v>29.94</v>
      </c>
      <c r="DB86" s="228">
        <v>30.73</v>
      </c>
      <c r="DC86" s="228">
        <v>-0.79</v>
      </c>
      <c r="DD86" s="228">
        <v>-0.79</v>
      </c>
      <c r="DE86" s="228">
        <v>27</v>
      </c>
      <c r="DF86" s="228">
        <v>27.06</v>
      </c>
      <c r="DG86" s="228">
        <v>2.94</v>
      </c>
      <c r="DH86" s="228">
        <v>-0.06</v>
      </c>
      <c r="DI86" s="228">
        <v>28.71</v>
      </c>
      <c r="DJ86" s="228">
        <v>28.98</v>
      </c>
      <c r="DK86" s="228">
        <v>-0.27</v>
      </c>
      <c r="DL86" s="228">
        <v>-0.27</v>
      </c>
      <c r="DM86" s="228">
        <v>31.39</v>
      </c>
      <c r="DN86" s="228">
        <v>33.409999999999997</v>
      </c>
      <c r="DO86" s="228">
        <v>-2.02</v>
      </c>
      <c r="DP86" s="228">
        <v>-2.02</v>
      </c>
      <c r="DQ86" s="228">
        <v>0.69</v>
      </c>
      <c r="DR86" s="228">
        <v>0.73</v>
      </c>
      <c r="DS86" s="228">
        <v>-0.04</v>
      </c>
      <c r="DT86" s="229">
        <v>-5.4800000000000001E-2</v>
      </c>
      <c r="DU86" s="228">
        <v>680</v>
      </c>
      <c r="DV86" s="228">
        <v>630</v>
      </c>
      <c r="DW86" s="228">
        <v>0.86</v>
      </c>
      <c r="DX86" s="228">
        <v>0.66</v>
      </c>
      <c r="DY86" s="228">
        <v>0.2</v>
      </c>
      <c r="DZ86" s="229">
        <v>0.30299999999999999</v>
      </c>
      <c r="EA86" s="229">
        <v>5.3E-3</v>
      </c>
      <c r="EB86" s="230">
        <v>94350</v>
      </c>
      <c r="EC86" s="229">
        <v>7.0000000000000001E-3</v>
      </c>
      <c r="ED86" s="229">
        <v>5.3E-3</v>
      </c>
      <c r="EE86" s="228">
        <v>1.51</v>
      </c>
      <c r="EF86" s="229">
        <v>2.5000000000000001E-3</v>
      </c>
      <c r="EG86" s="230">
        <v>603901</v>
      </c>
      <c r="EH86" s="230">
        <v>895184</v>
      </c>
      <c r="EI86" s="229">
        <v>-0.32540000000000002</v>
      </c>
      <c r="EJ86" s="229">
        <v>0.62860000000000005</v>
      </c>
      <c r="EK86" s="228">
        <v>100.4</v>
      </c>
      <c r="EL86" s="228">
        <v>81.28</v>
      </c>
      <c r="EM86" s="228">
        <v>66.459999999999994</v>
      </c>
      <c r="EN86" s="228">
        <v>24.38</v>
      </c>
      <c r="EO86" s="228">
        <v>248.14</v>
      </c>
      <c r="EP86" s="228">
        <v>225.67</v>
      </c>
      <c r="EQ86" s="228">
        <v>22.48</v>
      </c>
      <c r="ER86" s="229">
        <v>9.9599999999999994E-2</v>
      </c>
      <c r="ES86" s="228">
        <v>228.35</v>
      </c>
      <c r="ET86" s="228">
        <v>146.94</v>
      </c>
      <c r="EU86" s="231">
        <v>1004.77</v>
      </c>
      <c r="EV86" s="231">
        <v>58746582</v>
      </c>
      <c r="EW86" s="231">
        <v>1380.06</v>
      </c>
      <c r="EX86" s="231">
        <v>1376.99</v>
      </c>
      <c r="EY86" s="228">
        <v>3.07</v>
      </c>
      <c r="EZ86" s="229">
        <v>2.2000000000000001E-3</v>
      </c>
      <c r="FA86" s="229">
        <v>0.38729999999999998</v>
      </c>
      <c r="FB86" s="227" t="s">
        <v>568</v>
      </c>
      <c r="FC86">
        <f t="shared" si="1"/>
        <v>6</v>
      </c>
    </row>
    <row r="87" spans="1:159" ht="17.25" hidden="1" thickBot="1" x14ac:dyDescent="0.3">
      <c r="A87" s="226">
        <v>46093</v>
      </c>
      <c r="B87" s="227" t="s">
        <v>188</v>
      </c>
      <c r="C87" s="227" t="s">
        <v>234</v>
      </c>
      <c r="D87" s="228">
        <v>71475</v>
      </c>
      <c r="E87" s="228">
        <v>18</v>
      </c>
      <c r="F87" s="228">
        <v>9.6</v>
      </c>
      <c r="G87" s="228">
        <v>9.7200000000000006</v>
      </c>
      <c r="H87" s="228">
        <v>-0.12</v>
      </c>
      <c r="I87" s="229">
        <v>-1.23E-2</v>
      </c>
      <c r="J87" s="228">
        <v>9.56</v>
      </c>
      <c r="K87" s="228">
        <v>9.7100000000000009</v>
      </c>
      <c r="L87" s="228">
        <v>-0.15</v>
      </c>
      <c r="M87" s="229">
        <v>-1.54E-2</v>
      </c>
      <c r="N87" s="228">
        <v>9.6</v>
      </c>
      <c r="O87" s="228">
        <v>9.7200000000000006</v>
      </c>
      <c r="P87" s="228">
        <v>-0.12</v>
      </c>
      <c r="Q87" s="229">
        <v>-1.23E-2</v>
      </c>
      <c r="R87" s="228">
        <v>9.67</v>
      </c>
      <c r="S87" s="228">
        <v>9.81</v>
      </c>
      <c r="T87" s="228">
        <v>-0.14000000000000001</v>
      </c>
      <c r="U87" s="229">
        <v>-1.43E-2</v>
      </c>
      <c r="V87" s="228">
        <v>9.73</v>
      </c>
      <c r="W87" s="228">
        <v>9.8699999999999992</v>
      </c>
      <c r="X87" s="228">
        <v>-0.14000000000000001</v>
      </c>
      <c r="Y87" s="229">
        <v>-1.4200000000000001E-2</v>
      </c>
      <c r="Z87" s="228">
        <v>0.04</v>
      </c>
      <c r="AA87" s="228">
        <v>0.01</v>
      </c>
      <c r="AB87" s="228">
        <v>0.03</v>
      </c>
      <c r="AC87" s="229">
        <v>4.1999999999999997E-3</v>
      </c>
      <c r="AD87" s="228">
        <v>0.04</v>
      </c>
      <c r="AE87" s="228">
        <v>0.01</v>
      </c>
      <c r="AF87" s="228">
        <v>0.03</v>
      </c>
      <c r="AG87" s="229">
        <v>4.1999999999999997E-3</v>
      </c>
      <c r="AH87" s="228">
        <v>0.11</v>
      </c>
      <c r="AI87" s="228">
        <v>0.1</v>
      </c>
      <c r="AJ87" s="228">
        <v>0.01</v>
      </c>
      <c r="AK87" s="229">
        <v>1.15E-2</v>
      </c>
      <c r="AL87" s="228">
        <v>0.17</v>
      </c>
      <c r="AM87" s="228">
        <v>0.16</v>
      </c>
      <c r="AN87" s="228">
        <v>0.01</v>
      </c>
      <c r="AO87" s="229">
        <v>1.78E-2</v>
      </c>
      <c r="AP87" s="228">
        <v>9.5500000000000007</v>
      </c>
      <c r="AQ87" s="228">
        <v>9.6199999999999992</v>
      </c>
      <c r="AR87" s="228">
        <v>0</v>
      </c>
      <c r="AS87" s="228">
        <v>793</v>
      </c>
      <c r="AT87" s="228">
        <v>420</v>
      </c>
      <c r="AU87" s="228">
        <v>373</v>
      </c>
      <c r="AV87" s="229">
        <v>0.88839999999999997</v>
      </c>
      <c r="AW87" s="228">
        <v>540</v>
      </c>
      <c r="AX87" s="228">
        <v>357</v>
      </c>
      <c r="AY87" s="228">
        <v>183</v>
      </c>
      <c r="AZ87" s="229">
        <v>0.51270000000000004</v>
      </c>
      <c r="BA87" s="228">
        <v>238</v>
      </c>
      <c r="BB87" s="228">
        <v>54</v>
      </c>
      <c r="BC87" s="228">
        <v>184</v>
      </c>
      <c r="BD87" s="229">
        <v>3.4361000000000002</v>
      </c>
      <c r="BE87" s="228">
        <v>15</v>
      </c>
      <c r="BF87" s="228">
        <v>9</v>
      </c>
      <c r="BG87" s="228">
        <v>6</v>
      </c>
      <c r="BH87" s="229">
        <v>0.6119</v>
      </c>
      <c r="BI87" s="230">
        <v>1048</v>
      </c>
      <c r="BJ87" s="228">
        <v>743</v>
      </c>
      <c r="BK87" s="228">
        <v>306</v>
      </c>
      <c r="BL87" s="229">
        <v>0.41160000000000002</v>
      </c>
      <c r="BM87" s="228">
        <v>423</v>
      </c>
      <c r="BN87" s="228">
        <v>311</v>
      </c>
      <c r="BO87" s="228">
        <v>112</v>
      </c>
      <c r="BP87" s="229">
        <v>0.35909999999999997</v>
      </c>
      <c r="BQ87" s="230">
        <v>2264</v>
      </c>
      <c r="BR87" s="230">
        <v>1473</v>
      </c>
      <c r="BS87" s="228">
        <v>790</v>
      </c>
      <c r="BT87" s="229">
        <v>0.53639999999999999</v>
      </c>
      <c r="BU87" s="230">
        <v>478159397</v>
      </c>
      <c r="BV87" s="230">
        <v>421346577</v>
      </c>
      <c r="BW87" s="230">
        <v>56812820</v>
      </c>
      <c r="BX87" s="229">
        <v>0.1348</v>
      </c>
      <c r="BY87" s="230">
        <v>6854</v>
      </c>
      <c r="BZ87" s="230">
        <v>6862</v>
      </c>
      <c r="CA87" s="228">
        <v>-8</v>
      </c>
      <c r="CB87" s="229">
        <v>-1.1999999999999999E-3</v>
      </c>
      <c r="CC87" s="230">
        <v>6354</v>
      </c>
      <c r="CD87" s="230">
        <v>6515</v>
      </c>
      <c r="CE87" s="228">
        <v>-161</v>
      </c>
      <c r="CF87" s="229">
        <v>-2.47E-2</v>
      </c>
      <c r="CG87" s="228">
        <v>463</v>
      </c>
      <c r="CH87" s="228">
        <v>314</v>
      </c>
      <c r="CI87" s="228">
        <v>149</v>
      </c>
      <c r="CJ87" s="229">
        <v>0.47370000000000001</v>
      </c>
      <c r="CK87" s="228">
        <v>37</v>
      </c>
      <c r="CL87" s="228">
        <v>33</v>
      </c>
      <c r="CM87" s="228">
        <v>4</v>
      </c>
      <c r="CN87" s="229">
        <v>0.1172</v>
      </c>
      <c r="CO87" s="230">
        <v>1917</v>
      </c>
      <c r="CP87" s="230">
        <v>1870</v>
      </c>
      <c r="CQ87" s="228">
        <v>47</v>
      </c>
      <c r="CR87" s="229">
        <v>2.4899999999999999E-2</v>
      </c>
      <c r="CS87" s="228">
        <v>948</v>
      </c>
      <c r="CT87" s="228">
        <v>939</v>
      </c>
      <c r="CU87" s="228">
        <v>9</v>
      </c>
      <c r="CV87" s="229">
        <v>9.5999999999999992E-3</v>
      </c>
      <c r="CW87" s="230">
        <v>9719</v>
      </c>
      <c r="CX87" s="230">
        <v>9671</v>
      </c>
      <c r="CY87" s="228">
        <v>47</v>
      </c>
      <c r="CZ87" s="229">
        <v>4.8999999999999998E-3</v>
      </c>
      <c r="DA87" s="228">
        <v>63.6</v>
      </c>
      <c r="DB87" s="228">
        <v>63.46</v>
      </c>
      <c r="DC87" s="228">
        <v>0.14000000000000001</v>
      </c>
      <c r="DD87" s="228">
        <v>0.14000000000000001</v>
      </c>
      <c r="DE87" s="228">
        <v>65.41</v>
      </c>
      <c r="DF87" s="228">
        <v>65.55</v>
      </c>
      <c r="DG87" s="228">
        <v>-1.81</v>
      </c>
      <c r="DH87" s="228">
        <v>-0.14000000000000001</v>
      </c>
      <c r="DI87" s="228">
        <v>63.93</v>
      </c>
      <c r="DJ87" s="228">
        <v>64.88</v>
      </c>
      <c r="DK87" s="228">
        <v>-0.95</v>
      </c>
      <c r="DL87" s="228">
        <v>-0.95</v>
      </c>
      <c r="DM87" s="228">
        <v>62.79</v>
      </c>
      <c r="DN87" s="228">
        <v>60.07</v>
      </c>
      <c r="DO87" s="228">
        <v>2.72</v>
      </c>
      <c r="DP87" s="228">
        <v>2.72</v>
      </c>
      <c r="DQ87" s="228">
        <v>0.49</v>
      </c>
      <c r="DR87" s="228">
        <v>0.5</v>
      </c>
      <c r="DS87" s="228">
        <v>-0.01</v>
      </c>
      <c r="DT87" s="229">
        <v>-0.02</v>
      </c>
      <c r="DU87" s="228">
        <v>12</v>
      </c>
      <c r="DV87" s="228">
        <v>10</v>
      </c>
      <c r="DW87" s="228">
        <v>0.4</v>
      </c>
      <c r="DX87" s="228">
        <v>0.42</v>
      </c>
      <c r="DY87" s="228">
        <v>-0.02</v>
      </c>
      <c r="DZ87" s="229">
        <v>-4.7600000000000003E-2</v>
      </c>
      <c r="EA87" s="229">
        <v>7.2900000000000006E-2</v>
      </c>
      <c r="EB87" s="230">
        <v>361449075</v>
      </c>
      <c r="EC87" s="229">
        <v>7.3000000000000001E-3</v>
      </c>
      <c r="ED87" s="229">
        <v>7.2900000000000006E-2</v>
      </c>
      <c r="EE87" s="228">
        <v>7.0000000000000007E-2</v>
      </c>
      <c r="EF87" s="229">
        <v>7.3000000000000001E-3</v>
      </c>
      <c r="EG87" s="230">
        <v>87592922</v>
      </c>
      <c r="EH87" s="230">
        <v>104628289</v>
      </c>
      <c r="EI87" s="229">
        <v>-0.1628</v>
      </c>
      <c r="EJ87" s="229">
        <v>0.1832</v>
      </c>
      <c r="EK87" s="231">
        <v>1232.18</v>
      </c>
      <c r="EL87" s="228">
        <v>402.99</v>
      </c>
      <c r="EM87" s="228">
        <v>790.7</v>
      </c>
      <c r="EN87" s="228">
        <v>84.56</v>
      </c>
      <c r="EO87" s="231">
        <v>2425.87</v>
      </c>
      <c r="EP87" s="231">
        <v>1638.52</v>
      </c>
      <c r="EQ87" s="228">
        <v>787.35</v>
      </c>
      <c r="ER87" s="229">
        <v>0.48049999999999998</v>
      </c>
      <c r="ES87" s="231">
        <v>2384.4699999999998</v>
      </c>
      <c r="ET87" s="231">
        <v>1040.48</v>
      </c>
      <c r="EU87" s="231">
        <v>6857.72</v>
      </c>
      <c r="EV87" s="231">
        <v>12037179660</v>
      </c>
      <c r="EW87" s="231">
        <v>10282.67</v>
      </c>
      <c r="EX87" s="231">
        <v>10324.33</v>
      </c>
      <c r="EY87" s="228">
        <v>-41.66</v>
      </c>
      <c r="EZ87" s="229">
        <v>-4.0000000000000001E-3</v>
      </c>
      <c r="FA87" s="229">
        <v>0.84099999999999997</v>
      </c>
      <c r="FB87" s="227" t="s">
        <v>568</v>
      </c>
      <c r="FC87">
        <f t="shared" si="1"/>
        <v>500</v>
      </c>
    </row>
    <row r="88" spans="1:159" ht="17.25" hidden="1" thickBot="1" x14ac:dyDescent="0.3">
      <c r="A88" s="226">
        <v>46093</v>
      </c>
      <c r="B88" s="227" t="s">
        <v>172</v>
      </c>
      <c r="C88" s="227" t="s">
        <v>235</v>
      </c>
      <c r="D88" s="228">
        <v>9275</v>
      </c>
      <c r="E88" s="228">
        <v>18</v>
      </c>
      <c r="F88" s="228">
        <v>64.98</v>
      </c>
      <c r="G88" s="228">
        <v>66.260000000000005</v>
      </c>
      <c r="H88" s="228">
        <v>-1.28</v>
      </c>
      <c r="I88" s="229">
        <v>-1.9300000000000001E-2</v>
      </c>
      <c r="J88" s="228">
        <v>64.78</v>
      </c>
      <c r="K88" s="228">
        <v>66.16</v>
      </c>
      <c r="L88" s="228">
        <v>-1.38</v>
      </c>
      <c r="M88" s="229">
        <v>-2.0899999999999998E-2</v>
      </c>
      <c r="N88" s="228">
        <v>64.98</v>
      </c>
      <c r="O88" s="228">
        <v>66.260000000000005</v>
      </c>
      <c r="P88" s="228">
        <v>-1.28</v>
      </c>
      <c r="Q88" s="229">
        <v>-1.9300000000000001E-2</v>
      </c>
      <c r="R88" s="228">
        <v>65.430000000000007</v>
      </c>
      <c r="S88" s="228">
        <v>66.650000000000006</v>
      </c>
      <c r="T88" s="228">
        <v>-1.22</v>
      </c>
      <c r="U88" s="229">
        <v>-1.83E-2</v>
      </c>
      <c r="V88" s="228">
        <v>65.849999999999994</v>
      </c>
      <c r="W88" s="228">
        <v>66.989999999999995</v>
      </c>
      <c r="X88" s="228">
        <v>-1.1399999999999999</v>
      </c>
      <c r="Y88" s="229">
        <v>-1.7000000000000001E-2</v>
      </c>
      <c r="Z88" s="228">
        <v>0.2</v>
      </c>
      <c r="AA88" s="228">
        <v>0.1</v>
      </c>
      <c r="AB88" s="228">
        <v>0.1</v>
      </c>
      <c r="AC88" s="229">
        <v>3.0999999999999999E-3</v>
      </c>
      <c r="AD88" s="228">
        <v>0.2</v>
      </c>
      <c r="AE88" s="228">
        <v>0.1</v>
      </c>
      <c r="AF88" s="228">
        <v>0.1</v>
      </c>
      <c r="AG88" s="229">
        <v>3.0999999999999999E-3</v>
      </c>
      <c r="AH88" s="228">
        <v>0.65</v>
      </c>
      <c r="AI88" s="228">
        <v>0.49</v>
      </c>
      <c r="AJ88" s="228">
        <v>0.16</v>
      </c>
      <c r="AK88" s="229">
        <v>0.01</v>
      </c>
      <c r="AL88" s="228">
        <v>1.07</v>
      </c>
      <c r="AM88" s="228">
        <v>0.83</v>
      </c>
      <c r="AN88" s="228">
        <v>0.24</v>
      </c>
      <c r="AO88" s="229">
        <v>1.6500000000000001E-2</v>
      </c>
      <c r="AP88" s="228">
        <v>65.150000000000006</v>
      </c>
      <c r="AQ88" s="228">
        <v>65.7</v>
      </c>
      <c r="AR88" s="228">
        <v>0</v>
      </c>
      <c r="AS88" s="228">
        <v>513</v>
      </c>
      <c r="AT88" s="228">
        <v>419</v>
      </c>
      <c r="AU88" s="228">
        <v>94</v>
      </c>
      <c r="AV88" s="229">
        <v>0.22470000000000001</v>
      </c>
      <c r="AW88" s="228">
        <v>384</v>
      </c>
      <c r="AX88" s="228">
        <v>342</v>
      </c>
      <c r="AY88" s="228">
        <v>42</v>
      </c>
      <c r="AZ88" s="229">
        <v>0.12330000000000001</v>
      </c>
      <c r="BA88" s="228">
        <v>111</v>
      </c>
      <c r="BB88" s="228">
        <v>62</v>
      </c>
      <c r="BC88" s="228">
        <v>50</v>
      </c>
      <c r="BD88" s="229">
        <v>0.80900000000000005</v>
      </c>
      <c r="BE88" s="228">
        <v>17</v>
      </c>
      <c r="BF88" s="228">
        <v>15</v>
      </c>
      <c r="BG88" s="228">
        <v>2</v>
      </c>
      <c r="BH88" s="229">
        <v>0.14230000000000001</v>
      </c>
      <c r="BI88" s="228">
        <v>988</v>
      </c>
      <c r="BJ88" s="228">
        <v>826</v>
      </c>
      <c r="BK88" s="228">
        <v>162</v>
      </c>
      <c r="BL88" s="229">
        <v>0.1961</v>
      </c>
      <c r="BM88" s="228">
        <v>704</v>
      </c>
      <c r="BN88" s="228">
        <v>451</v>
      </c>
      <c r="BO88" s="228">
        <v>253</v>
      </c>
      <c r="BP88" s="229">
        <v>0.56120000000000003</v>
      </c>
      <c r="BQ88" s="230">
        <v>2205</v>
      </c>
      <c r="BR88" s="230">
        <v>1696</v>
      </c>
      <c r="BS88" s="228">
        <v>509</v>
      </c>
      <c r="BT88" s="229">
        <v>0.30020000000000002</v>
      </c>
      <c r="BU88" s="230">
        <v>37460696</v>
      </c>
      <c r="BV88" s="230">
        <v>32166055</v>
      </c>
      <c r="BW88" s="230">
        <v>5294641</v>
      </c>
      <c r="BX88" s="229">
        <v>0.1646</v>
      </c>
      <c r="BY88" s="230">
        <v>3361</v>
      </c>
      <c r="BZ88" s="230">
        <v>3351</v>
      </c>
      <c r="CA88" s="228">
        <v>10</v>
      </c>
      <c r="CB88" s="229">
        <v>3.0000000000000001E-3</v>
      </c>
      <c r="CC88" s="230">
        <v>3014</v>
      </c>
      <c r="CD88" s="230">
        <v>3026</v>
      </c>
      <c r="CE88" s="228">
        <v>-12</v>
      </c>
      <c r="CF88" s="229">
        <v>-4.1000000000000003E-3</v>
      </c>
      <c r="CG88" s="228">
        <v>285</v>
      </c>
      <c r="CH88" s="228">
        <v>269</v>
      </c>
      <c r="CI88" s="228">
        <v>15</v>
      </c>
      <c r="CJ88" s="229">
        <v>5.6599999999999998E-2</v>
      </c>
      <c r="CK88" s="228">
        <v>63</v>
      </c>
      <c r="CL88" s="228">
        <v>56</v>
      </c>
      <c r="CM88" s="228">
        <v>7</v>
      </c>
      <c r="CN88" s="229">
        <v>0.1268</v>
      </c>
      <c r="CO88" s="230">
        <v>2164</v>
      </c>
      <c r="CP88" s="230">
        <v>2137</v>
      </c>
      <c r="CQ88" s="228">
        <v>27</v>
      </c>
      <c r="CR88" s="229">
        <v>1.24E-2</v>
      </c>
      <c r="CS88" s="230">
        <v>1243</v>
      </c>
      <c r="CT88" s="230">
        <v>1238</v>
      </c>
      <c r="CU88" s="228">
        <v>5</v>
      </c>
      <c r="CV88" s="229">
        <v>4.4000000000000003E-3</v>
      </c>
      <c r="CW88" s="230">
        <v>6768</v>
      </c>
      <c r="CX88" s="230">
        <v>6726</v>
      </c>
      <c r="CY88" s="228">
        <v>42</v>
      </c>
      <c r="CZ88" s="229">
        <v>6.1999999999999998E-3</v>
      </c>
      <c r="DA88" s="228">
        <v>42.6</v>
      </c>
      <c r="DB88" s="228">
        <v>42.46</v>
      </c>
      <c r="DC88" s="228">
        <v>0.14000000000000001</v>
      </c>
      <c r="DD88" s="228">
        <v>0.14000000000000001</v>
      </c>
      <c r="DE88" s="228">
        <v>39.64</v>
      </c>
      <c r="DF88" s="228">
        <v>39.65</v>
      </c>
      <c r="DG88" s="228">
        <v>2.96</v>
      </c>
      <c r="DH88" s="228">
        <v>-0.01</v>
      </c>
      <c r="DI88" s="228">
        <v>43.31</v>
      </c>
      <c r="DJ88" s="228">
        <v>43.01</v>
      </c>
      <c r="DK88" s="228">
        <v>0.3</v>
      </c>
      <c r="DL88" s="228">
        <v>0.3</v>
      </c>
      <c r="DM88" s="228">
        <v>41.6</v>
      </c>
      <c r="DN88" s="228">
        <v>41.46</v>
      </c>
      <c r="DO88" s="228">
        <v>0.14000000000000001</v>
      </c>
      <c r="DP88" s="228">
        <v>0.14000000000000001</v>
      </c>
      <c r="DQ88" s="228">
        <v>0.56999999999999995</v>
      </c>
      <c r="DR88" s="228">
        <v>0.57999999999999996</v>
      </c>
      <c r="DS88" s="228">
        <v>-0.01</v>
      </c>
      <c r="DT88" s="229">
        <v>-1.72E-2</v>
      </c>
      <c r="DU88" s="228">
        <v>75</v>
      </c>
      <c r="DV88" s="228">
        <v>70</v>
      </c>
      <c r="DW88" s="228">
        <v>0.71</v>
      </c>
      <c r="DX88" s="228">
        <v>0.55000000000000004</v>
      </c>
      <c r="DY88" s="228">
        <v>0.16</v>
      </c>
      <c r="DZ88" s="229">
        <v>0.29089999999999999</v>
      </c>
      <c r="EA88" s="229">
        <v>0.10340000000000001</v>
      </c>
      <c r="EB88" s="230">
        <v>50029350</v>
      </c>
      <c r="EC88" s="229">
        <v>6.8999999999999999E-3</v>
      </c>
      <c r="ED88" s="229">
        <v>0.10340000000000001</v>
      </c>
      <c r="EE88" s="228">
        <v>0.55000000000000004</v>
      </c>
      <c r="EF88" s="229">
        <v>8.3999999999999995E-3</v>
      </c>
      <c r="EG88" s="230">
        <v>13994604</v>
      </c>
      <c r="EH88" s="230">
        <v>13243419</v>
      </c>
      <c r="EI88" s="229">
        <v>5.67E-2</v>
      </c>
      <c r="EJ88" s="229">
        <v>0.37359999999999999</v>
      </c>
      <c r="EK88" s="231">
        <v>1126.4000000000001</v>
      </c>
      <c r="EL88" s="228">
        <v>693.19</v>
      </c>
      <c r="EM88" s="228">
        <v>515.62</v>
      </c>
      <c r="EN88" s="228">
        <v>97.98</v>
      </c>
      <c r="EO88" s="231">
        <v>2335.21</v>
      </c>
      <c r="EP88" s="231">
        <v>1835.44</v>
      </c>
      <c r="EQ88" s="228">
        <v>499.77</v>
      </c>
      <c r="ER88" s="229">
        <v>0.27229999999999999</v>
      </c>
      <c r="ES88" s="231">
        <v>2551.4</v>
      </c>
      <c r="ET88" s="231">
        <v>1303.96</v>
      </c>
      <c r="EU88" s="231">
        <v>3363.71</v>
      </c>
      <c r="EV88" s="231">
        <v>936861183</v>
      </c>
      <c r="EW88" s="231">
        <v>7219.07</v>
      </c>
      <c r="EX88" s="231">
        <v>7258.69</v>
      </c>
      <c r="EY88" s="228">
        <v>-39.619999999999997</v>
      </c>
      <c r="EZ88" s="229">
        <v>-5.4999999999999997E-3</v>
      </c>
      <c r="FA88" s="229">
        <v>1.1116999999999999</v>
      </c>
      <c r="FB88" s="227" t="s">
        <v>567</v>
      </c>
      <c r="FC88">
        <f t="shared" si="1"/>
        <v>347</v>
      </c>
    </row>
    <row r="89" spans="1:159" ht="17.25" hidden="1" thickBot="1" x14ac:dyDescent="0.3">
      <c r="A89" s="226">
        <v>46093</v>
      </c>
      <c r="B89" s="227" t="s">
        <v>161</v>
      </c>
      <c r="C89" s="227" t="s">
        <v>514</v>
      </c>
      <c r="D89" s="228">
        <v>3750</v>
      </c>
      <c r="E89" s="228">
        <v>18</v>
      </c>
      <c r="F89" s="228">
        <v>122.95</v>
      </c>
      <c r="G89" s="228">
        <v>122.95</v>
      </c>
      <c r="H89" s="228">
        <v>0</v>
      </c>
      <c r="I89" s="229">
        <v>0</v>
      </c>
      <c r="J89" s="228">
        <v>122.76</v>
      </c>
      <c r="K89" s="228">
        <v>122.85</v>
      </c>
      <c r="L89" s="228">
        <v>-0.09</v>
      </c>
      <c r="M89" s="229">
        <v>-6.9999999999999999E-4</v>
      </c>
      <c r="N89" s="228">
        <v>122.95</v>
      </c>
      <c r="O89" s="228">
        <v>122.95</v>
      </c>
      <c r="P89" s="228">
        <v>0</v>
      </c>
      <c r="Q89" s="229">
        <v>0</v>
      </c>
      <c r="R89" s="228">
        <v>123.74</v>
      </c>
      <c r="S89" s="228">
        <v>123.72</v>
      </c>
      <c r="T89" s="228">
        <v>0.02</v>
      </c>
      <c r="U89" s="229">
        <v>2.0000000000000001E-4</v>
      </c>
      <c r="V89" s="228">
        <v>123.59</v>
      </c>
      <c r="W89" s="228">
        <v>123.91</v>
      </c>
      <c r="X89" s="228">
        <v>-0.32</v>
      </c>
      <c r="Y89" s="229">
        <v>-2.5999999999999999E-3</v>
      </c>
      <c r="Z89" s="228">
        <v>0.19</v>
      </c>
      <c r="AA89" s="228">
        <v>0.1</v>
      </c>
      <c r="AB89" s="228">
        <v>0.09</v>
      </c>
      <c r="AC89" s="229">
        <v>1.5E-3</v>
      </c>
      <c r="AD89" s="228">
        <v>0.19</v>
      </c>
      <c r="AE89" s="228">
        <v>0.1</v>
      </c>
      <c r="AF89" s="228">
        <v>0.09</v>
      </c>
      <c r="AG89" s="229">
        <v>1.5E-3</v>
      </c>
      <c r="AH89" s="228">
        <v>0.98</v>
      </c>
      <c r="AI89" s="228">
        <v>0.87</v>
      </c>
      <c r="AJ89" s="228">
        <v>0.11</v>
      </c>
      <c r="AK89" s="229">
        <v>8.0000000000000002E-3</v>
      </c>
      <c r="AL89" s="228">
        <v>0.83</v>
      </c>
      <c r="AM89" s="228">
        <v>1.06</v>
      </c>
      <c r="AN89" s="228">
        <v>-0.23</v>
      </c>
      <c r="AO89" s="229">
        <v>6.7999999999999996E-3</v>
      </c>
      <c r="AP89" s="228">
        <v>122.12</v>
      </c>
      <c r="AQ89" s="228">
        <v>122.88</v>
      </c>
      <c r="AR89" s="228">
        <v>0</v>
      </c>
      <c r="AS89" s="228">
        <v>119</v>
      </c>
      <c r="AT89" s="228">
        <v>202</v>
      </c>
      <c r="AU89" s="228">
        <v>-83</v>
      </c>
      <c r="AV89" s="229">
        <v>-0.41039999999999999</v>
      </c>
      <c r="AW89" s="228">
        <v>99</v>
      </c>
      <c r="AX89" s="228">
        <v>180</v>
      </c>
      <c r="AY89" s="228">
        <v>-81</v>
      </c>
      <c r="AZ89" s="229">
        <v>-0.44990000000000002</v>
      </c>
      <c r="BA89" s="228">
        <v>17</v>
      </c>
      <c r="BB89" s="228">
        <v>19</v>
      </c>
      <c r="BC89" s="228">
        <v>-2</v>
      </c>
      <c r="BD89" s="229">
        <v>-9.98E-2</v>
      </c>
      <c r="BE89" s="228">
        <v>3</v>
      </c>
      <c r="BF89" s="228">
        <v>3</v>
      </c>
      <c r="BG89" s="228">
        <v>0</v>
      </c>
      <c r="BH89" s="229">
        <v>-5.9700000000000003E-2</v>
      </c>
      <c r="BI89" s="228">
        <v>401</v>
      </c>
      <c r="BJ89" s="228">
        <v>869</v>
      </c>
      <c r="BK89" s="228">
        <v>-468</v>
      </c>
      <c r="BL89" s="229">
        <v>-0.53810000000000002</v>
      </c>
      <c r="BM89" s="228">
        <v>107</v>
      </c>
      <c r="BN89" s="228">
        <v>214</v>
      </c>
      <c r="BO89" s="228">
        <v>-107</v>
      </c>
      <c r="BP89" s="229">
        <v>-0.49990000000000001</v>
      </c>
      <c r="BQ89" s="228">
        <v>628</v>
      </c>
      <c r="BR89" s="230">
        <v>1285</v>
      </c>
      <c r="BS89" s="228">
        <v>-657</v>
      </c>
      <c r="BT89" s="229">
        <v>-0.51160000000000005</v>
      </c>
      <c r="BU89" s="230">
        <v>6065631</v>
      </c>
      <c r="BV89" s="230">
        <v>9197231</v>
      </c>
      <c r="BW89" s="230">
        <v>-3131600</v>
      </c>
      <c r="BX89" s="229">
        <v>-0.34050000000000002</v>
      </c>
      <c r="BY89" s="228">
        <v>929</v>
      </c>
      <c r="BZ89" s="228">
        <v>924</v>
      </c>
      <c r="CA89" s="228">
        <v>5</v>
      </c>
      <c r="CB89" s="229">
        <v>5.5999999999999999E-3</v>
      </c>
      <c r="CC89" s="228">
        <v>805</v>
      </c>
      <c r="CD89" s="228">
        <v>807</v>
      </c>
      <c r="CE89" s="228">
        <v>-1</v>
      </c>
      <c r="CF89" s="229">
        <v>-1.8E-3</v>
      </c>
      <c r="CG89" s="228">
        <v>117</v>
      </c>
      <c r="CH89" s="228">
        <v>111</v>
      </c>
      <c r="CI89" s="228">
        <v>6</v>
      </c>
      <c r="CJ89" s="229">
        <v>5.4399999999999997E-2</v>
      </c>
      <c r="CK89" s="228">
        <v>6</v>
      </c>
      <c r="CL89" s="228">
        <v>6</v>
      </c>
      <c r="CM89" s="228">
        <v>1</v>
      </c>
      <c r="CN89" s="229">
        <v>0.1129</v>
      </c>
      <c r="CO89" s="228">
        <v>532</v>
      </c>
      <c r="CP89" s="228">
        <v>527</v>
      </c>
      <c r="CQ89" s="228">
        <v>5</v>
      </c>
      <c r="CR89" s="229">
        <v>8.6E-3</v>
      </c>
      <c r="CS89" s="228">
        <v>360</v>
      </c>
      <c r="CT89" s="228">
        <v>354</v>
      </c>
      <c r="CU89" s="228">
        <v>6</v>
      </c>
      <c r="CV89" s="229">
        <v>1.6899999999999998E-2</v>
      </c>
      <c r="CW89" s="230">
        <v>1821</v>
      </c>
      <c r="CX89" s="230">
        <v>1805</v>
      </c>
      <c r="CY89" s="228">
        <v>16</v>
      </c>
      <c r="CZ89" s="229">
        <v>8.6999999999999994E-3</v>
      </c>
      <c r="DA89" s="228">
        <v>37.83</v>
      </c>
      <c r="DB89" s="228">
        <v>37.67</v>
      </c>
      <c r="DC89" s="228">
        <v>0.16</v>
      </c>
      <c r="DD89" s="228">
        <v>0.16</v>
      </c>
      <c r="DE89" s="228">
        <v>51.76</v>
      </c>
      <c r="DF89" s="228">
        <v>51.89</v>
      </c>
      <c r="DG89" s="228">
        <v>-13.93</v>
      </c>
      <c r="DH89" s="228">
        <v>-0.13</v>
      </c>
      <c r="DI89" s="228">
        <v>37.409999999999997</v>
      </c>
      <c r="DJ89" s="228">
        <v>37.65</v>
      </c>
      <c r="DK89" s="228">
        <v>-0.24</v>
      </c>
      <c r="DL89" s="228">
        <v>-0.24</v>
      </c>
      <c r="DM89" s="228">
        <v>39.43</v>
      </c>
      <c r="DN89" s="228">
        <v>37.75</v>
      </c>
      <c r="DO89" s="228">
        <v>1.68</v>
      </c>
      <c r="DP89" s="228">
        <v>1.68</v>
      </c>
      <c r="DQ89" s="228">
        <v>0.68</v>
      </c>
      <c r="DR89" s="228">
        <v>0.67</v>
      </c>
      <c r="DS89" s="228">
        <v>0.01</v>
      </c>
      <c r="DT89" s="229">
        <v>1.49E-2</v>
      </c>
      <c r="DU89" s="228">
        <v>130</v>
      </c>
      <c r="DV89" s="228">
        <v>140</v>
      </c>
      <c r="DW89" s="228">
        <v>0.27</v>
      </c>
      <c r="DX89" s="228">
        <v>0.25</v>
      </c>
      <c r="DY89" s="228">
        <v>0.02</v>
      </c>
      <c r="DZ89" s="229">
        <v>0.08</v>
      </c>
      <c r="EA89" s="229">
        <v>0.13289999999999999</v>
      </c>
      <c r="EB89" s="230">
        <v>9495000</v>
      </c>
      <c r="EC89" s="229">
        <v>6.4000000000000003E-3</v>
      </c>
      <c r="ED89" s="229">
        <v>0.13289999999999999</v>
      </c>
      <c r="EE89" s="228">
        <v>0.76</v>
      </c>
      <c r="EF89" s="229">
        <v>6.1999999999999998E-3</v>
      </c>
      <c r="EG89" s="230">
        <v>2065361</v>
      </c>
      <c r="EH89" s="230">
        <v>2181295</v>
      </c>
      <c r="EI89" s="229">
        <v>-5.3100000000000001E-2</v>
      </c>
      <c r="EJ89" s="229">
        <v>0.34050000000000002</v>
      </c>
      <c r="EK89" s="228">
        <v>427.43</v>
      </c>
      <c r="EL89" s="228">
        <v>105.53</v>
      </c>
      <c r="EM89" s="228">
        <v>118.69</v>
      </c>
      <c r="EN89" s="228">
        <v>29.14</v>
      </c>
      <c r="EO89" s="228">
        <v>651.65</v>
      </c>
      <c r="EP89" s="231">
        <v>1356.12</v>
      </c>
      <c r="EQ89" s="228">
        <v>-704.48</v>
      </c>
      <c r="ER89" s="229">
        <v>-0.51949999999999996</v>
      </c>
      <c r="ES89" s="228">
        <v>571.41</v>
      </c>
      <c r="ET89" s="228">
        <v>375.54</v>
      </c>
      <c r="EU89" s="228">
        <v>929.6</v>
      </c>
      <c r="EV89" s="231">
        <v>133395043</v>
      </c>
      <c r="EW89" s="231">
        <v>1876.54</v>
      </c>
      <c r="EX89" s="231">
        <v>1860.7</v>
      </c>
      <c r="EY89" s="228">
        <v>15.84</v>
      </c>
      <c r="EZ89" s="229">
        <v>8.5000000000000006E-3</v>
      </c>
      <c r="FA89" s="229">
        <v>1.1103000000000001</v>
      </c>
      <c r="FB89" s="227" t="s">
        <v>237</v>
      </c>
      <c r="FC89">
        <f t="shared" si="1"/>
        <v>124</v>
      </c>
    </row>
    <row r="90" spans="1:159" ht="17.25" hidden="1" thickBot="1" x14ac:dyDescent="0.3">
      <c r="A90" s="226">
        <v>46093</v>
      </c>
      <c r="B90" s="227" t="s">
        <v>206</v>
      </c>
      <c r="C90" s="227" t="s">
        <v>501</v>
      </c>
      <c r="D90" s="228">
        <v>1000</v>
      </c>
      <c r="E90" s="228">
        <v>18</v>
      </c>
      <c r="F90" s="228">
        <v>625.65</v>
      </c>
      <c r="G90" s="228">
        <v>624.45000000000005</v>
      </c>
      <c r="H90" s="228">
        <v>1.2</v>
      </c>
      <c r="I90" s="229">
        <v>1.9E-3</v>
      </c>
      <c r="J90" s="228">
        <v>624.95000000000005</v>
      </c>
      <c r="K90" s="228">
        <v>624.04999999999995</v>
      </c>
      <c r="L90" s="228">
        <v>0.9</v>
      </c>
      <c r="M90" s="229">
        <v>1.4E-3</v>
      </c>
      <c r="N90" s="228">
        <v>625.65</v>
      </c>
      <c r="O90" s="228">
        <v>624.45000000000005</v>
      </c>
      <c r="P90" s="228">
        <v>1.2</v>
      </c>
      <c r="Q90" s="229">
        <v>1.9E-3</v>
      </c>
      <c r="R90" s="228">
        <v>629.35</v>
      </c>
      <c r="S90" s="228">
        <v>627.65</v>
      </c>
      <c r="T90" s="228">
        <v>1.7</v>
      </c>
      <c r="U90" s="229">
        <v>2.7000000000000001E-3</v>
      </c>
      <c r="V90" s="228">
        <v>631.70000000000005</v>
      </c>
      <c r="W90" s="228">
        <v>632</v>
      </c>
      <c r="X90" s="228">
        <v>-0.3</v>
      </c>
      <c r="Y90" s="229">
        <v>-5.0000000000000001E-4</v>
      </c>
      <c r="Z90" s="228">
        <v>0.7</v>
      </c>
      <c r="AA90" s="228">
        <v>0.4</v>
      </c>
      <c r="AB90" s="228">
        <v>0.3</v>
      </c>
      <c r="AC90" s="229">
        <v>1.1000000000000001E-3</v>
      </c>
      <c r="AD90" s="228">
        <v>0.7</v>
      </c>
      <c r="AE90" s="228">
        <v>0.4</v>
      </c>
      <c r="AF90" s="228">
        <v>0.3</v>
      </c>
      <c r="AG90" s="229">
        <v>1.1000000000000001E-3</v>
      </c>
      <c r="AH90" s="228">
        <v>4.4000000000000004</v>
      </c>
      <c r="AI90" s="228">
        <v>3.6</v>
      </c>
      <c r="AJ90" s="228">
        <v>0.8</v>
      </c>
      <c r="AK90" s="229">
        <v>7.0000000000000001E-3</v>
      </c>
      <c r="AL90" s="228">
        <v>6.75</v>
      </c>
      <c r="AM90" s="228">
        <v>7.95</v>
      </c>
      <c r="AN90" s="228">
        <v>-1.2</v>
      </c>
      <c r="AO90" s="229">
        <v>1.0800000000000001E-2</v>
      </c>
      <c r="AP90" s="228">
        <v>619.19000000000005</v>
      </c>
      <c r="AQ90" s="228">
        <v>622.59</v>
      </c>
      <c r="AR90" s="228">
        <v>0</v>
      </c>
      <c r="AS90" s="228">
        <v>347</v>
      </c>
      <c r="AT90" s="228">
        <v>190</v>
      </c>
      <c r="AU90" s="228">
        <v>157</v>
      </c>
      <c r="AV90" s="229">
        <v>0.82509999999999994</v>
      </c>
      <c r="AW90" s="228">
        <v>325</v>
      </c>
      <c r="AX90" s="228">
        <v>180</v>
      </c>
      <c r="AY90" s="228">
        <v>145</v>
      </c>
      <c r="AZ90" s="229">
        <v>0.80700000000000005</v>
      </c>
      <c r="BA90" s="228">
        <v>19</v>
      </c>
      <c r="BB90" s="228">
        <v>10</v>
      </c>
      <c r="BC90" s="228">
        <v>9</v>
      </c>
      <c r="BD90" s="229">
        <v>0.96150000000000002</v>
      </c>
      <c r="BE90" s="228">
        <v>4</v>
      </c>
      <c r="BF90" s="228">
        <v>1</v>
      </c>
      <c r="BG90" s="228">
        <v>3</v>
      </c>
      <c r="BH90" s="229">
        <v>3</v>
      </c>
      <c r="BI90" s="228">
        <v>405</v>
      </c>
      <c r="BJ90" s="228">
        <v>191</v>
      </c>
      <c r="BK90" s="228">
        <v>214</v>
      </c>
      <c r="BL90" s="229">
        <v>1.1156999999999999</v>
      </c>
      <c r="BM90" s="228">
        <v>469</v>
      </c>
      <c r="BN90" s="228">
        <v>265</v>
      </c>
      <c r="BO90" s="228">
        <v>203</v>
      </c>
      <c r="BP90" s="229">
        <v>0.76680000000000004</v>
      </c>
      <c r="BQ90" s="230">
        <v>1221</v>
      </c>
      <c r="BR90" s="228">
        <v>647</v>
      </c>
      <c r="BS90" s="228">
        <v>574</v>
      </c>
      <c r="BT90" s="229">
        <v>0.8871</v>
      </c>
      <c r="BU90" s="230">
        <v>4807482</v>
      </c>
      <c r="BV90" s="230">
        <v>2589456</v>
      </c>
      <c r="BW90" s="230">
        <v>2218026</v>
      </c>
      <c r="BX90" s="229">
        <v>0.85660000000000003</v>
      </c>
      <c r="BY90" s="230">
        <v>1295</v>
      </c>
      <c r="BZ90" s="230">
        <v>1349</v>
      </c>
      <c r="CA90" s="228">
        <v>-54</v>
      </c>
      <c r="CB90" s="229">
        <v>-3.9699999999999999E-2</v>
      </c>
      <c r="CC90" s="230">
        <v>1239</v>
      </c>
      <c r="CD90" s="230">
        <v>1294</v>
      </c>
      <c r="CE90" s="228">
        <v>-54</v>
      </c>
      <c r="CF90" s="229">
        <v>-4.2099999999999999E-2</v>
      </c>
      <c r="CG90" s="228">
        <v>47</v>
      </c>
      <c r="CH90" s="228">
        <v>47</v>
      </c>
      <c r="CI90" s="228">
        <v>1</v>
      </c>
      <c r="CJ90" s="229">
        <v>1.61E-2</v>
      </c>
      <c r="CK90" s="228">
        <v>9</v>
      </c>
      <c r="CL90" s="228">
        <v>8</v>
      </c>
      <c r="CM90" s="228">
        <v>0</v>
      </c>
      <c r="CN90" s="229">
        <v>2.2599999999999999E-2</v>
      </c>
      <c r="CO90" s="228">
        <v>523</v>
      </c>
      <c r="CP90" s="228">
        <v>505</v>
      </c>
      <c r="CQ90" s="228">
        <v>18</v>
      </c>
      <c r="CR90" s="229">
        <v>3.5400000000000001E-2</v>
      </c>
      <c r="CS90" s="228">
        <v>448</v>
      </c>
      <c r="CT90" s="228">
        <v>417</v>
      </c>
      <c r="CU90" s="228">
        <v>32</v>
      </c>
      <c r="CV90" s="229">
        <v>7.5800000000000006E-2</v>
      </c>
      <c r="CW90" s="230">
        <v>2266</v>
      </c>
      <c r="CX90" s="230">
        <v>2270</v>
      </c>
      <c r="CY90" s="228">
        <v>-4</v>
      </c>
      <c r="CZ90" s="229">
        <v>-1.8E-3</v>
      </c>
      <c r="DA90" s="228">
        <v>33.590000000000003</v>
      </c>
      <c r="DB90" s="228">
        <v>32.380000000000003</v>
      </c>
      <c r="DC90" s="228">
        <v>1.21</v>
      </c>
      <c r="DD90" s="228">
        <v>1.21</v>
      </c>
      <c r="DE90" s="228">
        <v>32.659999999999997</v>
      </c>
      <c r="DF90" s="228">
        <v>32.74</v>
      </c>
      <c r="DG90" s="228">
        <v>0.93</v>
      </c>
      <c r="DH90" s="228">
        <v>-0.08</v>
      </c>
      <c r="DI90" s="228">
        <v>30.6</v>
      </c>
      <c r="DJ90" s="228">
        <v>30.72</v>
      </c>
      <c r="DK90" s="228">
        <v>-0.12</v>
      </c>
      <c r="DL90" s="228">
        <v>-0.12</v>
      </c>
      <c r="DM90" s="228">
        <v>36.159999999999997</v>
      </c>
      <c r="DN90" s="228">
        <v>33.57</v>
      </c>
      <c r="DO90" s="228">
        <v>2.59</v>
      </c>
      <c r="DP90" s="228">
        <v>2.59</v>
      </c>
      <c r="DQ90" s="228">
        <v>0.86</v>
      </c>
      <c r="DR90" s="228">
        <v>0.83</v>
      </c>
      <c r="DS90" s="228">
        <v>0.03</v>
      </c>
      <c r="DT90" s="229">
        <v>3.61E-2</v>
      </c>
      <c r="DU90" s="228">
        <v>700</v>
      </c>
      <c r="DV90" s="228">
        <v>680</v>
      </c>
      <c r="DW90" s="228">
        <v>1.1599999999999999</v>
      </c>
      <c r="DX90" s="228">
        <v>1.39</v>
      </c>
      <c r="DY90" s="228">
        <v>-0.23</v>
      </c>
      <c r="DZ90" s="229">
        <v>-0.16550000000000001</v>
      </c>
      <c r="EA90" s="229">
        <v>4.3099999999999999E-2</v>
      </c>
      <c r="EB90" s="230">
        <v>878000</v>
      </c>
      <c r="EC90" s="229">
        <v>5.8999999999999999E-3</v>
      </c>
      <c r="ED90" s="229">
        <v>4.3099999999999999E-2</v>
      </c>
      <c r="EE90" s="228">
        <v>3.4</v>
      </c>
      <c r="EF90" s="229">
        <v>5.4999999999999997E-3</v>
      </c>
      <c r="EG90" s="230">
        <v>2958746</v>
      </c>
      <c r="EH90" s="230">
        <v>1699307</v>
      </c>
      <c r="EI90" s="229">
        <v>0.74109999999999998</v>
      </c>
      <c r="EJ90" s="229">
        <v>0.61539999999999995</v>
      </c>
      <c r="EK90" s="228">
        <v>426.7</v>
      </c>
      <c r="EL90" s="228">
        <v>456.56</v>
      </c>
      <c r="EM90" s="228">
        <v>343.76</v>
      </c>
      <c r="EN90" s="228">
        <v>38.32</v>
      </c>
      <c r="EO90" s="231">
        <v>1227.02</v>
      </c>
      <c r="EP90" s="228">
        <v>655.28</v>
      </c>
      <c r="EQ90" s="228">
        <v>571.74</v>
      </c>
      <c r="ER90" s="229">
        <v>0.87250000000000005</v>
      </c>
      <c r="ES90" s="228">
        <v>568.53</v>
      </c>
      <c r="ET90" s="228">
        <v>463.36</v>
      </c>
      <c r="EU90" s="231">
        <v>1295.71</v>
      </c>
      <c r="EV90" s="231">
        <v>132129624</v>
      </c>
      <c r="EW90" s="231">
        <v>2327.61</v>
      </c>
      <c r="EX90" s="231">
        <v>2332.59</v>
      </c>
      <c r="EY90" s="228">
        <v>-4.9800000000000004</v>
      </c>
      <c r="EZ90" s="229">
        <v>-2.0999999999999999E-3</v>
      </c>
      <c r="FA90" s="229">
        <v>0.27410000000000001</v>
      </c>
      <c r="FB90" s="227" t="s">
        <v>556</v>
      </c>
      <c r="FC90">
        <f t="shared" si="1"/>
        <v>56</v>
      </c>
    </row>
    <row r="91" spans="1:159" ht="17.25" hidden="1" thickBot="1" x14ac:dyDescent="0.3">
      <c r="A91" s="226">
        <v>46093</v>
      </c>
      <c r="B91" s="227" t="s">
        <v>172</v>
      </c>
      <c r="C91" s="227" t="s">
        <v>578</v>
      </c>
      <c r="D91" s="228">
        <v>1000</v>
      </c>
      <c r="E91" s="228">
        <v>18</v>
      </c>
      <c r="F91" s="228">
        <v>912.9</v>
      </c>
      <c r="G91" s="228">
        <v>915.35</v>
      </c>
      <c r="H91" s="228">
        <v>-2.4500000000000002</v>
      </c>
      <c r="I91" s="229">
        <v>-2.7000000000000001E-3</v>
      </c>
      <c r="J91" s="228">
        <v>909.6</v>
      </c>
      <c r="K91" s="228">
        <v>917.8</v>
      </c>
      <c r="L91" s="228">
        <v>-8.1999999999999993</v>
      </c>
      <c r="M91" s="229">
        <v>-8.8999999999999999E-3</v>
      </c>
      <c r="N91" s="228">
        <v>912.9</v>
      </c>
      <c r="O91" s="228">
        <v>915.35</v>
      </c>
      <c r="P91" s="228">
        <v>-2.4500000000000002</v>
      </c>
      <c r="Q91" s="229">
        <v>-2.7000000000000001E-3</v>
      </c>
      <c r="R91" s="228">
        <v>916.2</v>
      </c>
      <c r="S91" s="228">
        <v>918.35</v>
      </c>
      <c r="T91" s="228">
        <v>-2.15</v>
      </c>
      <c r="U91" s="229">
        <v>-2.3E-3</v>
      </c>
      <c r="V91" s="228">
        <v>918.25</v>
      </c>
      <c r="W91" s="228">
        <v>920</v>
      </c>
      <c r="X91" s="228">
        <v>-1.75</v>
      </c>
      <c r="Y91" s="229">
        <v>-1.9E-3</v>
      </c>
      <c r="Z91" s="228">
        <v>3.3</v>
      </c>
      <c r="AA91" s="228">
        <v>-2.4500000000000002</v>
      </c>
      <c r="AB91" s="228">
        <v>5.75</v>
      </c>
      <c r="AC91" s="229">
        <v>3.5999999999999999E-3</v>
      </c>
      <c r="AD91" s="228">
        <v>3.3</v>
      </c>
      <c r="AE91" s="228">
        <v>-2.4500000000000002</v>
      </c>
      <c r="AF91" s="228">
        <v>5.75</v>
      </c>
      <c r="AG91" s="229">
        <v>3.5999999999999999E-3</v>
      </c>
      <c r="AH91" s="228">
        <v>6.6</v>
      </c>
      <c r="AI91" s="228">
        <v>0.55000000000000004</v>
      </c>
      <c r="AJ91" s="228">
        <v>6.05</v>
      </c>
      <c r="AK91" s="229">
        <v>7.3000000000000001E-3</v>
      </c>
      <c r="AL91" s="228">
        <v>8.65</v>
      </c>
      <c r="AM91" s="228">
        <v>2.2000000000000002</v>
      </c>
      <c r="AN91" s="228">
        <v>6.45</v>
      </c>
      <c r="AO91" s="229">
        <v>9.4999999999999998E-3</v>
      </c>
      <c r="AP91" s="228">
        <v>908.68</v>
      </c>
      <c r="AQ91" s="228">
        <v>912.1</v>
      </c>
      <c r="AR91" s="228">
        <v>0</v>
      </c>
      <c r="AS91" s="228">
        <v>237</v>
      </c>
      <c r="AT91" s="228">
        <v>191</v>
      </c>
      <c r="AU91" s="228">
        <v>46</v>
      </c>
      <c r="AV91" s="229">
        <v>0.23960000000000001</v>
      </c>
      <c r="AW91" s="228">
        <v>224</v>
      </c>
      <c r="AX91" s="228">
        <v>181</v>
      </c>
      <c r="AY91" s="228">
        <v>43</v>
      </c>
      <c r="AZ91" s="229">
        <v>0.2351</v>
      </c>
      <c r="BA91" s="228">
        <v>12</v>
      </c>
      <c r="BB91" s="228">
        <v>10</v>
      </c>
      <c r="BC91" s="228">
        <v>3</v>
      </c>
      <c r="BD91" s="229">
        <v>0.28299999999999997</v>
      </c>
      <c r="BE91" s="228">
        <v>1</v>
      </c>
      <c r="BF91" s="228">
        <v>0</v>
      </c>
      <c r="BG91" s="228">
        <v>0</v>
      </c>
      <c r="BH91" s="229">
        <v>1.6667000000000001</v>
      </c>
      <c r="BI91" s="228">
        <v>389</v>
      </c>
      <c r="BJ91" s="228">
        <v>326</v>
      </c>
      <c r="BK91" s="228">
        <v>63</v>
      </c>
      <c r="BL91" s="229">
        <v>0.192</v>
      </c>
      <c r="BM91" s="228">
        <v>230</v>
      </c>
      <c r="BN91" s="228">
        <v>206</v>
      </c>
      <c r="BO91" s="228">
        <v>23</v>
      </c>
      <c r="BP91" s="229">
        <v>0.1114</v>
      </c>
      <c r="BQ91" s="228">
        <v>855</v>
      </c>
      <c r="BR91" s="228">
        <v>724</v>
      </c>
      <c r="BS91" s="228">
        <v>131</v>
      </c>
      <c r="BT91" s="229">
        <v>0.18160000000000001</v>
      </c>
      <c r="BU91" s="230">
        <v>1064803</v>
      </c>
      <c r="BV91" s="230">
        <v>1190616</v>
      </c>
      <c r="BW91" s="230">
        <v>-125813</v>
      </c>
      <c r="BX91" s="229">
        <v>-0.1057</v>
      </c>
      <c r="BY91" s="228">
        <v>758</v>
      </c>
      <c r="BZ91" s="228">
        <v>740</v>
      </c>
      <c r="CA91" s="228">
        <v>18</v>
      </c>
      <c r="CB91" s="229">
        <v>2.4400000000000002E-2</v>
      </c>
      <c r="CC91" s="228">
        <v>740</v>
      </c>
      <c r="CD91" s="228">
        <v>724</v>
      </c>
      <c r="CE91" s="228">
        <v>16</v>
      </c>
      <c r="CF91" s="229">
        <v>2.2100000000000002E-2</v>
      </c>
      <c r="CG91" s="228">
        <v>16</v>
      </c>
      <c r="CH91" s="228">
        <v>14</v>
      </c>
      <c r="CI91" s="228">
        <v>2</v>
      </c>
      <c r="CJ91" s="229">
        <v>0.1203</v>
      </c>
      <c r="CK91" s="228">
        <v>2</v>
      </c>
      <c r="CL91" s="228">
        <v>2</v>
      </c>
      <c r="CM91" s="228">
        <v>0</v>
      </c>
      <c r="CN91" s="229">
        <v>0.18179999999999999</v>
      </c>
      <c r="CO91" s="228">
        <v>511</v>
      </c>
      <c r="CP91" s="228">
        <v>457</v>
      </c>
      <c r="CQ91" s="228">
        <v>54</v>
      </c>
      <c r="CR91" s="229">
        <v>0.1183</v>
      </c>
      <c r="CS91" s="228">
        <v>340</v>
      </c>
      <c r="CT91" s="228">
        <v>333</v>
      </c>
      <c r="CU91" s="228">
        <v>7</v>
      </c>
      <c r="CV91" s="229">
        <v>2.0799999999999999E-2</v>
      </c>
      <c r="CW91" s="230">
        <v>1609</v>
      </c>
      <c r="CX91" s="230">
        <v>1530</v>
      </c>
      <c r="CY91" s="228">
        <v>79</v>
      </c>
      <c r="CZ91" s="229">
        <v>5.1700000000000003E-2</v>
      </c>
      <c r="DA91" s="228">
        <v>37.619999999999997</v>
      </c>
      <c r="DB91" s="228">
        <v>37.700000000000003</v>
      </c>
      <c r="DC91" s="228">
        <v>-0.08</v>
      </c>
      <c r="DD91" s="228">
        <v>-0.08</v>
      </c>
      <c r="DE91" s="228">
        <v>39.409999999999997</v>
      </c>
      <c r="DF91" s="228">
        <v>39.49</v>
      </c>
      <c r="DG91" s="228">
        <v>-1.79</v>
      </c>
      <c r="DH91" s="228">
        <v>-0.08</v>
      </c>
      <c r="DI91" s="228">
        <v>36.68</v>
      </c>
      <c r="DJ91" s="228">
        <v>36.96</v>
      </c>
      <c r="DK91" s="228">
        <v>-0.28000000000000003</v>
      </c>
      <c r="DL91" s="228">
        <v>-0.28000000000000003</v>
      </c>
      <c r="DM91" s="228">
        <v>39.21</v>
      </c>
      <c r="DN91" s="228">
        <v>38.869999999999997</v>
      </c>
      <c r="DO91" s="228">
        <v>0.34</v>
      </c>
      <c r="DP91" s="228">
        <v>0.34</v>
      </c>
      <c r="DQ91" s="228">
        <v>0.67</v>
      </c>
      <c r="DR91" s="228">
        <v>0.73</v>
      </c>
      <c r="DS91" s="228">
        <v>-0.06</v>
      </c>
      <c r="DT91" s="229">
        <v>-8.2199999999999995E-2</v>
      </c>
      <c r="DU91" s="231">
        <v>1000</v>
      </c>
      <c r="DV91" s="228">
        <v>900</v>
      </c>
      <c r="DW91" s="228">
        <v>0.59</v>
      </c>
      <c r="DX91" s="228">
        <v>0.63</v>
      </c>
      <c r="DY91" s="228">
        <v>-0.04</v>
      </c>
      <c r="DZ91" s="229">
        <v>-6.3500000000000001E-2</v>
      </c>
      <c r="EA91" s="229">
        <v>2.4400000000000002E-2</v>
      </c>
      <c r="EB91" s="230">
        <v>180000</v>
      </c>
      <c r="EC91" s="229">
        <v>3.5999999999999999E-3</v>
      </c>
      <c r="ED91" s="229">
        <v>2.4400000000000002E-2</v>
      </c>
      <c r="EE91" s="228">
        <v>3.42</v>
      </c>
      <c r="EF91" s="229">
        <v>3.8E-3</v>
      </c>
      <c r="EG91" s="230">
        <v>390387</v>
      </c>
      <c r="EH91" s="230">
        <v>504406</v>
      </c>
      <c r="EI91" s="229">
        <v>-0.22600000000000001</v>
      </c>
      <c r="EJ91" s="229">
        <v>0.36659999999999998</v>
      </c>
      <c r="EK91" s="228">
        <v>410.5</v>
      </c>
      <c r="EL91" s="228">
        <v>229.9</v>
      </c>
      <c r="EM91" s="228">
        <v>236.04</v>
      </c>
      <c r="EN91" s="228">
        <v>29.84</v>
      </c>
      <c r="EO91" s="228">
        <v>876.44</v>
      </c>
      <c r="EP91" s="228">
        <v>754.03</v>
      </c>
      <c r="EQ91" s="228">
        <v>122.4</v>
      </c>
      <c r="ER91" s="229">
        <v>0.1623</v>
      </c>
      <c r="ES91" s="228">
        <v>547.89</v>
      </c>
      <c r="ET91" s="228">
        <v>340.98</v>
      </c>
      <c r="EU91" s="228">
        <v>758.42</v>
      </c>
      <c r="EV91" s="231">
        <v>52862157</v>
      </c>
      <c r="EW91" s="231">
        <v>1647.29</v>
      </c>
      <c r="EX91" s="231">
        <v>1568.66</v>
      </c>
      <c r="EY91" s="228">
        <v>78.63</v>
      </c>
      <c r="EZ91" s="229">
        <v>5.0099999999999999E-2</v>
      </c>
      <c r="FA91" s="229">
        <v>0.33339999999999997</v>
      </c>
      <c r="FB91" s="227" t="s">
        <v>567</v>
      </c>
      <c r="FC91">
        <f t="shared" si="1"/>
        <v>18</v>
      </c>
    </row>
    <row r="92" spans="1:159" ht="17.25" hidden="1" thickBot="1" x14ac:dyDescent="0.3">
      <c r="A92" s="226">
        <v>46093</v>
      </c>
      <c r="B92" s="227" t="s">
        <v>181</v>
      </c>
      <c r="C92" s="227" t="s">
        <v>687</v>
      </c>
      <c r="D92" s="228">
        <v>1</v>
      </c>
      <c r="E92" s="228">
        <v>18</v>
      </c>
      <c r="F92" s="228">
        <v>21.52</v>
      </c>
      <c r="G92" s="228">
        <v>21.06</v>
      </c>
      <c r="H92" s="228">
        <v>0.46</v>
      </c>
      <c r="I92" s="229">
        <v>2.1700000000000001E-2</v>
      </c>
      <c r="J92" s="228">
        <v>21.52</v>
      </c>
      <c r="K92" s="228">
        <v>21.06</v>
      </c>
      <c r="L92" s="228">
        <v>0.46</v>
      </c>
      <c r="M92" s="229">
        <v>2.1700000000000001E-2</v>
      </c>
      <c r="N92" s="228">
        <v>0</v>
      </c>
      <c r="O92" s="228">
        <v>0</v>
      </c>
      <c r="P92" s="228">
        <v>0</v>
      </c>
      <c r="Q92" s="229">
        <v>0</v>
      </c>
      <c r="R92" s="228">
        <v>0</v>
      </c>
      <c r="S92" s="228">
        <v>0</v>
      </c>
      <c r="T92" s="228">
        <v>0</v>
      </c>
      <c r="U92" s="229">
        <v>0</v>
      </c>
      <c r="V92" s="228">
        <v>0</v>
      </c>
      <c r="W92" s="228">
        <v>0</v>
      </c>
      <c r="X92" s="228">
        <v>0</v>
      </c>
      <c r="Y92" s="229">
        <v>0</v>
      </c>
      <c r="Z92" s="228">
        <v>0</v>
      </c>
      <c r="AA92" s="228">
        <v>0</v>
      </c>
      <c r="AB92" s="228">
        <v>0</v>
      </c>
      <c r="AC92" s="229">
        <v>0</v>
      </c>
      <c r="AD92" s="228">
        <v>0</v>
      </c>
      <c r="AE92" s="228">
        <v>0</v>
      </c>
      <c r="AF92" s="228">
        <v>0</v>
      </c>
      <c r="AG92" s="229">
        <v>0</v>
      </c>
      <c r="AH92" s="228">
        <v>0</v>
      </c>
      <c r="AI92" s="228">
        <v>0</v>
      </c>
      <c r="AJ92" s="228">
        <v>0</v>
      </c>
      <c r="AK92" s="229">
        <v>0</v>
      </c>
      <c r="AL92" s="228">
        <v>0</v>
      </c>
      <c r="AM92" s="228">
        <v>0</v>
      </c>
      <c r="AN92" s="228">
        <v>0</v>
      </c>
      <c r="AO92" s="229">
        <v>0</v>
      </c>
      <c r="AP92" s="228">
        <v>0</v>
      </c>
      <c r="AQ92" s="228">
        <v>0</v>
      </c>
      <c r="AR92" s="228">
        <v>0</v>
      </c>
      <c r="AS92" s="228">
        <v>0</v>
      </c>
      <c r="AT92" s="228">
        <v>0</v>
      </c>
      <c r="AU92" s="228">
        <v>0</v>
      </c>
      <c r="AV92" s="229">
        <v>0</v>
      </c>
      <c r="AW92" s="228">
        <v>0</v>
      </c>
      <c r="AX92" s="228">
        <v>0</v>
      </c>
      <c r="AY92" s="228">
        <v>0</v>
      </c>
      <c r="AZ92" s="229">
        <v>0</v>
      </c>
      <c r="BA92" s="228">
        <v>0</v>
      </c>
      <c r="BB92" s="228">
        <v>0</v>
      </c>
      <c r="BC92" s="228">
        <v>0</v>
      </c>
      <c r="BD92" s="229">
        <v>0</v>
      </c>
      <c r="BE92" s="228">
        <v>0</v>
      </c>
      <c r="BF92" s="228">
        <v>0</v>
      </c>
      <c r="BG92" s="228">
        <v>0</v>
      </c>
      <c r="BH92" s="229">
        <v>0</v>
      </c>
      <c r="BI92" s="228">
        <v>0</v>
      </c>
      <c r="BJ92" s="228">
        <v>0</v>
      </c>
      <c r="BK92" s="228">
        <v>0</v>
      </c>
      <c r="BL92" s="229">
        <v>0</v>
      </c>
      <c r="BM92" s="228">
        <v>0</v>
      </c>
      <c r="BN92" s="228">
        <v>0</v>
      </c>
      <c r="BO92" s="228">
        <v>0</v>
      </c>
      <c r="BP92" s="229">
        <v>0</v>
      </c>
      <c r="BQ92" s="228">
        <v>0</v>
      </c>
      <c r="BR92" s="228">
        <v>0</v>
      </c>
      <c r="BS92" s="228">
        <v>0</v>
      </c>
      <c r="BT92" s="229">
        <v>0</v>
      </c>
      <c r="BU92" s="228">
        <v>0</v>
      </c>
      <c r="BV92" s="228">
        <v>0</v>
      </c>
      <c r="BW92" s="228">
        <v>0</v>
      </c>
      <c r="BX92" s="229">
        <v>0</v>
      </c>
      <c r="BY92" s="228">
        <v>0</v>
      </c>
      <c r="BZ92" s="228">
        <v>0</v>
      </c>
      <c r="CA92" s="228">
        <v>0</v>
      </c>
      <c r="CB92" s="229">
        <v>0</v>
      </c>
      <c r="CC92" s="228">
        <v>0</v>
      </c>
      <c r="CD92" s="228">
        <v>0</v>
      </c>
      <c r="CE92" s="228">
        <v>0</v>
      </c>
      <c r="CF92" s="229">
        <v>0</v>
      </c>
      <c r="CG92" s="228">
        <v>0</v>
      </c>
      <c r="CH92" s="228">
        <v>0</v>
      </c>
      <c r="CI92" s="228">
        <v>0</v>
      </c>
      <c r="CJ92" s="229">
        <v>0</v>
      </c>
      <c r="CK92" s="228">
        <v>0</v>
      </c>
      <c r="CL92" s="228">
        <v>0</v>
      </c>
      <c r="CM92" s="228">
        <v>0</v>
      </c>
      <c r="CN92" s="229">
        <v>0</v>
      </c>
      <c r="CO92" s="228">
        <v>0</v>
      </c>
      <c r="CP92" s="228">
        <v>0</v>
      </c>
      <c r="CQ92" s="228">
        <v>0</v>
      </c>
      <c r="CR92" s="229">
        <v>0</v>
      </c>
      <c r="CS92" s="228">
        <v>0</v>
      </c>
      <c r="CT92" s="228">
        <v>0</v>
      </c>
      <c r="CU92" s="228">
        <v>0</v>
      </c>
      <c r="CV92" s="229">
        <v>0</v>
      </c>
      <c r="CW92" s="228">
        <v>0</v>
      </c>
      <c r="CX92" s="228">
        <v>0</v>
      </c>
      <c r="CY92" s="228">
        <v>0</v>
      </c>
      <c r="CZ92" s="229">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8">
        <v>0</v>
      </c>
      <c r="DT92" s="229">
        <v>0</v>
      </c>
      <c r="DU92" s="228">
        <v>0</v>
      </c>
      <c r="DV92" s="228">
        <v>0</v>
      </c>
      <c r="DW92" s="228">
        <v>0</v>
      </c>
      <c r="DX92" s="228">
        <v>0</v>
      </c>
      <c r="DY92" s="228">
        <v>0</v>
      </c>
      <c r="DZ92" s="229">
        <v>0</v>
      </c>
      <c r="EA92" s="229">
        <v>0</v>
      </c>
      <c r="EB92" s="228">
        <v>0</v>
      </c>
      <c r="EC92" s="229">
        <v>0</v>
      </c>
      <c r="ED92" s="229">
        <v>0</v>
      </c>
      <c r="EE92" s="228">
        <v>0</v>
      </c>
      <c r="EF92" s="229">
        <v>0</v>
      </c>
      <c r="EG92" s="228">
        <v>0</v>
      </c>
      <c r="EH92" s="228">
        <v>0</v>
      </c>
      <c r="EI92" s="229">
        <v>0</v>
      </c>
      <c r="EJ92" s="229">
        <v>0</v>
      </c>
      <c r="EK92" s="228">
        <v>0</v>
      </c>
      <c r="EL92" s="228">
        <v>0</v>
      </c>
      <c r="EM92" s="228">
        <v>0</v>
      </c>
      <c r="EN92" s="228">
        <v>0</v>
      </c>
      <c r="EO92" s="228">
        <v>0</v>
      </c>
      <c r="EP92" s="228">
        <v>0</v>
      </c>
      <c r="EQ92" s="228">
        <v>0</v>
      </c>
      <c r="ER92" s="229">
        <v>0</v>
      </c>
      <c r="ES92" s="228">
        <v>0</v>
      </c>
      <c r="ET92" s="228">
        <v>0</v>
      </c>
      <c r="EU92" s="228">
        <v>0</v>
      </c>
      <c r="EV92" s="228">
        <v>0</v>
      </c>
      <c r="EW92" s="228">
        <v>0</v>
      </c>
      <c r="EX92" s="228">
        <v>0</v>
      </c>
      <c r="EY92" s="228">
        <v>0</v>
      </c>
      <c r="EZ92" s="229">
        <v>0</v>
      </c>
      <c r="FA92" s="229">
        <v>0</v>
      </c>
      <c r="FB92" s="227" t="s">
        <v>237</v>
      </c>
      <c r="FC92">
        <f t="shared" si="1"/>
        <v>0</v>
      </c>
    </row>
    <row r="93" spans="1:159" ht="17.25" hidden="1" thickBot="1" x14ac:dyDescent="0.3">
      <c r="A93" s="226">
        <v>46093</v>
      </c>
      <c r="B93" s="227" t="s">
        <v>215</v>
      </c>
      <c r="C93" s="227" t="s">
        <v>238</v>
      </c>
      <c r="D93" s="228">
        <v>150</v>
      </c>
      <c r="E93" s="228">
        <v>18</v>
      </c>
      <c r="F93" s="231">
        <v>4258.1000000000004</v>
      </c>
      <c r="G93" s="231">
        <v>4355.5</v>
      </c>
      <c r="H93" s="228">
        <v>-97.4</v>
      </c>
      <c r="I93" s="229">
        <v>-2.24E-2</v>
      </c>
      <c r="J93" s="231">
        <v>4251.7</v>
      </c>
      <c r="K93" s="231">
        <v>4350.7</v>
      </c>
      <c r="L93" s="228">
        <v>-99</v>
      </c>
      <c r="M93" s="229">
        <v>-2.2800000000000001E-2</v>
      </c>
      <c r="N93" s="231">
        <v>4258.1000000000004</v>
      </c>
      <c r="O93" s="231">
        <v>4355.5</v>
      </c>
      <c r="P93" s="228">
        <v>-97.4</v>
      </c>
      <c r="Q93" s="229">
        <v>-2.24E-2</v>
      </c>
      <c r="R93" s="231">
        <v>4284.2</v>
      </c>
      <c r="S93" s="231">
        <v>4380.5</v>
      </c>
      <c r="T93" s="228">
        <v>-96.3</v>
      </c>
      <c r="U93" s="229">
        <v>-2.1999999999999999E-2</v>
      </c>
      <c r="V93" s="231">
        <v>4310.3999999999996</v>
      </c>
      <c r="W93" s="231">
        <v>4404.3</v>
      </c>
      <c r="X93" s="228">
        <v>-93.9</v>
      </c>
      <c r="Y93" s="229">
        <v>-2.1299999999999999E-2</v>
      </c>
      <c r="Z93" s="228">
        <v>6.4</v>
      </c>
      <c r="AA93" s="228">
        <v>4.8</v>
      </c>
      <c r="AB93" s="228">
        <v>1.6</v>
      </c>
      <c r="AC93" s="229">
        <v>1.5E-3</v>
      </c>
      <c r="AD93" s="228">
        <v>6.4</v>
      </c>
      <c r="AE93" s="228">
        <v>4.8</v>
      </c>
      <c r="AF93" s="228">
        <v>1.6</v>
      </c>
      <c r="AG93" s="229">
        <v>1.5E-3</v>
      </c>
      <c r="AH93" s="228">
        <v>32.5</v>
      </c>
      <c r="AI93" s="228">
        <v>29.8</v>
      </c>
      <c r="AJ93" s="228">
        <v>2.7</v>
      </c>
      <c r="AK93" s="229">
        <v>7.6E-3</v>
      </c>
      <c r="AL93" s="228">
        <v>58.7</v>
      </c>
      <c r="AM93" s="228">
        <v>53.6</v>
      </c>
      <c r="AN93" s="228">
        <v>5.0999999999999996</v>
      </c>
      <c r="AO93" s="229">
        <v>1.38E-2</v>
      </c>
      <c r="AP93" s="231">
        <v>4261.5600000000004</v>
      </c>
      <c r="AQ93" s="231">
        <v>4287.13</v>
      </c>
      <c r="AR93" s="228">
        <v>0</v>
      </c>
      <c r="AS93" s="228">
        <v>941</v>
      </c>
      <c r="AT93" s="230">
        <v>1447</v>
      </c>
      <c r="AU93" s="228">
        <v>-506</v>
      </c>
      <c r="AV93" s="229">
        <v>-0.34989999999999999</v>
      </c>
      <c r="AW93" s="228">
        <v>787</v>
      </c>
      <c r="AX93" s="230">
        <v>1315</v>
      </c>
      <c r="AY93" s="228">
        <v>-528</v>
      </c>
      <c r="AZ93" s="229">
        <v>-0.40129999999999999</v>
      </c>
      <c r="BA93" s="228">
        <v>75</v>
      </c>
      <c r="BB93" s="228">
        <v>97</v>
      </c>
      <c r="BC93" s="228">
        <v>-22</v>
      </c>
      <c r="BD93" s="229">
        <v>-0.2235</v>
      </c>
      <c r="BE93" s="228">
        <v>78</v>
      </c>
      <c r="BF93" s="228">
        <v>35</v>
      </c>
      <c r="BG93" s="228">
        <v>43</v>
      </c>
      <c r="BH93" s="229">
        <v>1.2188000000000001</v>
      </c>
      <c r="BI93" s="230">
        <v>2826</v>
      </c>
      <c r="BJ93" s="230">
        <v>6229</v>
      </c>
      <c r="BK93" s="230">
        <v>-3403</v>
      </c>
      <c r="BL93" s="229">
        <v>-0.5464</v>
      </c>
      <c r="BM93" s="230">
        <v>3278</v>
      </c>
      <c r="BN93" s="230">
        <v>5299</v>
      </c>
      <c r="BO93" s="230">
        <v>-2021</v>
      </c>
      <c r="BP93" s="229">
        <v>-0.38129999999999997</v>
      </c>
      <c r="BQ93" s="230">
        <v>7045</v>
      </c>
      <c r="BR93" s="230">
        <v>12976</v>
      </c>
      <c r="BS93" s="230">
        <v>-5930</v>
      </c>
      <c r="BT93" s="229">
        <v>-0.45700000000000002</v>
      </c>
      <c r="BU93" s="230">
        <v>1657768</v>
      </c>
      <c r="BV93" s="230">
        <v>2784597</v>
      </c>
      <c r="BW93" s="230">
        <v>-1126829</v>
      </c>
      <c r="BX93" s="229">
        <v>-0.4047</v>
      </c>
      <c r="BY93" s="230">
        <v>4119</v>
      </c>
      <c r="BZ93" s="230">
        <v>4124</v>
      </c>
      <c r="CA93" s="228">
        <v>-5</v>
      </c>
      <c r="CB93" s="229">
        <v>-1.2999999999999999E-3</v>
      </c>
      <c r="CC93" s="230">
        <v>3688</v>
      </c>
      <c r="CD93" s="230">
        <v>3701</v>
      </c>
      <c r="CE93" s="228">
        <v>-13</v>
      </c>
      <c r="CF93" s="229">
        <v>-3.5999999999999999E-3</v>
      </c>
      <c r="CG93" s="228">
        <v>264</v>
      </c>
      <c r="CH93" s="228">
        <v>258</v>
      </c>
      <c r="CI93" s="228">
        <v>6</v>
      </c>
      <c r="CJ93" s="229">
        <v>2.5000000000000001E-2</v>
      </c>
      <c r="CK93" s="228">
        <v>167</v>
      </c>
      <c r="CL93" s="228">
        <v>165</v>
      </c>
      <c r="CM93" s="228">
        <v>2</v>
      </c>
      <c r="CN93" s="229">
        <v>1.01E-2</v>
      </c>
      <c r="CO93" s="230">
        <v>3364</v>
      </c>
      <c r="CP93" s="230">
        <v>3267</v>
      </c>
      <c r="CQ93" s="228">
        <v>97</v>
      </c>
      <c r="CR93" s="229">
        <v>2.98E-2</v>
      </c>
      <c r="CS93" s="230">
        <v>1847</v>
      </c>
      <c r="CT93" s="230">
        <v>1949</v>
      </c>
      <c r="CU93" s="228">
        <v>-102</v>
      </c>
      <c r="CV93" s="229">
        <v>-5.21E-2</v>
      </c>
      <c r="CW93" s="230">
        <v>9331</v>
      </c>
      <c r="CX93" s="230">
        <v>9341</v>
      </c>
      <c r="CY93" s="228">
        <v>-10</v>
      </c>
      <c r="CZ93" s="229">
        <v>-1E-3</v>
      </c>
      <c r="DA93" s="228">
        <v>41.2</v>
      </c>
      <c r="DB93" s="228">
        <v>40.020000000000003</v>
      </c>
      <c r="DC93" s="228">
        <v>1.18</v>
      </c>
      <c r="DD93" s="228">
        <v>1.18</v>
      </c>
      <c r="DE93" s="228">
        <v>35.33</v>
      </c>
      <c r="DF93" s="228">
        <v>35.28</v>
      </c>
      <c r="DG93" s="228">
        <v>5.87</v>
      </c>
      <c r="DH93" s="228">
        <v>0.05</v>
      </c>
      <c r="DI93" s="228">
        <v>38.39</v>
      </c>
      <c r="DJ93" s="228">
        <v>37.1</v>
      </c>
      <c r="DK93" s="228">
        <v>1.29</v>
      </c>
      <c r="DL93" s="228">
        <v>1.29</v>
      </c>
      <c r="DM93" s="228">
        <v>43.63</v>
      </c>
      <c r="DN93" s="228">
        <v>43.46</v>
      </c>
      <c r="DO93" s="228">
        <v>0.17</v>
      </c>
      <c r="DP93" s="228">
        <v>0.17</v>
      </c>
      <c r="DQ93" s="228">
        <v>0.55000000000000004</v>
      </c>
      <c r="DR93" s="228">
        <v>0.6</v>
      </c>
      <c r="DS93" s="228">
        <v>-0.05</v>
      </c>
      <c r="DT93" s="229">
        <v>-8.3299999999999999E-2</v>
      </c>
      <c r="DU93" s="231">
        <v>4400</v>
      </c>
      <c r="DV93" s="231">
        <v>4000</v>
      </c>
      <c r="DW93" s="228">
        <v>1.1599999999999999</v>
      </c>
      <c r="DX93" s="228">
        <v>0.85</v>
      </c>
      <c r="DY93" s="228">
        <v>0.31</v>
      </c>
      <c r="DZ93" s="229">
        <v>0.36470000000000002</v>
      </c>
      <c r="EA93" s="229">
        <v>0.1047</v>
      </c>
      <c r="EB93" s="230">
        <v>993300</v>
      </c>
      <c r="EC93" s="229">
        <v>6.1000000000000004E-3</v>
      </c>
      <c r="ED93" s="229">
        <v>0.1047</v>
      </c>
      <c r="EE93" s="228">
        <v>25.57</v>
      </c>
      <c r="EF93" s="229">
        <v>6.0000000000000001E-3</v>
      </c>
      <c r="EG93" s="230">
        <v>761618</v>
      </c>
      <c r="EH93" s="230">
        <v>1203674</v>
      </c>
      <c r="EI93" s="229">
        <v>-0.36730000000000002</v>
      </c>
      <c r="EJ93" s="229">
        <v>0.45939999999999998</v>
      </c>
      <c r="EK93" s="231">
        <v>3068.09</v>
      </c>
      <c r="EL93" s="231">
        <v>3248.18</v>
      </c>
      <c r="EM93" s="228">
        <v>943.28</v>
      </c>
      <c r="EN93" s="228">
        <v>238.54</v>
      </c>
      <c r="EO93" s="231">
        <v>7259.54</v>
      </c>
      <c r="EP93" s="231">
        <v>13792.85</v>
      </c>
      <c r="EQ93" s="231">
        <v>-6533.31</v>
      </c>
      <c r="ER93" s="229">
        <v>-0.47370000000000001</v>
      </c>
      <c r="ES93" s="231">
        <v>3699.01</v>
      </c>
      <c r="ET93" s="231">
        <v>1895.72</v>
      </c>
      <c r="EU93" s="231">
        <v>4122.8</v>
      </c>
      <c r="EV93" s="231">
        <v>33874835</v>
      </c>
      <c r="EW93" s="231">
        <v>9717.5300000000007</v>
      </c>
      <c r="EX93" s="231">
        <v>9813.2900000000009</v>
      </c>
      <c r="EY93" s="228">
        <v>-95.76</v>
      </c>
      <c r="EZ93" s="229">
        <v>-9.7999999999999997E-3</v>
      </c>
      <c r="FA93" s="229">
        <v>0.64690000000000003</v>
      </c>
      <c r="FB93" s="227" t="s">
        <v>568</v>
      </c>
      <c r="FC93">
        <f t="shared" si="1"/>
        <v>431</v>
      </c>
    </row>
    <row r="94" spans="1:159" ht="17.25" hidden="1" thickBot="1" x14ac:dyDescent="0.3">
      <c r="A94" s="226">
        <v>46093</v>
      </c>
      <c r="B94" s="227" t="s">
        <v>172</v>
      </c>
      <c r="C94" s="227" t="s">
        <v>239</v>
      </c>
      <c r="D94" s="228">
        <v>700</v>
      </c>
      <c r="E94" s="228">
        <v>18</v>
      </c>
      <c r="F94" s="228">
        <v>830.95</v>
      </c>
      <c r="G94" s="228">
        <v>876.4</v>
      </c>
      <c r="H94" s="228">
        <v>-45.45</v>
      </c>
      <c r="I94" s="229">
        <v>-5.1900000000000002E-2</v>
      </c>
      <c r="J94" s="228">
        <v>831.35</v>
      </c>
      <c r="K94" s="228">
        <v>877.15</v>
      </c>
      <c r="L94" s="228">
        <v>-45.8</v>
      </c>
      <c r="M94" s="229">
        <v>-5.2200000000000003E-2</v>
      </c>
      <c r="N94" s="228">
        <v>830.95</v>
      </c>
      <c r="O94" s="228">
        <v>876.4</v>
      </c>
      <c r="P94" s="228">
        <v>-45.45</v>
      </c>
      <c r="Q94" s="229">
        <v>-5.1900000000000002E-2</v>
      </c>
      <c r="R94" s="228">
        <v>836.75</v>
      </c>
      <c r="S94" s="228">
        <v>882.1</v>
      </c>
      <c r="T94" s="228">
        <v>-45.35</v>
      </c>
      <c r="U94" s="229">
        <v>-5.1400000000000001E-2</v>
      </c>
      <c r="V94" s="228">
        <v>841.6</v>
      </c>
      <c r="W94" s="228">
        <v>887.35</v>
      </c>
      <c r="X94" s="228">
        <v>-45.75</v>
      </c>
      <c r="Y94" s="229">
        <v>-5.16E-2</v>
      </c>
      <c r="Z94" s="228">
        <v>-0.4</v>
      </c>
      <c r="AA94" s="228">
        <v>-0.75</v>
      </c>
      <c r="AB94" s="228">
        <v>0.35</v>
      </c>
      <c r="AC94" s="229">
        <v>-5.0000000000000001E-4</v>
      </c>
      <c r="AD94" s="228">
        <v>-0.4</v>
      </c>
      <c r="AE94" s="228">
        <v>-0.75</v>
      </c>
      <c r="AF94" s="228">
        <v>0.35</v>
      </c>
      <c r="AG94" s="229">
        <v>-5.0000000000000001E-4</v>
      </c>
      <c r="AH94" s="228">
        <v>5.4</v>
      </c>
      <c r="AI94" s="228">
        <v>4.95</v>
      </c>
      <c r="AJ94" s="228">
        <v>0.45</v>
      </c>
      <c r="AK94" s="229">
        <v>6.4999999999999997E-3</v>
      </c>
      <c r="AL94" s="228">
        <v>10.25</v>
      </c>
      <c r="AM94" s="228">
        <v>10.199999999999999</v>
      </c>
      <c r="AN94" s="228">
        <v>0.05</v>
      </c>
      <c r="AO94" s="229">
        <v>1.23E-2</v>
      </c>
      <c r="AP94" s="228">
        <v>838.85</v>
      </c>
      <c r="AQ94" s="228">
        <v>844.02</v>
      </c>
      <c r="AR94" s="228">
        <v>0</v>
      </c>
      <c r="AS94" s="230">
        <v>1237</v>
      </c>
      <c r="AT94" s="228">
        <v>581</v>
      </c>
      <c r="AU94" s="228">
        <v>655</v>
      </c>
      <c r="AV94" s="229">
        <v>1.1275999999999999</v>
      </c>
      <c r="AW94" s="230">
        <v>1009</v>
      </c>
      <c r="AX94" s="228">
        <v>449</v>
      </c>
      <c r="AY94" s="228">
        <v>560</v>
      </c>
      <c r="AZ94" s="229">
        <v>1.2462</v>
      </c>
      <c r="BA94" s="228">
        <v>215</v>
      </c>
      <c r="BB94" s="228">
        <v>127</v>
      </c>
      <c r="BC94" s="228">
        <v>87</v>
      </c>
      <c r="BD94" s="229">
        <v>0.68369999999999997</v>
      </c>
      <c r="BE94" s="228">
        <v>13</v>
      </c>
      <c r="BF94" s="228">
        <v>4</v>
      </c>
      <c r="BG94" s="228">
        <v>8</v>
      </c>
      <c r="BH94" s="229">
        <v>1.8571</v>
      </c>
      <c r="BI94" s="230">
        <v>1912</v>
      </c>
      <c r="BJ94" s="228">
        <v>678</v>
      </c>
      <c r="BK94" s="230">
        <v>1234</v>
      </c>
      <c r="BL94" s="229">
        <v>1.821</v>
      </c>
      <c r="BM94" s="230">
        <v>1817</v>
      </c>
      <c r="BN94" s="228">
        <v>451</v>
      </c>
      <c r="BO94" s="230">
        <v>1366</v>
      </c>
      <c r="BP94" s="229">
        <v>3.0314999999999999</v>
      </c>
      <c r="BQ94" s="230">
        <v>4966</v>
      </c>
      <c r="BR94" s="230">
        <v>1710</v>
      </c>
      <c r="BS94" s="230">
        <v>3256</v>
      </c>
      <c r="BT94" s="229">
        <v>1.9043000000000001</v>
      </c>
      <c r="BU94" s="230">
        <v>7707136</v>
      </c>
      <c r="BV94" s="230">
        <v>2789189</v>
      </c>
      <c r="BW94" s="230">
        <v>4917947</v>
      </c>
      <c r="BX94" s="229">
        <v>1.7632000000000001</v>
      </c>
      <c r="BY94" s="230">
        <v>3418</v>
      </c>
      <c r="BZ94" s="230">
        <v>3320</v>
      </c>
      <c r="CA94" s="228">
        <v>98</v>
      </c>
      <c r="CB94" s="229">
        <v>2.9399999999999999E-2</v>
      </c>
      <c r="CC94" s="230">
        <v>3022</v>
      </c>
      <c r="CD94" s="230">
        <v>3021</v>
      </c>
      <c r="CE94" s="228">
        <v>1</v>
      </c>
      <c r="CF94" s="229">
        <v>2.9999999999999997E-4</v>
      </c>
      <c r="CG94" s="228">
        <v>370</v>
      </c>
      <c r="CH94" s="228">
        <v>279</v>
      </c>
      <c r="CI94" s="228">
        <v>91</v>
      </c>
      <c r="CJ94" s="229">
        <v>0.32429999999999998</v>
      </c>
      <c r="CK94" s="228">
        <v>26</v>
      </c>
      <c r="CL94" s="228">
        <v>20</v>
      </c>
      <c r="CM94" s="228">
        <v>6</v>
      </c>
      <c r="CN94" s="229">
        <v>0.31290000000000001</v>
      </c>
      <c r="CO94" s="228">
        <v>769</v>
      </c>
      <c r="CP94" s="228">
        <v>576</v>
      </c>
      <c r="CQ94" s="228">
        <v>193</v>
      </c>
      <c r="CR94" s="229">
        <v>0.33529999999999999</v>
      </c>
      <c r="CS94" s="228">
        <v>605</v>
      </c>
      <c r="CT94" s="228">
        <v>492</v>
      </c>
      <c r="CU94" s="228">
        <v>114</v>
      </c>
      <c r="CV94" s="229">
        <v>0.23100000000000001</v>
      </c>
      <c r="CW94" s="230">
        <v>4792</v>
      </c>
      <c r="CX94" s="230">
        <v>4387</v>
      </c>
      <c r="CY94" s="228">
        <v>404</v>
      </c>
      <c r="CZ94" s="229">
        <v>9.2200000000000004E-2</v>
      </c>
      <c r="DA94" s="228">
        <v>38.99</v>
      </c>
      <c r="DB94" s="228">
        <v>35.659999999999997</v>
      </c>
      <c r="DC94" s="228">
        <v>3.33</v>
      </c>
      <c r="DD94" s="228">
        <v>3.33</v>
      </c>
      <c r="DE94" s="228">
        <v>41.89</v>
      </c>
      <c r="DF94" s="228">
        <v>41.36</v>
      </c>
      <c r="DG94" s="228">
        <v>-2.9</v>
      </c>
      <c r="DH94" s="228">
        <v>0.53</v>
      </c>
      <c r="DI94" s="228">
        <v>38.33</v>
      </c>
      <c r="DJ94" s="228">
        <v>34.82</v>
      </c>
      <c r="DK94" s="228">
        <v>3.51</v>
      </c>
      <c r="DL94" s="228">
        <v>3.51</v>
      </c>
      <c r="DM94" s="228">
        <v>39.68</v>
      </c>
      <c r="DN94" s="228">
        <v>36.93</v>
      </c>
      <c r="DO94" s="228">
        <v>2.75</v>
      </c>
      <c r="DP94" s="228">
        <v>2.75</v>
      </c>
      <c r="DQ94" s="228">
        <v>0.79</v>
      </c>
      <c r="DR94" s="228">
        <v>0.85</v>
      </c>
      <c r="DS94" s="228">
        <v>-0.06</v>
      </c>
      <c r="DT94" s="229">
        <v>-7.0599999999999996E-2</v>
      </c>
      <c r="DU94" s="228">
        <v>900</v>
      </c>
      <c r="DV94" s="228">
        <v>900</v>
      </c>
      <c r="DW94" s="228">
        <v>0.95</v>
      </c>
      <c r="DX94" s="228">
        <v>0.66</v>
      </c>
      <c r="DY94" s="228">
        <v>0.28999999999999998</v>
      </c>
      <c r="DZ94" s="229">
        <v>0.43940000000000001</v>
      </c>
      <c r="EA94" s="229">
        <v>0.1158</v>
      </c>
      <c r="EB94" s="230">
        <v>3600100</v>
      </c>
      <c r="EC94" s="229">
        <v>7.0000000000000001E-3</v>
      </c>
      <c r="ED94" s="229">
        <v>0.1158</v>
      </c>
      <c r="EE94" s="228">
        <v>5.17</v>
      </c>
      <c r="EF94" s="229">
        <v>6.1999999999999998E-3</v>
      </c>
      <c r="EG94" s="230">
        <v>2850462</v>
      </c>
      <c r="EH94" s="230">
        <v>1272801</v>
      </c>
      <c r="EI94" s="229">
        <v>1.2395</v>
      </c>
      <c r="EJ94" s="229">
        <v>0.36980000000000002</v>
      </c>
      <c r="EK94" s="231">
        <v>2079.23</v>
      </c>
      <c r="EL94" s="231">
        <v>1859.89</v>
      </c>
      <c r="EM94" s="231">
        <v>1250.08</v>
      </c>
      <c r="EN94" s="228">
        <v>106.45</v>
      </c>
      <c r="EO94" s="231">
        <v>5189.2</v>
      </c>
      <c r="EP94" s="231">
        <v>1879.82</v>
      </c>
      <c r="EQ94" s="231">
        <v>3309.38</v>
      </c>
      <c r="ER94" s="229">
        <v>1.7605</v>
      </c>
      <c r="ES94" s="228">
        <v>863.61</v>
      </c>
      <c r="ET94" s="228">
        <v>632.78</v>
      </c>
      <c r="EU94" s="231">
        <v>3420.66</v>
      </c>
      <c r="EV94" s="231">
        <v>93808799</v>
      </c>
      <c r="EW94" s="231">
        <v>4917.05</v>
      </c>
      <c r="EX94" s="231">
        <v>4694.83</v>
      </c>
      <c r="EY94" s="228">
        <v>222.22</v>
      </c>
      <c r="EZ94" s="229">
        <v>4.7300000000000002E-2</v>
      </c>
      <c r="FA94" s="229">
        <v>0.61470000000000002</v>
      </c>
      <c r="FB94" s="227" t="s">
        <v>567</v>
      </c>
      <c r="FC94">
        <f t="shared" si="1"/>
        <v>396</v>
      </c>
    </row>
    <row r="95" spans="1:159" ht="17.25" hidden="1" thickBot="1" x14ac:dyDescent="0.3">
      <c r="A95" s="226">
        <v>46093</v>
      </c>
      <c r="B95" s="227" t="s">
        <v>188</v>
      </c>
      <c r="C95" s="227" t="s">
        <v>473</v>
      </c>
      <c r="D95" s="228">
        <v>1700</v>
      </c>
      <c r="E95" s="228">
        <v>18</v>
      </c>
      <c r="F95" s="228">
        <v>442.45</v>
      </c>
      <c r="G95" s="228">
        <v>439.3</v>
      </c>
      <c r="H95" s="228">
        <v>3.15</v>
      </c>
      <c r="I95" s="229">
        <v>7.1999999999999998E-3</v>
      </c>
      <c r="J95" s="228">
        <v>442.05</v>
      </c>
      <c r="K95" s="228">
        <v>438.75</v>
      </c>
      <c r="L95" s="228">
        <v>3.3</v>
      </c>
      <c r="M95" s="229">
        <v>7.4999999999999997E-3</v>
      </c>
      <c r="N95" s="228">
        <v>442.45</v>
      </c>
      <c r="O95" s="228">
        <v>439.3</v>
      </c>
      <c r="P95" s="228">
        <v>3.15</v>
      </c>
      <c r="Q95" s="229">
        <v>7.1999999999999998E-3</v>
      </c>
      <c r="R95" s="228">
        <v>445.05</v>
      </c>
      <c r="S95" s="228">
        <v>442.25</v>
      </c>
      <c r="T95" s="228">
        <v>2.8</v>
      </c>
      <c r="U95" s="229">
        <v>6.3E-3</v>
      </c>
      <c r="V95" s="228">
        <v>446.85</v>
      </c>
      <c r="W95" s="228">
        <v>446.3</v>
      </c>
      <c r="X95" s="228">
        <v>0.55000000000000004</v>
      </c>
      <c r="Y95" s="229">
        <v>1.1999999999999999E-3</v>
      </c>
      <c r="Z95" s="228">
        <v>0.4</v>
      </c>
      <c r="AA95" s="228">
        <v>0.55000000000000004</v>
      </c>
      <c r="AB95" s="228">
        <v>-0.15</v>
      </c>
      <c r="AC95" s="229">
        <v>8.9999999999999998E-4</v>
      </c>
      <c r="AD95" s="228">
        <v>0.4</v>
      </c>
      <c r="AE95" s="228">
        <v>0.55000000000000004</v>
      </c>
      <c r="AF95" s="228">
        <v>-0.15</v>
      </c>
      <c r="AG95" s="229">
        <v>8.9999999999999998E-4</v>
      </c>
      <c r="AH95" s="228">
        <v>3</v>
      </c>
      <c r="AI95" s="228">
        <v>3.5</v>
      </c>
      <c r="AJ95" s="228">
        <v>-0.5</v>
      </c>
      <c r="AK95" s="229">
        <v>6.7999999999999996E-3</v>
      </c>
      <c r="AL95" s="228">
        <v>4.8</v>
      </c>
      <c r="AM95" s="228">
        <v>7.55</v>
      </c>
      <c r="AN95" s="228">
        <v>-2.75</v>
      </c>
      <c r="AO95" s="229">
        <v>1.09E-2</v>
      </c>
      <c r="AP95" s="228">
        <v>440.5</v>
      </c>
      <c r="AQ95" s="228">
        <v>443.37</v>
      </c>
      <c r="AR95" s="228">
        <v>0</v>
      </c>
      <c r="AS95" s="228">
        <v>487</v>
      </c>
      <c r="AT95" s="228">
        <v>255</v>
      </c>
      <c r="AU95" s="228">
        <v>232</v>
      </c>
      <c r="AV95" s="229">
        <v>0.90839999999999999</v>
      </c>
      <c r="AW95" s="228">
        <v>431</v>
      </c>
      <c r="AX95" s="228">
        <v>245</v>
      </c>
      <c r="AY95" s="228">
        <v>185</v>
      </c>
      <c r="AZ95" s="229">
        <v>0.75509999999999999</v>
      </c>
      <c r="BA95" s="228">
        <v>55</v>
      </c>
      <c r="BB95" s="228">
        <v>9</v>
      </c>
      <c r="BC95" s="228">
        <v>45</v>
      </c>
      <c r="BD95" s="229">
        <v>4.8079999999999998</v>
      </c>
      <c r="BE95" s="228">
        <v>2</v>
      </c>
      <c r="BF95" s="228">
        <v>1</v>
      </c>
      <c r="BG95" s="228">
        <v>1</v>
      </c>
      <c r="BH95" s="229">
        <v>2.7143000000000002</v>
      </c>
      <c r="BI95" s="228">
        <v>886</v>
      </c>
      <c r="BJ95" s="228">
        <v>385</v>
      </c>
      <c r="BK95" s="228">
        <v>501</v>
      </c>
      <c r="BL95" s="229">
        <v>1.3001</v>
      </c>
      <c r="BM95" s="228">
        <v>528</v>
      </c>
      <c r="BN95" s="228">
        <v>167</v>
      </c>
      <c r="BO95" s="228">
        <v>361</v>
      </c>
      <c r="BP95" s="229">
        <v>2.1644000000000001</v>
      </c>
      <c r="BQ95" s="230">
        <v>1902</v>
      </c>
      <c r="BR95" s="228">
        <v>808</v>
      </c>
      <c r="BS95" s="230">
        <v>1094</v>
      </c>
      <c r="BT95" s="229">
        <v>1.355</v>
      </c>
      <c r="BU95" s="230">
        <v>5643315</v>
      </c>
      <c r="BV95" s="230">
        <v>2631096</v>
      </c>
      <c r="BW95" s="230">
        <v>3012219</v>
      </c>
      <c r="BX95" s="229">
        <v>1.1449</v>
      </c>
      <c r="BY95" s="230">
        <v>3205</v>
      </c>
      <c r="BZ95" s="230">
        <v>3223</v>
      </c>
      <c r="CA95" s="228">
        <v>-18</v>
      </c>
      <c r="CB95" s="229">
        <v>-5.4999999999999997E-3</v>
      </c>
      <c r="CC95" s="230">
        <v>3137</v>
      </c>
      <c r="CD95" s="230">
        <v>3171</v>
      </c>
      <c r="CE95" s="228">
        <v>-34</v>
      </c>
      <c r="CF95" s="229">
        <v>-1.06E-2</v>
      </c>
      <c r="CG95" s="228">
        <v>64</v>
      </c>
      <c r="CH95" s="228">
        <v>48</v>
      </c>
      <c r="CI95" s="228">
        <v>16</v>
      </c>
      <c r="CJ95" s="229">
        <v>0.33129999999999998</v>
      </c>
      <c r="CK95" s="228">
        <v>4</v>
      </c>
      <c r="CL95" s="228">
        <v>4</v>
      </c>
      <c r="CM95" s="228">
        <v>0</v>
      </c>
      <c r="CN95" s="229">
        <v>4.2599999999999999E-2</v>
      </c>
      <c r="CO95" s="228">
        <v>595</v>
      </c>
      <c r="CP95" s="228">
        <v>573</v>
      </c>
      <c r="CQ95" s="228">
        <v>22</v>
      </c>
      <c r="CR95" s="229">
        <v>3.7499999999999999E-2</v>
      </c>
      <c r="CS95" s="228">
        <v>315</v>
      </c>
      <c r="CT95" s="228">
        <v>290</v>
      </c>
      <c r="CU95" s="228">
        <v>25</v>
      </c>
      <c r="CV95" s="229">
        <v>8.5000000000000006E-2</v>
      </c>
      <c r="CW95" s="230">
        <v>4115</v>
      </c>
      <c r="CX95" s="230">
        <v>4086</v>
      </c>
      <c r="CY95" s="228">
        <v>29</v>
      </c>
      <c r="CZ95" s="229">
        <v>7.0000000000000001E-3</v>
      </c>
      <c r="DA95" s="228">
        <v>33.409999999999997</v>
      </c>
      <c r="DB95" s="228">
        <v>34.28</v>
      </c>
      <c r="DC95" s="228">
        <v>-0.87</v>
      </c>
      <c r="DD95" s="228">
        <v>-0.87</v>
      </c>
      <c r="DE95" s="228">
        <v>36.9</v>
      </c>
      <c r="DF95" s="228">
        <v>36.979999999999997</v>
      </c>
      <c r="DG95" s="228">
        <v>-3.49</v>
      </c>
      <c r="DH95" s="228">
        <v>-0.08</v>
      </c>
      <c r="DI95" s="228">
        <v>33.18</v>
      </c>
      <c r="DJ95" s="228">
        <v>34.07</v>
      </c>
      <c r="DK95" s="228">
        <v>-0.89</v>
      </c>
      <c r="DL95" s="228">
        <v>-0.89</v>
      </c>
      <c r="DM95" s="228">
        <v>33.78</v>
      </c>
      <c r="DN95" s="228">
        <v>34.76</v>
      </c>
      <c r="DO95" s="228">
        <v>-0.98</v>
      </c>
      <c r="DP95" s="228">
        <v>-0.98</v>
      </c>
      <c r="DQ95" s="228">
        <v>0.53</v>
      </c>
      <c r="DR95" s="228">
        <v>0.51</v>
      </c>
      <c r="DS95" s="228">
        <v>0.02</v>
      </c>
      <c r="DT95" s="229">
        <v>3.9199999999999999E-2</v>
      </c>
      <c r="DU95" s="228">
        <v>500</v>
      </c>
      <c r="DV95" s="228">
        <v>470</v>
      </c>
      <c r="DW95" s="228">
        <v>0.6</v>
      </c>
      <c r="DX95" s="228">
        <v>0.43</v>
      </c>
      <c r="DY95" s="228">
        <v>0.17</v>
      </c>
      <c r="DZ95" s="229">
        <v>0.39529999999999998</v>
      </c>
      <c r="EA95" s="229">
        <v>2.1100000000000001E-2</v>
      </c>
      <c r="EB95" s="230">
        <v>1167900</v>
      </c>
      <c r="EC95" s="229">
        <v>5.8999999999999999E-3</v>
      </c>
      <c r="ED95" s="229">
        <v>2.1100000000000001E-2</v>
      </c>
      <c r="EE95" s="228">
        <v>2.87</v>
      </c>
      <c r="EF95" s="229">
        <v>6.4999999999999997E-3</v>
      </c>
      <c r="EG95" s="230">
        <v>2502142</v>
      </c>
      <c r="EH95" s="230">
        <v>1348871</v>
      </c>
      <c r="EI95" s="229">
        <v>0.85499999999999998</v>
      </c>
      <c r="EJ95" s="229">
        <v>0.44340000000000002</v>
      </c>
      <c r="EK95" s="228">
        <v>923.76</v>
      </c>
      <c r="EL95" s="228">
        <v>534.13</v>
      </c>
      <c r="EM95" s="228">
        <v>485.55</v>
      </c>
      <c r="EN95" s="228">
        <v>42.62</v>
      </c>
      <c r="EO95" s="231">
        <v>1943.43</v>
      </c>
      <c r="EP95" s="228">
        <v>833.6</v>
      </c>
      <c r="EQ95" s="231">
        <v>1109.83</v>
      </c>
      <c r="ER95" s="229">
        <v>1.3313999999999999</v>
      </c>
      <c r="ES95" s="228">
        <v>636.34</v>
      </c>
      <c r="ET95" s="228">
        <v>312.58</v>
      </c>
      <c r="EU95" s="231">
        <v>3205.46</v>
      </c>
      <c r="EV95" s="231">
        <v>193623116</v>
      </c>
      <c r="EW95" s="231">
        <v>4154.3900000000003</v>
      </c>
      <c r="EX95" s="231">
        <v>4106.71</v>
      </c>
      <c r="EY95" s="228">
        <v>47.68</v>
      </c>
      <c r="EZ95" s="229">
        <v>1.1599999999999999E-2</v>
      </c>
      <c r="FA95" s="229">
        <v>0.4803</v>
      </c>
      <c r="FB95" s="227" t="s">
        <v>556</v>
      </c>
      <c r="FC95">
        <f t="shared" si="1"/>
        <v>68</v>
      </c>
    </row>
    <row r="96" spans="1:159" ht="17.25" hidden="1" thickBot="1" x14ac:dyDescent="0.3">
      <c r="A96" s="226">
        <v>46093</v>
      </c>
      <c r="B96" s="227" t="s">
        <v>221</v>
      </c>
      <c r="C96" s="227" t="s">
        <v>240</v>
      </c>
      <c r="D96" s="228">
        <v>400</v>
      </c>
      <c r="E96" s="228">
        <v>18</v>
      </c>
      <c r="F96" s="231">
        <v>1270.2</v>
      </c>
      <c r="G96" s="231">
        <v>1278.3</v>
      </c>
      <c r="H96" s="228">
        <v>-8.1</v>
      </c>
      <c r="I96" s="229">
        <v>-6.3E-3</v>
      </c>
      <c r="J96" s="231">
        <v>1265.8</v>
      </c>
      <c r="K96" s="231">
        <v>1276.3</v>
      </c>
      <c r="L96" s="228">
        <v>-10.5</v>
      </c>
      <c r="M96" s="229">
        <v>-8.2000000000000007E-3</v>
      </c>
      <c r="N96" s="231">
        <v>1270.2</v>
      </c>
      <c r="O96" s="231">
        <v>1278.3</v>
      </c>
      <c r="P96" s="228">
        <v>-8.1</v>
      </c>
      <c r="Q96" s="229">
        <v>-6.3E-3</v>
      </c>
      <c r="R96" s="231">
        <v>1275.5999999999999</v>
      </c>
      <c r="S96" s="231">
        <v>1283.4000000000001</v>
      </c>
      <c r="T96" s="228">
        <v>-7.8</v>
      </c>
      <c r="U96" s="229">
        <v>-6.1000000000000004E-3</v>
      </c>
      <c r="V96" s="231">
        <v>1277.8</v>
      </c>
      <c r="W96" s="231">
        <v>1288.4000000000001</v>
      </c>
      <c r="X96" s="228">
        <v>-10.6</v>
      </c>
      <c r="Y96" s="229">
        <v>-8.2000000000000007E-3</v>
      </c>
      <c r="Z96" s="228">
        <v>4.4000000000000004</v>
      </c>
      <c r="AA96" s="228">
        <v>2</v>
      </c>
      <c r="AB96" s="228">
        <v>2.4</v>
      </c>
      <c r="AC96" s="229">
        <v>3.5000000000000001E-3</v>
      </c>
      <c r="AD96" s="228">
        <v>4.4000000000000004</v>
      </c>
      <c r="AE96" s="228">
        <v>2</v>
      </c>
      <c r="AF96" s="228">
        <v>2.4</v>
      </c>
      <c r="AG96" s="229">
        <v>3.5000000000000001E-3</v>
      </c>
      <c r="AH96" s="228">
        <v>9.8000000000000007</v>
      </c>
      <c r="AI96" s="228">
        <v>7.1</v>
      </c>
      <c r="AJ96" s="228">
        <v>2.7</v>
      </c>
      <c r="AK96" s="229">
        <v>7.7000000000000002E-3</v>
      </c>
      <c r="AL96" s="228">
        <v>12</v>
      </c>
      <c r="AM96" s="228">
        <v>12.1</v>
      </c>
      <c r="AN96" s="228">
        <v>-0.1</v>
      </c>
      <c r="AO96" s="229">
        <v>9.4999999999999998E-3</v>
      </c>
      <c r="AP96" s="231">
        <v>1270.69</v>
      </c>
      <c r="AQ96" s="231">
        <v>1276.68</v>
      </c>
      <c r="AR96" s="228">
        <v>0</v>
      </c>
      <c r="AS96" s="230">
        <v>1433</v>
      </c>
      <c r="AT96" s="230">
        <v>1069</v>
      </c>
      <c r="AU96" s="228">
        <v>364</v>
      </c>
      <c r="AV96" s="229">
        <v>0.3402</v>
      </c>
      <c r="AW96" s="230">
        <v>1119</v>
      </c>
      <c r="AX96" s="228">
        <v>947</v>
      </c>
      <c r="AY96" s="228">
        <v>172</v>
      </c>
      <c r="AZ96" s="229">
        <v>0.18179999999999999</v>
      </c>
      <c r="BA96" s="228">
        <v>302</v>
      </c>
      <c r="BB96" s="228">
        <v>109</v>
      </c>
      <c r="BC96" s="228">
        <v>193</v>
      </c>
      <c r="BD96" s="229">
        <v>1.7695000000000001</v>
      </c>
      <c r="BE96" s="228">
        <v>13</v>
      </c>
      <c r="BF96" s="228">
        <v>14</v>
      </c>
      <c r="BG96" s="228">
        <v>-1</v>
      </c>
      <c r="BH96" s="229">
        <v>-6.5699999999999995E-2</v>
      </c>
      <c r="BI96" s="230">
        <v>3532</v>
      </c>
      <c r="BJ96" s="230">
        <v>3043</v>
      </c>
      <c r="BK96" s="228">
        <v>489</v>
      </c>
      <c r="BL96" s="229">
        <v>0.16089999999999999</v>
      </c>
      <c r="BM96" s="230">
        <v>1846</v>
      </c>
      <c r="BN96" s="230">
        <v>1782</v>
      </c>
      <c r="BO96" s="228">
        <v>64</v>
      </c>
      <c r="BP96" s="229">
        <v>3.5900000000000001E-2</v>
      </c>
      <c r="BQ96" s="230">
        <v>6811</v>
      </c>
      <c r="BR96" s="230">
        <v>5894</v>
      </c>
      <c r="BS96" s="228">
        <v>917</v>
      </c>
      <c r="BT96" s="229">
        <v>0.15570000000000001</v>
      </c>
      <c r="BU96" s="230">
        <v>8278203</v>
      </c>
      <c r="BV96" s="230">
        <v>8456867</v>
      </c>
      <c r="BW96" s="230">
        <v>-178664</v>
      </c>
      <c r="BX96" s="229">
        <v>-2.1100000000000001E-2</v>
      </c>
      <c r="BY96" s="230">
        <v>9941</v>
      </c>
      <c r="BZ96" s="230">
        <v>10017</v>
      </c>
      <c r="CA96" s="228">
        <v>-76</v>
      </c>
      <c r="CB96" s="229">
        <v>-7.6E-3</v>
      </c>
      <c r="CC96" s="230">
        <v>8920</v>
      </c>
      <c r="CD96" s="230">
        <v>9194</v>
      </c>
      <c r="CE96" s="228">
        <v>-274</v>
      </c>
      <c r="CF96" s="229">
        <v>-2.98E-2</v>
      </c>
      <c r="CG96" s="228">
        <v>818</v>
      </c>
      <c r="CH96" s="228">
        <v>622</v>
      </c>
      <c r="CI96" s="228">
        <v>196</v>
      </c>
      <c r="CJ96" s="229">
        <v>0.3155</v>
      </c>
      <c r="CK96" s="228">
        <v>203</v>
      </c>
      <c r="CL96" s="228">
        <v>201</v>
      </c>
      <c r="CM96" s="228">
        <v>1</v>
      </c>
      <c r="CN96" s="229">
        <v>6.1000000000000004E-3</v>
      </c>
      <c r="CO96" s="230">
        <v>5287</v>
      </c>
      <c r="CP96" s="230">
        <v>5289</v>
      </c>
      <c r="CQ96" s="228">
        <v>-2</v>
      </c>
      <c r="CR96" s="229">
        <v>-2.9999999999999997E-4</v>
      </c>
      <c r="CS96" s="230">
        <v>2460</v>
      </c>
      <c r="CT96" s="230">
        <v>2479</v>
      </c>
      <c r="CU96" s="228">
        <v>-20</v>
      </c>
      <c r="CV96" s="229">
        <v>-7.9000000000000008E-3</v>
      </c>
      <c r="CW96" s="230">
        <v>17688</v>
      </c>
      <c r="CX96" s="230">
        <v>17786</v>
      </c>
      <c r="CY96" s="228">
        <v>-97</v>
      </c>
      <c r="CZ96" s="229">
        <v>-5.4999999999999997E-3</v>
      </c>
      <c r="DA96" s="228">
        <v>34.5</v>
      </c>
      <c r="DB96" s="228">
        <v>35.270000000000003</v>
      </c>
      <c r="DC96" s="228">
        <v>-0.77</v>
      </c>
      <c r="DD96" s="228">
        <v>-0.77</v>
      </c>
      <c r="DE96" s="228">
        <v>30.55</v>
      </c>
      <c r="DF96" s="228">
        <v>30.61</v>
      </c>
      <c r="DG96" s="228">
        <v>3.95</v>
      </c>
      <c r="DH96" s="228">
        <v>-0.06</v>
      </c>
      <c r="DI96" s="228">
        <v>33.520000000000003</v>
      </c>
      <c r="DJ96" s="228">
        <v>33.909999999999997</v>
      </c>
      <c r="DK96" s="228">
        <v>-0.39</v>
      </c>
      <c r="DL96" s="228">
        <v>-0.39</v>
      </c>
      <c r="DM96" s="228">
        <v>36.380000000000003</v>
      </c>
      <c r="DN96" s="228">
        <v>37.58</v>
      </c>
      <c r="DO96" s="228">
        <v>-1.2</v>
      </c>
      <c r="DP96" s="228">
        <v>-1.2</v>
      </c>
      <c r="DQ96" s="228">
        <v>0.47</v>
      </c>
      <c r="DR96" s="228">
        <v>0.47</v>
      </c>
      <c r="DS96" s="228">
        <v>0</v>
      </c>
      <c r="DT96" s="229">
        <v>0</v>
      </c>
      <c r="DU96" s="231">
        <v>1400</v>
      </c>
      <c r="DV96" s="231">
        <v>1280</v>
      </c>
      <c r="DW96" s="228">
        <v>0.52</v>
      </c>
      <c r="DX96" s="228">
        <v>0.59</v>
      </c>
      <c r="DY96" s="228">
        <v>-7.0000000000000007E-2</v>
      </c>
      <c r="DZ96" s="229">
        <v>-0.1186</v>
      </c>
      <c r="EA96" s="229">
        <v>0.1027</v>
      </c>
      <c r="EB96" s="230">
        <v>6480400</v>
      </c>
      <c r="EC96" s="229">
        <v>4.3E-3</v>
      </c>
      <c r="ED96" s="229">
        <v>0.1027</v>
      </c>
      <c r="EE96" s="228">
        <v>5.99</v>
      </c>
      <c r="EF96" s="229">
        <v>4.7000000000000002E-3</v>
      </c>
      <c r="EG96" s="230">
        <v>3595282</v>
      </c>
      <c r="EH96" s="230">
        <v>4050436</v>
      </c>
      <c r="EI96" s="229">
        <v>-0.1124</v>
      </c>
      <c r="EJ96" s="229">
        <v>0.43430000000000002</v>
      </c>
      <c r="EK96" s="231">
        <v>3856.94</v>
      </c>
      <c r="EL96" s="231">
        <v>1820.49</v>
      </c>
      <c r="EM96" s="231">
        <v>1435.32</v>
      </c>
      <c r="EN96" s="228">
        <v>250.14</v>
      </c>
      <c r="EO96" s="231">
        <v>7112.75</v>
      </c>
      <c r="EP96" s="231">
        <v>6184.93</v>
      </c>
      <c r="EQ96" s="228">
        <v>927.82</v>
      </c>
      <c r="ER96" s="229">
        <v>0.15</v>
      </c>
      <c r="ES96" s="231">
        <v>5914.25</v>
      </c>
      <c r="ET96" s="231">
        <v>2504.9899999999998</v>
      </c>
      <c r="EU96" s="231">
        <v>9945.68</v>
      </c>
      <c r="EV96" s="231">
        <v>368703409</v>
      </c>
      <c r="EW96" s="231">
        <v>18364.919999999998</v>
      </c>
      <c r="EX96" s="231">
        <v>18550.91</v>
      </c>
      <c r="EY96" s="228">
        <v>-185.99</v>
      </c>
      <c r="EZ96" s="229">
        <v>-0.01</v>
      </c>
      <c r="FA96" s="229">
        <v>0.37769999999999998</v>
      </c>
      <c r="FB96" s="227" t="s">
        <v>568</v>
      </c>
      <c r="FC96">
        <f t="shared" si="1"/>
        <v>1021</v>
      </c>
    </row>
    <row r="97" spans="1:159" ht="17.25" hidden="1" thickBot="1" x14ac:dyDescent="0.3">
      <c r="A97" s="226">
        <v>46093</v>
      </c>
      <c r="B97" s="227" t="s">
        <v>161</v>
      </c>
      <c r="C97" s="227" t="s">
        <v>668</v>
      </c>
      <c r="D97" s="228">
        <v>3575</v>
      </c>
      <c r="E97" s="228">
        <v>18</v>
      </c>
      <c r="F97" s="228">
        <v>83.99</v>
      </c>
      <c r="G97" s="228">
        <v>82.38</v>
      </c>
      <c r="H97" s="228">
        <v>1.61</v>
      </c>
      <c r="I97" s="229">
        <v>1.95E-2</v>
      </c>
      <c r="J97" s="228">
        <v>83.68</v>
      </c>
      <c r="K97" s="228">
        <v>82.26</v>
      </c>
      <c r="L97" s="228">
        <v>1.42</v>
      </c>
      <c r="M97" s="229">
        <v>1.7299999999999999E-2</v>
      </c>
      <c r="N97" s="228">
        <v>83.99</v>
      </c>
      <c r="O97" s="228">
        <v>82.38</v>
      </c>
      <c r="P97" s="228">
        <v>1.61</v>
      </c>
      <c r="Q97" s="229">
        <v>1.95E-2</v>
      </c>
      <c r="R97" s="228">
        <v>84.4</v>
      </c>
      <c r="S97" s="228">
        <v>83.04</v>
      </c>
      <c r="T97" s="228">
        <v>1.36</v>
      </c>
      <c r="U97" s="229">
        <v>1.6400000000000001E-2</v>
      </c>
      <c r="V97" s="228">
        <v>84.93</v>
      </c>
      <c r="W97" s="228">
        <v>83.48</v>
      </c>
      <c r="X97" s="228">
        <v>1.45</v>
      </c>
      <c r="Y97" s="229">
        <v>1.7399999999999999E-2</v>
      </c>
      <c r="Z97" s="228">
        <v>0.31</v>
      </c>
      <c r="AA97" s="228">
        <v>0.12</v>
      </c>
      <c r="AB97" s="228">
        <v>0.19</v>
      </c>
      <c r="AC97" s="229">
        <v>3.7000000000000002E-3</v>
      </c>
      <c r="AD97" s="228">
        <v>0.31</v>
      </c>
      <c r="AE97" s="228">
        <v>0.12</v>
      </c>
      <c r="AF97" s="228">
        <v>0.19</v>
      </c>
      <c r="AG97" s="229">
        <v>3.7000000000000002E-3</v>
      </c>
      <c r="AH97" s="228">
        <v>0.72</v>
      </c>
      <c r="AI97" s="228">
        <v>0.78</v>
      </c>
      <c r="AJ97" s="228">
        <v>-0.06</v>
      </c>
      <c r="AK97" s="229">
        <v>8.6E-3</v>
      </c>
      <c r="AL97" s="228">
        <v>1.25</v>
      </c>
      <c r="AM97" s="228">
        <v>1.22</v>
      </c>
      <c r="AN97" s="228">
        <v>0.03</v>
      </c>
      <c r="AO97" s="229">
        <v>1.49E-2</v>
      </c>
      <c r="AP97" s="228">
        <v>84.63</v>
      </c>
      <c r="AQ97" s="228">
        <v>85.41</v>
      </c>
      <c r="AR97" s="228">
        <v>0</v>
      </c>
      <c r="AS97" s="228">
        <v>169</v>
      </c>
      <c r="AT97" s="228">
        <v>85</v>
      </c>
      <c r="AU97" s="228">
        <v>84</v>
      </c>
      <c r="AV97" s="229">
        <v>0.97819999999999996</v>
      </c>
      <c r="AW97" s="228">
        <v>145</v>
      </c>
      <c r="AX97" s="228">
        <v>75</v>
      </c>
      <c r="AY97" s="228">
        <v>70</v>
      </c>
      <c r="AZ97" s="229">
        <v>0.92869999999999997</v>
      </c>
      <c r="BA97" s="228">
        <v>23</v>
      </c>
      <c r="BB97" s="228">
        <v>9</v>
      </c>
      <c r="BC97" s="228">
        <v>14</v>
      </c>
      <c r="BD97" s="229">
        <v>1.4490000000000001</v>
      </c>
      <c r="BE97" s="228">
        <v>1</v>
      </c>
      <c r="BF97" s="228">
        <v>1</v>
      </c>
      <c r="BG97" s="228">
        <v>0</v>
      </c>
      <c r="BH97" s="229">
        <v>0.30559999999999998</v>
      </c>
      <c r="BI97" s="228">
        <v>454</v>
      </c>
      <c r="BJ97" s="228">
        <v>201</v>
      </c>
      <c r="BK97" s="228">
        <v>253</v>
      </c>
      <c r="BL97" s="229">
        <v>1.2582</v>
      </c>
      <c r="BM97" s="228">
        <v>99</v>
      </c>
      <c r="BN97" s="228">
        <v>63</v>
      </c>
      <c r="BO97" s="228">
        <v>36</v>
      </c>
      <c r="BP97" s="229">
        <v>0.56679999999999997</v>
      </c>
      <c r="BQ97" s="228">
        <v>723</v>
      </c>
      <c r="BR97" s="228">
        <v>350</v>
      </c>
      <c r="BS97" s="228">
        <v>373</v>
      </c>
      <c r="BT97" s="229">
        <v>1.0645</v>
      </c>
      <c r="BU97" s="230">
        <v>21204144</v>
      </c>
      <c r="BV97" s="230">
        <v>10077477</v>
      </c>
      <c r="BW97" s="230">
        <v>11126667</v>
      </c>
      <c r="BX97" s="229">
        <v>1.1041000000000001</v>
      </c>
      <c r="BY97" s="228">
        <v>862</v>
      </c>
      <c r="BZ97" s="228">
        <v>860</v>
      </c>
      <c r="CA97" s="228">
        <v>2</v>
      </c>
      <c r="CB97" s="229">
        <v>2.0999999999999999E-3</v>
      </c>
      <c r="CC97" s="228">
        <v>810</v>
      </c>
      <c r="CD97" s="228">
        <v>815</v>
      </c>
      <c r="CE97" s="228">
        <v>-4</v>
      </c>
      <c r="CF97" s="229">
        <v>-5.3E-3</v>
      </c>
      <c r="CG97" s="228">
        <v>47</v>
      </c>
      <c r="CH97" s="228">
        <v>41</v>
      </c>
      <c r="CI97" s="228">
        <v>6</v>
      </c>
      <c r="CJ97" s="229">
        <v>0.14069999999999999</v>
      </c>
      <c r="CK97" s="228">
        <v>5</v>
      </c>
      <c r="CL97" s="228">
        <v>5</v>
      </c>
      <c r="CM97" s="228">
        <v>0</v>
      </c>
      <c r="CN97" s="229">
        <v>8.2799999999999999E-2</v>
      </c>
      <c r="CO97" s="228">
        <v>311</v>
      </c>
      <c r="CP97" s="228">
        <v>324</v>
      </c>
      <c r="CQ97" s="228">
        <v>-12</v>
      </c>
      <c r="CR97" s="229">
        <v>-3.7999999999999999E-2</v>
      </c>
      <c r="CS97" s="228">
        <v>212</v>
      </c>
      <c r="CT97" s="228">
        <v>210</v>
      </c>
      <c r="CU97" s="228">
        <v>2</v>
      </c>
      <c r="CV97" s="229">
        <v>9.5999999999999992E-3</v>
      </c>
      <c r="CW97" s="230">
        <v>1386</v>
      </c>
      <c r="CX97" s="230">
        <v>1395</v>
      </c>
      <c r="CY97" s="228">
        <v>-8</v>
      </c>
      <c r="CZ97" s="229">
        <v>-6.1000000000000004E-3</v>
      </c>
      <c r="DA97" s="228">
        <v>54.07</v>
      </c>
      <c r="DB97" s="228">
        <v>51.83</v>
      </c>
      <c r="DC97" s="228">
        <v>2.2400000000000002</v>
      </c>
      <c r="DD97" s="228">
        <v>2.2400000000000002</v>
      </c>
      <c r="DE97" s="228">
        <v>50.81</v>
      </c>
      <c r="DF97" s="228">
        <v>50.87</v>
      </c>
      <c r="DG97" s="228">
        <v>3.26</v>
      </c>
      <c r="DH97" s="228">
        <v>-0.06</v>
      </c>
      <c r="DI97" s="228">
        <v>54.15</v>
      </c>
      <c r="DJ97" s="228">
        <v>52.08</v>
      </c>
      <c r="DK97" s="228">
        <v>2.0699999999999998</v>
      </c>
      <c r="DL97" s="228">
        <v>2.0699999999999998</v>
      </c>
      <c r="DM97" s="228">
        <v>53.7</v>
      </c>
      <c r="DN97" s="228">
        <v>51.04</v>
      </c>
      <c r="DO97" s="228">
        <v>2.66</v>
      </c>
      <c r="DP97" s="228">
        <v>2.66</v>
      </c>
      <c r="DQ97" s="228">
        <v>0.68</v>
      </c>
      <c r="DR97" s="228">
        <v>0.65</v>
      </c>
      <c r="DS97" s="228">
        <v>0.03</v>
      </c>
      <c r="DT97" s="229">
        <v>4.6199999999999998E-2</v>
      </c>
      <c r="DU97" s="228">
        <v>100</v>
      </c>
      <c r="DV97" s="228">
        <v>85</v>
      </c>
      <c r="DW97" s="228">
        <v>0.22</v>
      </c>
      <c r="DX97" s="228">
        <v>0.32</v>
      </c>
      <c r="DY97" s="228">
        <v>-0.1</v>
      </c>
      <c r="DZ97" s="229">
        <v>-0.3125</v>
      </c>
      <c r="EA97" s="229">
        <v>6.0400000000000002E-2</v>
      </c>
      <c r="EB97" s="230">
        <v>5466175</v>
      </c>
      <c r="EC97" s="229">
        <v>4.8999999999999998E-3</v>
      </c>
      <c r="ED97" s="229">
        <v>6.0400000000000002E-2</v>
      </c>
      <c r="EE97" s="228">
        <v>0.78</v>
      </c>
      <c r="EF97" s="229">
        <v>9.1999999999999998E-3</v>
      </c>
      <c r="EG97" s="230">
        <v>5809614</v>
      </c>
      <c r="EH97" s="230">
        <v>3374462</v>
      </c>
      <c r="EI97" s="229">
        <v>0.72160000000000002</v>
      </c>
      <c r="EJ97" s="229">
        <v>0.27400000000000002</v>
      </c>
      <c r="EK97" s="228">
        <v>508.07</v>
      </c>
      <c r="EL97" s="228">
        <v>100.2</v>
      </c>
      <c r="EM97" s="228">
        <v>170.63</v>
      </c>
      <c r="EN97" s="228">
        <v>37.75</v>
      </c>
      <c r="EO97" s="228">
        <v>778.9</v>
      </c>
      <c r="EP97" s="228">
        <v>371.06</v>
      </c>
      <c r="EQ97" s="228">
        <v>407.83</v>
      </c>
      <c r="ER97" s="229">
        <v>1.0991</v>
      </c>
      <c r="ES97" s="228">
        <v>361.23</v>
      </c>
      <c r="ET97" s="228">
        <v>240.58</v>
      </c>
      <c r="EU97" s="228">
        <v>862.62</v>
      </c>
      <c r="EV97" s="231">
        <v>144708707</v>
      </c>
      <c r="EW97" s="231">
        <v>1464.43</v>
      </c>
      <c r="EX97" s="231">
        <v>1459.74</v>
      </c>
      <c r="EY97" s="228">
        <v>4.6900000000000004</v>
      </c>
      <c r="EZ97" s="229">
        <v>3.2000000000000002E-3</v>
      </c>
      <c r="FA97" s="229">
        <v>1.1404000000000001</v>
      </c>
      <c r="FB97" s="227" t="s">
        <v>555</v>
      </c>
      <c r="FC97">
        <f t="shared" si="1"/>
        <v>52</v>
      </c>
    </row>
    <row r="98" spans="1:159" ht="17.25" hidden="1" thickBot="1" x14ac:dyDescent="0.3">
      <c r="A98" s="226">
        <v>46093</v>
      </c>
      <c r="B98" s="227" t="s">
        <v>193</v>
      </c>
      <c r="C98" s="227" t="s">
        <v>241</v>
      </c>
      <c r="D98" s="228">
        <v>4875</v>
      </c>
      <c r="E98" s="228">
        <v>18</v>
      </c>
      <c r="F98" s="228">
        <v>160.74</v>
      </c>
      <c r="G98" s="228">
        <v>159.04</v>
      </c>
      <c r="H98" s="228">
        <v>1.7</v>
      </c>
      <c r="I98" s="229">
        <v>1.0699999999999999E-2</v>
      </c>
      <c r="J98" s="228">
        <v>160.16</v>
      </c>
      <c r="K98" s="228">
        <v>160.63</v>
      </c>
      <c r="L98" s="228">
        <v>-0.47</v>
      </c>
      <c r="M98" s="229">
        <v>-2.8999999999999998E-3</v>
      </c>
      <c r="N98" s="228">
        <v>160.74</v>
      </c>
      <c r="O98" s="228">
        <v>159.04</v>
      </c>
      <c r="P98" s="228">
        <v>1.7</v>
      </c>
      <c r="Q98" s="229">
        <v>1.0699999999999999E-2</v>
      </c>
      <c r="R98" s="228">
        <v>161.82</v>
      </c>
      <c r="S98" s="228">
        <v>160.02000000000001</v>
      </c>
      <c r="T98" s="228">
        <v>1.8</v>
      </c>
      <c r="U98" s="229">
        <v>1.12E-2</v>
      </c>
      <c r="V98" s="228">
        <v>162.86000000000001</v>
      </c>
      <c r="W98" s="228">
        <v>160.86000000000001</v>
      </c>
      <c r="X98" s="228">
        <v>2</v>
      </c>
      <c r="Y98" s="229">
        <v>1.24E-2</v>
      </c>
      <c r="Z98" s="228">
        <v>0.57999999999999996</v>
      </c>
      <c r="AA98" s="228">
        <v>-1.59</v>
      </c>
      <c r="AB98" s="228">
        <v>2.17</v>
      </c>
      <c r="AC98" s="229">
        <v>3.5999999999999999E-3</v>
      </c>
      <c r="AD98" s="228">
        <v>0.57999999999999996</v>
      </c>
      <c r="AE98" s="228">
        <v>-1.59</v>
      </c>
      <c r="AF98" s="228">
        <v>2.17</v>
      </c>
      <c r="AG98" s="229">
        <v>3.5999999999999999E-3</v>
      </c>
      <c r="AH98" s="228">
        <v>1.66</v>
      </c>
      <c r="AI98" s="228">
        <v>-0.61</v>
      </c>
      <c r="AJ98" s="228">
        <v>2.27</v>
      </c>
      <c r="AK98" s="229">
        <v>1.04E-2</v>
      </c>
      <c r="AL98" s="228">
        <v>2.7</v>
      </c>
      <c r="AM98" s="228">
        <v>0.23</v>
      </c>
      <c r="AN98" s="228">
        <v>2.4700000000000002</v>
      </c>
      <c r="AO98" s="229">
        <v>1.6899999999999998E-2</v>
      </c>
      <c r="AP98" s="228">
        <v>159.30000000000001</v>
      </c>
      <c r="AQ98" s="228">
        <v>160.13999999999999</v>
      </c>
      <c r="AR98" s="228">
        <v>0</v>
      </c>
      <c r="AS98" s="228">
        <v>377</v>
      </c>
      <c r="AT98" s="228">
        <v>403</v>
      </c>
      <c r="AU98" s="228">
        <v>-26</v>
      </c>
      <c r="AV98" s="229">
        <v>-6.4100000000000004E-2</v>
      </c>
      <c r="AW98" s="228">
        <v>347</v>
      </c>
      <c r="AX98" s="228">
        <v>377</v>
      </c>
      <c r="AY98" s="228">
        <v>-31</v>
      </c>
      <c r="AZ98" s="229">
        <v>-8.1000000000000003E-2</v>
      </c>
      <c r="BA98" s="228">
        <v>26</v>
      </c>
      <c r="BB98" s="228">
        <v>24</v>
      </c>
      <c r="BC98" s="228">
        <v>3</v>
      </c>
      <c r="BD98" s="229">
        <v>0.1082</v>
      </c>
      <c r="BE98" s="228">
        <v>4</v>
      </c>
      <c r="BF98" s="228">
        <v>2</v>
      </c>
      <c r="BG98" s="228">
        <v>2</v>
      </c>
      <c r="BH98" s="229">
        <v>1</v>
      </c>
      <c r="BI98" s="228">
        <v>932</v>
      </c>
      <c r="BJ98" s="228">
        <v>781</v>
      </c>
      <c r="BK98" s="228">
        <v>150</v>
      </c>
      <c r="BL98" s="229">
        <v>0.1925</v>
      </c>
      <c r="BM98" s="228">
        <v>937</v>
      </c>
      <c r="BN98" s="228">
        <v>732</v>
      </c>
      <c r="BO98" s="228">
        <v>205</v>
      </c>
      <c r="BP98" s="229">
        <v>0.27979999999999999</v>
      </c>
      <c r="BQ98" s="230">
        <v>2246</v>
      </c>
      <c r="BR98" s="230">
        <v>1917</v>
      </c>
      <c r="BS98" s="228">
        <v>329</v>
      </c>
      <c r="BT98" s="229">
        <v>0.1719</v>
      </c>
      <c r="BU98" s="230">
        <v>22738627</v>
      </c>
      <c r="BV98" s="230">
        <v>23471830</v>
      </c>
      <c r="BW98" s="230">
        <v>-733203</v>
      </c>
      <c r="BX98" s="229">
        <v>-3.1199999999999999E-2</v>
      </c>
      <c r="BY98" s="230">
        <v>1614</v>
      </c>
      <c r="BZ98" s="230">
        <v>1626</v>
      </c>
      <c r="CA98" s="228">
        <v>-12</v>
      </c>
      <c r="CB98" s="229">
        <v>-7.4000000000000003E-3</v>
      </c>
      <c r="CC98" s="230">
        <v>1545</v>
      </c>
      <c r="CD98" s="230">
        <v>1561</v>
      </c>
      <c r="CE98" s="228">
        <v>-16</v>
      </c>
      <c r="CF98" s="229">
        <v>-1.01E-2</v>
      </c>
      <c r="CG98" s="228">
        <v>52</v>
      </c>
      <c r="CH98" s="228">
        <v>48</v>
      </c>
      <c r="CI98" s="228">
        <v>3</v>
      </c>
      <c r="CJ98" s="229">
        <v>6.6500000000000004E-2</v>
      </c>
      <c r="CK98" s="228">
        <v>17</v>
      </c>
      <c r="CL98" s="228">
        <v>16</v>
      </c>
      <c r="CM98" s="228">
        <v>0</v>
      </c>
      <c r="CN98" s="229">
        <v>2.8799999999999999E-2</v>
      </c>
      <c r="CO98" s="230">
        <v>1124</v>
      </c>
      <c r="CP98" s="230">
        <v>1050</v>
      </c>
      <c r="CQ98" s="228">
        <v>73</v>
      </c>
      <c r="CR98" s="229">
        <v>6.9800000000000001E-2</v>
      </c>
      <c r="CS98" s="228">
        <v>998</v>
      </c>
      <c r="CT98" s="228">
        <v>977</v>
      </c>
      <c r="CU98" s="228">
        <v>20</v>
      </c>
      <c r="CV98" s="229">
        <v>2.0799999999999999E-2</v>
      </c>
      <c r="CW98" s="230">
        <v>3735</v>
      </c>
      <c r="CX98" s="230">
        <v>3653</v>
      </c>
      <c r="CY98" s="228">
        <v>82</v>
      </c>
      <c r="CZ98" s="229">
        <v>2.23E-2</v>
      </c>
      <c r="DA98" s="228">
        <v>41.03</v>
      </c>
      <c r="DB98" s="228">
        <v>40.46</v>
      </c>
      <c r="DC98" s="228">
        <v>0.56999999999999995</v>
      </c>
      <c r="DD98" s="228">
        <v>0.56999999999999995</v>
      </c>
      <c r="DE98" s="228">
        <v>32.06</v>
      </c>
      <c r="DF98" s="228">
        <v>32.11</v>
      </c>
      <c r="DG98" s="228">
        <v>8.9700000000000006</v>
      </c>
      <c r="DH98" s="228">
        <v>-0.05</v>
      </c>
      <c r="DI98" s="228">
        <v>38.67</v>
      </c>
      <c r="DJ98" s="228">
        <v>39.700000000000003</v>
      </c>
      <c r="DK98" s="228">
        <v>-1.03</v>
      </c>
      <c r="DL98" s="228">
        <v>-1.03</v>
      </c>
      <c r="DM98" s="228">
        <v>43.38</v>
      </c>
      <c r="DN98" s="228">
        <v>41.27</v>
      </c>
      <c r="DO98" s="228">
        <v>2.11</v>
      </c>
      <c r="DP98" s="228">
        <v>2.11</v>
      </c>
      <c r="DQ98" s="228">
        <v>0.89</v>
      </c>
      <c r="DR98" s="228">
        <v>0.93</v>
      </c>
      <c r="DS98" s="228">
        <v>-0.04</v>
      </c>
      <c r="DT98" s="229">
        <v>-4.2999999999999997E-2</v>
      </c>
      <c r="DU98" s="228">
        <v>180</v>
      </c>
      <c r="DV98" s="228">
        <v>150</v>
      </c>
      <c r="DW98" s="228">
        <v>1.01</v>
      </c>
      <c r="DX98" s="228">
        <v>0.94</v>
      </c>
      <c r="DY98" s="228">
        <v>7.0000000000000007E-2</v>
      </c>
      <c r="DZ98" s="229">
        <v>7.4499999999999997E-2</v>
      </c>
      <c r="EA98" s="229">
        <v>4.2299999999999997E-2</v>
      </c>
      <c r="EB98" s="230">
        <v>4021875</v>
      </c>
      <c r="EC98" s="229">
        <v>6.7000000000000002E-3</v>
      </c>
      <c r="ED98" s="229">
        <v>4.2299999999999997E-2</v>
      </c>
      <c r="EE98" s="228">
        <v>0.84</v>
      </c>
      <c r="EF98" s="229">
        <v>5.3E-3</v>
      </c>
      <c r="EG98" s="230">
        <v>7336345</v>
      </c>
      <c r="EH98" s="230">
        <v>12345948</v>
      </c>
      <c r="EI98" s="229">
        <v>-0.40579999999999999</v>
      </c>
      <c r="EJ98" s="229">
        <v>0.3226</v>
      </c>
      <c r="EK98" s="228">
        <v>994.13</v>
      </c>
      <c r="EL98" s="228">
        <v>921.47</v>
      </c>
      <c r="EM98" s="228">
        <v>374.18</v>
      </c>
      <c r="EN98" s="228">
        <v>75.98</v>
      </c>
      <c r="EO98" s="231">
        <v>2289.7800000000002</v>
      </c>
      <c r="EP98" s="231">
        <v>1973.98</v>
      </c>
      <c r="EQ98" s="228">
        <v>315.8</v>
      </c>
      <c r="ER98" s="229">
        <v>0.16</v>
      </c>
      <c r="ES98" s="231">
        <v>1243.3</v>
      </c>
      <c r="ET98" s="231">
        <v>1006.18</v>
      </c>
      <c r="EU98" s="231">
        <v>1614.17</v>
      </c>
      <c r="EV98" s="231">
        <v>684903861</v>
      </c>
      <c r="EW98" s="231">
        <v>3863.65</v>
      </c>
      <c r="EX98" s="231">
        <v>3766.64</v>
      </c>
      <c r="EY98" s="228">
        <v>97.01</v>
      </c>
      <c r="EZ98" s="229">
        <v>2.58E-2</v>
      </c>
      <c r="FA98" s="229">
        <v>0.33929999999999999</v>
      </c>
      <c r="FB98" s="227" t="s">
        <v>556</v>
      </c>
      <c r="FC98">
        <f t="shared" si="1"/>
        <v>69</v>
      </c>
    </row>
    <row r="99" spans="1:159" ht="17.25" hidden="1" thickBot="1" x14ac:dyDescent="0.3">
      <c r="A99" s="226">
        <v>46093</v>
      </c>
      <c r="B99" s="227" t="s">
        <v>175</v>
      </c>
      <c r="C99" s="227" t="s">
        <v>664</v>
      </c>
      <c r="D99" s="228">
        <v>3450</v>
      </c>
      <c r="E99" s="228">
        <v>18</v>
      </c>
      <c r="F99" s="228">
        <v>116.78</v>
      </c>
      <c r="G99" s="228">
        <v>114.76</v>
      </c>
      <c r="H99" s="228">
        <v>2.02</v>
      </c>
      <c r="I99" s="229">
        <v>1.7600000000000001E-2</v>
      </c>
      <c r="J99" s="228">
        <v>117.03</v>
      </c>
      <c r="K99" s="228">
        <v>114.8</v>
      </c>
      <c r="L99" s="228">
        <v>2.23</v>
      </c>
      <c r="M99" s="229">
        <v>1.9400000000000001E-2</v>
      </c>
      <c r="N99" s="228">
        <v>116.78</v>
      </c>
      <c r="O99" s="228">
        <v>114.76</v>
      </c>
      <c r="P99" s="228">
        <v>2.02</v>
      </c>
      <c r="Q99" s="229">
        <v>1.7600000000000001E-2</v>
      </c>
      <c r="R99" s="228">
        <v>115.77</v>
      </c>
      <c r="S99" s="228">
        <v>113.91</v>
      </c>
      <c r="T99" s="228">
        <v>1.86</v>
      </c>
      <c r="U99" s="229">
        <v>1.6299999999999999E-2</v>
      </c>
      <c r="V99" s="228">
        <v>115.49</v>
      </c>
      <c r="W99" s="228">
        <v>113.57</v>
      </c>
      <c r="X99" s="228">
        <v>1.92</v>
      </c>
      <c r="Y99" s="229">
        <v>1.6899999999999998E-2</v>
      </c>
      <c r="Z99" s="228">
        <v>-0.25</v>
      </c>
      <c r="AA99" s="228">
        <v>-0.04</v>
      </c>
      <c r="AB99" s="228">
        <v>-0.21</v>
      </c>
      <c r="AC99" s="229">
        <v>-2.0999999999999999E-3</v>
      </c>
      <c r="AD99" s="228">
        <v>-0.25</v>
      </c>
      <c r="AE99" s="228">
        <v>-0.04</v>
      </c>
      <c r="AF99" s="228">
        <v>-0.21</v>
      </c>
      <c r="AG99" s="229">
        <v>-2.0999999999999999E-3</v>
      </c>
      <c r="AH99" s="228">
        <v>-1.26</v>
      </c>
      <c r="AI99" s="228">
        <v>-0.89</v>
      </c>
      <c r="AJ99" s="228">
        <v>-0.37</v>
      </c>
      <c r="AK99" s="229">
        <v>-1.0800000000000001E-2</v>
      </c>
      <c r="AL99" s="228">
        <v>-1.54</v>
      </c>
      <c r="AM99" s="228">
        <v>-1.23</v>
      </c>
      <c r="AN99" s="228">
        <v>-0.31</v>
      </c>
      <c r="AO99" s="229">
        <v>-1.32E-2</v>
      </c>
      <c r="AP99" s="228">
        <v>115.84</v>
      </c>
      <c r="AQ99" s="228">
        <v>115.19</v>
      </c>
      <c r="AR99" s="228">
        <v>0</v>
      </c>
      <c r="AS99" s="228">
        <v>113</v>
      </c>
      <c r="AT99" s="228">
        <v>76</v>
      </c>
      <c r="AU99" s="228">
        <v>37</v>
      </c>
      <c r="AV99" s="229">
        <v>0.49309999999999998</v>
      </c>
      <c r="AW99" s="228">
        <v>90</v>
      </c>
      <c r="AX99" s="228">
        <v>57</v>
      </c>
      <c r="AY99" s="228">
        <v>32</v>
      </c>
      <c r="AZ99" s="229">
        <v>0.56769999999999998</v>
      </c>
      <c r="BA99" s="228">
        <v>20</v>
      </c>
      <c r="BB99" s="228">
        <v>16</v>
      </c>
      <c r="BC99" s="228">
        <v>4</v>
      </c>
      <c r="BD99" s="229">
        <v>0.24940000000000001</v>
      </c>
      <c r="BE99" s="228">
        <v>4</v>
      </c>
      <c r="BF99" s="228">
        <v>3</v>
      </c>
      <c r="BG99" s="228">
        <v>1</v>
      </c>
      <c r="BH99" s="229">
        <v>0.35060000000000002</v>
      </c>
      <c r="BI99" s="228">
        <v>197</v>
      </c>
      <c r="BJ99" s="228">
        <v>111</v>
      </c>
      <c r="BK99" s="228">
        <v>86</v>
      </c>
      <c r="BL99" s="229">
        <v>0.7742</v>
      </c>
      <c r="BM99" s="228">
        <v>44</v>
      </c>
      <c r="BN99" s="228">
        <v>30</v>
      </c>
      <c r="BO99" s="228">
        <v>14</v>
      </c>
      <c r="BP99" s="229">
        <v>0.46639999999999998</v>
      </c>
      <c r="BQ99" s="228">
        <v>355</v>
      </c>
      <c r="BR99" s="228">
        <v>217</v>
      </c>
      <c r="BS99" s="228">
        <v>137</v>
      </c>
      <c r="BT99" s="229">
        <v>0.63339999999999996</v>
      </c>
      <c r="BU99" s="230">
        <v>10496231</v>
      </c>
      <c r="BV99" s="230">
        <v>7177699</v>
      </c>
      <c r="BW99" s="230">
        <v>3318532</v>
      </c>
      <c r="BX99" s="229">
        <v>0.46229999999999999</v>
      </c>
      <c r="BY99" s="228">
        <v>767</v>
      </c>
      <c r="BZ99" s="228">
        <v>765</v>
      </c>
      <c r="CA99" s="228">
        <v>3</v>
      </c>
      <c r="CB99" s="229">
        <v>3.5000000000000001E-3</v>
      </c>
      <c r="CC99" s="228">
        <v>662</v>
      </c>
      <c r="CD99" s="228">
        <v>664</v>
      </c>
      <c r="CE99" s="228">
        <v>-2</v>
      </c>
      <c r="CF99" s="229">
        <v>-3.5999999999999999E-3</v>
      </c>
      <c r="CG99" s="228">
        <v>93</v>
      </c>
      <c r="CH99" s="228">
        <v>89</v>
      </c>
      <c r="CI99" s="228">
        <v>4</v>
      </c>
      <c r="CJ99" s="229">
        <v>4.2500000000000003E-2</v>
      </c>
      <c r="CK99" s="228">
        <v>13</v>
      </c>
      <c r="CL99" s="228">
        <v>11</v>
      </c>
      <c r="CM99" s="228">
        <v>1</v>
      </c>
      <c r="CN99" s="229">
        <v>0.1095</v>
      </c>
      <c r="CO99" s="228">
        <v>338</v>
      </c>
      <c r="CP99" s="228">
        <v>341</v>
      </c>
      <c r="CQ99" s="228">
        <v>-3</v>
      </c>
      <c r="CR99" s="229">
        <v>-8.9999999999999993E-3</v>
      </c>
      <c r="CS99" s="228">
        <v>224</v>
      </c>
      <c r="CT99" s="228">
        <v>229</v>
      </c>
      <c r="CU99" s="228">
        <v>-5</v>
      </c>
      <c r="CV99" s="229">
        <v>-1.9699999999999999E-2</v>
      </c>
      <c r="CW99" s="230">
        <v>1330</v>
      </c>
      <c r="CX99" s="230">
        <v>1335</v>
      </c>
      <c r="CY99" s="228">
        <v>-5</v>
      </c>
      <c r="CZ99" s="229">
        <v>-3.7000000000000002E-3</v>
      </c>
      <c r="DA99" s="228">
        <v>40.770000000000003</v>
      </c>
      <c r="DB99" s="228">
        <v>41.84</v>
      </c>
      <c r="DC99" s="228">
        <v>-1.07</v>
      </c>
      <c r="DD99" s="228">
        <v>-1.07</v>
      </c>
      <c r="DE99" s="228">
        <v>47.69</v>
      </c>
      <c r="DF99" s="228">
        <v>47.75</v>
      </c>
      <c r="DG99" s="228">
        <v>-6.92</v>
      </c>
      <c r="DH99" s="228">
        <v>-0.06</v>
      </c>
      <c r="DI99" s="228">
        <v>40.76</v>
      </c>
      <c r="DJ99" s="228">
        <v>41.86</v>
      </c>
      <c r="DK99" s="228">
        <v>-1.1000000000000001</v>
      </c>
      <c r="DL99" s="228">
        <v>-1.1000000000000001</v>
      </c>
      <c r="DM99" s="228">
        <v>40.799999999999997</v>
      </c>
      <c r="DN99" s="228">
        <v>41.79</v>
      </c>
      <c r="DO99" s="228">
        <v>-0.99</v>
      </c>
      <c r="DP99" s="228">
        <v>-0.99</v>
      </c>
      <c r="DQ99" s="228">
        <v>0.66</v>
      </c>
      <c r="DR99" s="228">
        <v>0.67</v>
      </c>
      <c r="DS99" s="228">
        <v>-0.01</v>
      </c>
      <c r="DT99" s="229">
        <v>-1.49E-2</v>
      </c>
      <c r="DU99" s="228">
        <v>130</v>
      </c>
      <c r="DV99" s="228">
        <v>120</v>
      </c>
      <c r="DW99" s="228">
        <v>0.22</v>
      </c>
      <c r="DX99" s="228">
        <v>0.27</v>
      </c>
      <c r="DY99" s="228">
        <v>-0.05</v>
      </c>
      <c r="DZ99" s="229">
        <v>-0.1852</v>
      </c>
      <c r="EA99" s="229">
        <v>0.13750000000000001</v>
      </c>
      <c r="EB99" s="230">
        <v>8604300</v>
      </c>
      <c r="EC99" s="229">
        <v>-8.6E-3</v>
      </c>
      <c r="ED99" s="229">
        <v>0.13750000000000001</v>
      </c>
      <c r="EE99" s="228">
        <v>-0.65</v>
      </c>
      <c r="EF99" s="229">
        <v>-5.5999999999999999E-3</v>
      </c>
      <c r="EG99" s="230">
        <v>2636318</v>
      </c>
      <c r="EH99" s="230">
        <v>2265686</v>
      </c>
      <c r="EI99" s="229">
        <v>0.1636</v>
      </c>
      <c r="EJ99" s="229">
        <v>0.25119999999999998</v>
      </c>
      <c r="EK99" s="228">
        <v>210.9</v>
      </c>
      <c r="EL99" s="228">
        <v>44.35</v>
      </c>
      <c r="EM99" s="228">
        <v>112.27</v>
      </c>
      <c r="EN99" s="228">
        <v>32.44</v>
      </c>
      <c r="EO99" s="228">
        <v>367.52</v>
      </c>
      <c r="EP99" s="228">
        <v>225.49</v>
      </c>
      <c r="EQ99" s="228">
        <v>142.02000000000001</v>
      </c>
      <c r="ER99" s="229">
        <v>0.62980000000000003</v>
      </c>
      <c r="ES99" s="228">
        <v>372.56</v>
      </c>
      <c r="ET99" s="228">
        <v>234.38</v>
      </c>
      <c r="EU99" s="228">
        <v>766.4</v>
      </c>
      <c r="EV99" s="231">
        <v>119011160</v>
      </c>
      <c r="EW99" s="231">
        <v>1373.34</v>
      </c>
      <c r="EX99" s="231">
        <v>1365.14</v>
      </c>
      <c r="EY99" s="228">
        <v>8.1999999999999993</v>
      </c>
      <c r="EZ99" s="229">
        <v>6.0000000000000001E-3</v>
      </c>
      <c r="FA99" s="229">
        <v>0.95669999999999999</v>
      </c>
      <c r="FB99" s="227" t="s">
        <v>555</v>
      </c>
      <c r="FC99">
        <f t="shared" si="1"/>
        <v>105</v>
      </c>
    </row>
    <row r="100" spans="1:159" ht="17.25" hidden="1" thickBot="1" x14ac:dyDescent="0.3">
      <c r="A100" s="226">
        <v>46093</v>
      </c>
      <c r="B100" s="227" t="s">
        <v>215</v>
      </c>
      <c r="C100" s="227" t="s">
        <v>592</v>
      </c>
      <c r="D100" s="228">
        <v>4250</v>
      </c>
      <c r="E100" s="228">
        <v>18</v>
      </c>
      <c r="F100" s="228">
        <v>98.87</v>
      </c>
      <c r="G100" s="228">
        <v>97.72</v>
      </c>
      <c r="H100" s="228">
        <v>1.1499999999999999</v>
      </c>
      <c r="I100" s="229">
        <v>1.18E-2</v>
      </c>
      <c r="J100" s="228">
        <v>99.92</v>
      </c>
      <c r="K100" s="228">
        <v>99.25</v>
      </c>
      <c r="L100" s="228">
        <v>0.67</v>
      </c>
      <c r="M100" s="229">
        <v>6.7999999999999996E-3</v>
      </c>
      <c r="N100" s="228">
        <v>98.87</v>
      </c>
      <c r="O100" s="228">
        <v>97.72</v>
      </c>
      <c r="P100" s="228">
        <v>1.1499999999999999</v>
      </c>
      <c r="Q100" s="229">
        <v>1.18E-2</v>
      </c>
      <c r="R100" s="228">
        <v>98.58</v>
      </c>
      <c r="S100" s="228">
        <v>97.39</v>
      </c>
      <c r="T100" s="228">
        <v>1.19</v>
      </c>
      <c r="U100" s="229">
        <v>1.2200000000000001E-2</v>
      </c>
      <c r="V100" s="228">
        <v>98.61</v>
      </c>
      <c r="W100" s="228">
        <v>97.44</v>
      </c>
      <c r="X100" s="228">
        <v>1.17</v>
      </c>
      <c r="Y100" s="229">
        <v>1.2E-2</v>
      </c>
      <c r="Z100" s="228">
        <v>-1.05</v>
      </c>
      <c r="AA100" s="228">
        <v>-1.53</v>
      </c>
      <c r="AB100" s="228">
        <v>0.48</v>
      </c>
      <c r="AC100" s="229">
        <v>-1.0500000000000001E-2</v>
      </c>
      <c r="AD100" s="228">
        <v>-1.05</v>
      </c>
      <c r="AE100" s="228">
        <v>-1.53</v>
      </c>
      <c r="AF100" s="228">
        <v>0.48</v>
      </c>
      <c r="AG100" s="229">
        <v>-1.0500000000000001E-2</v>
      </c>
      <c r="AH100" s="228">
        <v>-1.34</v>
      </c>
      <c r="AI100" s="228">
        <v>-1.86</v>
      </c>
      <c r="AJ100" s="228">
        <v>0.52</v>
      </c>
      <c r="AK100" s="229">
        <v>-1.34E-2</v>
      </c>
      <c r="AL100" s="228">
        <v>-1.31</v>
      </c>
      <c r="AM100" s="228">
        <v>-1.81</v>
      </c>
      <c r="AN100" s="228">
        <v>0.5</v>
      </c>
      <c r="AO100" s="229">
        <v>-1.3100000000000001E-2</v>
      </c>
      <c r="AP100" s="228">
        <v>98.34</v>
      </c>
      <c r="AQ100" s="228">
        <v>98.54</v>
      </c>
      <c r="AR100" s="228">
        <v>0</v>
      </c>
      <c r="AS100" s="228">
        <v>137</v>
      </c>
      <c r="AT100" s="228">
        <v>112</v>
      </c>
      <c r="AU100" s="228">
        <v>25</v>
      </c>
      <c r="AV100" s="229">
        <v>0.21990000000000001</v>
      </c>
      <c r="AW100" s="228">
        <v>106</v>
      </c>
      <c r="AX100" s="228">
        <v>93</v>
      </c>
      <c r="AY100" s="228">
        <v>14</v>
      </c>
      <c r="AZ100" s="229">
        <v>0.14599999999999999</v>
      </c>
      <c r="BA100" s="228">
        <v>25</v>
      </c>
      <c r="BB100" s="228">
        <v>16</v>
      </c>
      <c r="BC100" s="228">
        <v>8</v>
      </c>
      <c r="BD100" s="229">
        <v>0.50509999999999999</v>
      </c>
      <c r="BE100" s="228">
        <v>6</v>
      </c>
      <c r="BF100" s="228">
        <v>3</v>
      </c>
      <c r="BG100" s="228">
        <v>3</v>
      </c>
      <c r="BH100" s="229">
        <v>0.98509999999999998</v>
      </c>
      <c r="BI100" s="228">
        <v>438</v>
      </c>
      <c r="BJ100" s="228">
        <v>357</v>
      </c>
      <c r="BK100" s="228">
        <v>81</v>
      </c>
      <c r="BL100" s="229">
        <v>0.22559999999999999</v>
      </c>
      <c r="BM100" s="228">
        <v>147</v>
      </c>
      <c r="BN100" s="228">
        <v>125</v>
      </c>
      <c r="BO100" s="228">
        <v>22</v>
      </c>
      <c r="BP100" s="229">
        <v>0.1797</v>
      </c>
      <c r="BQ100" s="228">
        <v>721</v>
      </c>
      <c r="BR100" s="228">
        <v>594</v>
      </c>
      <c r="BS100" s="228">
        <v>128</v>
      </c>
      <c r="BT100" s="229">
        <v>0.21490000000000001</v>
      </c>
      <c r="BU100" s="230">
        <v>15521085</v>
      </c>
      <c r="BV100" s="230">
        <v>13986583</v>
      </c>
      <c r="BW100" s="230">
        <v>1534502</v>
      </c>
      <c r="BX100" s="229">
        <v>0.10970000000000001</v>
      </c>
      <c r="BY100" s="228">
        <v>729</v>
      </c>
      <c r="BZ100" s="228">
        <v>739</v>
      </c>
      <c r="CA100" s="228">
        <v>-11</v>
      </c>
      <c r="CB100" s="229">
        <v>-1.43E-2</v>
      </c>
      <c r="CC100" s="228">
        <v>601</v>
      </c>
      <c r="CD100" s="228">
        <v>616</v>
      </c>
      <c r="CE100" s="228">
        <v>-15</v>
      </c>
      <c r="CF100" s="229">
        <v>-2.4299999999999999E-2</v>
      </c>
      <c r="CG100" s="228">
        <v>110</v>
      </c>
      <c r="CH100" s="228">
        <v>108</v>
      </c>
      <c r="CI100" s="228">
        <v>3</v>
      </c>
      <c r="CJ100" s="229">
        <v>2.6200000000000001E-2</v>
      </c>
      <c r="CK100" s="228">
        <v>17</v>
      </c>
      <c r="CL100" s="228">
        <v>15</v>
      </c>
      <c r="CM100" s="228">
        <v>2</v>
      </c>
      <c r="CN100" s="229">
        <v>0.1038</v>
      </c>
      <c r="CO100" s="228">
        <v>816</v>
      </c>
      <c r="CP100" s="228">
        <v>816</v>
      </c>
      <c r="CQ100" s="228">
        <v>0</v>
      </c>
      <c r="CR100" s="229">
        <v>4.0000000000000002E-4</v>
      </c>
      <c r="CS100" s="228">
        <v>470</v>
      </c>
      <c r="CT100" s="228">
        <v>466</v>
      </c>
      <c r="CU100" s="228">
        <v>4</v>
      </c>
      <c r="CV100" s="229">
        <v>8.6999999999999994E-3</v>
      </c>
      <c r="CW100" s="230">
        <v>2015</v>
      </c>
      <c r="CX100" s="230">
        <v>2021</v>
      </c>
      <c r="CY100" s="228">
        <v>-6</v>
      </c>
      <c r="CZ100" s="229">
        <v>-3.0999999999999999E-3</v>
      </c>
      <c r="DA100" s="228">
        <v>37.450000000000003</v>
      </c>
      <c r="DB100" s="228">
        <v>38.61</v>
      </c>
      <c r="DC100" s="228">
        <v>-1.1599999999999999</v>
      </c>
      <c r="DD100" s="228">
        <v>-1.1599999999999999</v>
      </c>
      <c r="DE100" s="228">
        <v>44.58</v>
      </c>
      <c r="DF100" s="228">
        <v>44.66</v>
      </c>
      <c r="DG100" s="228">
        <v>-7.13</v>
      </c>
      <c r="DH100" s="228">
        <v>-0.08</v>
      </c>
      <c r="DI100" s="228">
        <v>37.44</v>
      </c>
      <c r="DJ100" s="228">
        <v>38.76</v>
      </c>
      <c r="DK100" s="228">
        <v>-1.32</v>
      </c>
      <c r="DL100" s="228">
        <v>-1.32</v>
      </c>
      <c r="DM100" s="228">
        <v>37.49</v>
      </c>
      <c r="DN100" s="228">
        <v>38.18</v>
      </c>
      <c r="DO100" s="228">
        <v>-0.69</v>
      </c>
      <c r="DP100" s="228">
        <v>-0.69</v>
      </c>
      <c r="DQ100" s="228">
        <v>0.57999999999999996</v>
      </c>
      <c r="DR100" s="228">
        <v>0.56999999999999995</v>
      </c>
      <c r="DS100" s="228">
        <v>0.01</v>
      </c>
      <c r="DT100" s="229">
        <v>1.7500000000000002E-2</v>
      </c>
      <c r="DU100" s="228">
        <v>110</v>
      </c>
      <c r="DV100" s="228">
        <v>100</v>
      </c>
      <c r="DW100" s="228">
        <v>0.34</v>
      </c>
      <c r="DX100" s="228">
        <v>0.35</v>
      </c>
      <c r="DY100" s="228">
        <v>-0.01</v>
      </c>
      <c r="DZ100" s="229">
        <v>-2.86E-2</v>
      </c>
      <c r="EA100" s="229">
        <v>0.1749</v>
      </c>
      <c r="EB100" s="230">
        <v>12444000</v>
      </c>
      <c r="EC100" s="229">
        <v>-2.8999999999999998E-3</v>
      </c>
      <c r="ED100" s="229">
        <v>0.1749</v>
      </c>
      <c r="EE100" s="228">
        <v>0.2</v>
      </c>
      <c r="EF100" s="229">
        <v>2E-3</v>
      </c>
      <c r="EG100" s="230">
        <v>3524790</v>
      </c>
      <c r="EH100" s="230">
        <v>4894358</v>
      </c>
      <c r="EI100" s="229">
        <v>-0.27979999999999999</v>
      </c>
      <c r="EJ100" s="229">
        <v>0.2271</v>
      </c>
      <c r="EK100" s="228">
        <v>467.64</v>
      </c>
      <c r="EL100" s="228">
        <v>145.83000000000001</v>
      </c>
      <c r="EM100" s="228">
        <v>135.94</v>
      </c>
      <c r="EN100" s="228">
        <v>38.32</v>
      </c>
      <c r="EO100" s="228">
        <v>749.4</v>
      </c>
      <c r="EP100" s="228">
        <v>622.37</v>
      </c>
      <c r="EQ100" s="228">
        <v>127.03</v>
      </c>
      <c r="ER100" s="229">
        <v>0.2041</v>
      </c>
      <c r="ES100" s="228">
        <v>901.57</v>
      </c>
      <c r="ET100" s="228">
        <v>484.02</v>
      </c>
      <c r="EU100" s="228">
        <v>728.51</v>
      </c>
      <c r="EV100" s="231">
        <v>200960551</v>
      </c>
      <c r="EW100" s="231">
        <v>2114.1</v>
      </c>
      <c r="EX100" s="231">
        <v>2113.2600000000002</v>
      </c>
      <c r="EY100" s="228">
        <v>0.84</v>
      </c>
      <c r="EZ100" s="229">
        <v>4.0000000000000002E-4</v>
      </c>
      <c r="FA100" s="229">
        <v>1.014</v>
      </c>
      <c r="FB100" s="227" t="s">
        <v>556</v>
      </c>
      <c r="FC100">
        <f t="shared" si="1"/>
        <v>128</v>
      </c>
    </row>
    <row r="101" spans="1:159" ht="17.25" hidden="1" thickBot="1" x14ac:dyDescent="0.3">
      <c r="A101" s="226">
        <v>46093</v>
      </c>
      <c r="B101" s="227" t="s">
        <v>168</v>
      </c>
      <c r="C101" s="227" t="s">
        <v>242</v>
      </c>
      <c r="D101" s="228">
        <v>1600</v>
      </c>
      <c r="E101" s="228">
        <v>18</v>
      </c>
      <c r="F101" s="228">
        <v>304.95</v>
      </c>
      <c r="G101" s="228">
        <v>309.35000000000002</v>
      </c>
      <c r="H101" s="228">
        <v>-4.4000000000000004</v>
      </c>
      <c r="I101" s="229">
        <v>-1.4200000000000001E-2</v>
      </c>
      <c r="J101" s="228">
        <v>304.10000000000002</v>
      </c>
      <c r="K101" s="228">
        <v>309</v>
      </c>
      <c r="L101" s="228">
        <v>-4.9000000000000004</v>
      </c>
      <c r="M101" s="229">
        <v>-1.5900000000000001E-2</v>
      </c>
      <c r="N101" s="228">
        <v>304.95</v>
      </c>
      <c r="O101" s="228">
        <v>309.35000000000002</v>
      </c>
      <c r="P101" s="228">
        <v>-4.4000000000000004</v>
      </c>
      <c r="Q101" s="229">
        <v>-1.4200000000000001E-2</v>
      </c>
      <c r="R101" s="228">
        <v>307</v>
      </c>
      <c r="S101" s="228">
        <v>311.25</v>
      </c>
      <c r="T101" s="228">
        <v>-4.25</v>
      </c>
      <c r="U101" s="229">
        <v>-1.37E-2</v>
      </c>
      <c r="V101" s="228">
        <v>308.60000000000002</v>
      </c>
      <c r="W101" s="228">
        <v>312.7</v>
      </c>
      <c r="X101" s="228">
        <v>-4.0999999999999996</v>
      </c>
      <c r="Y101" s="229">
        <v>-1.3100000000000001E-2</v>
      </c>
      <c r="Z101" s="228">
        <v>0.85</v>
      </c>
      <c r="AA101" s="228">
        <v>0.35</v>
      </c>
      <c r="AB101" s="228">
        <v>0.5</v>
      </c>
      <c r="AC101" s="229">
        <v>2.8E-3</v>
      </c>
      <c r="AD101" s="228">
        <v>0.85</v>
      </c>
      <c r="AE101" s="228">
        <v>0.35</v>
      </c>
      <c r="AF101" s="228">
        <v>0.5</v>
      </c>
      <c r="AG101" s="229">
        <v>2.8E-3</v>
      </c>
      <c r="AH101" s="228">
        <v>2.9</v>
      </c>
      <c r="AI101" s="228">
        <v>2.25</v>
      </c>
      <c r="AJ101" s="228">
        <v>0.65</v>
      </c>
      <c r="AK101" s="229">
        <v>9.4999999999999998E-3</v>
      </c>
      <c r="AL101" s="228">
        <v>4.5</v>
      </c>
      <c r="AM101" s="228">
        <v>3.7</v>
      </c>
      <c r="AN101" s="228">
        <v>0.8</v>
      </c>
      <c r="AO101" s="229">
        <v>1.4800000000000001E-2</v>
      </c>
      <c r="AP101" s="228">
        <v>306.42</v>
      </c>
      <c r="AQ101" s="228">
        <v>308.29000000000002</v>
      </c>
      <c r="AR101" s="228">
        <v>0</v>
      </c>
      <c r="AS101" s="228">
        <v>446</v>
      </c>
      <c r="AT101" s="228">
        <v>335</v>
      </c>
      <c r="AU101" s="228">
        <v>111</v>
      </c>
      <c r="AV101" s="229">
        <v>0.33210000000000001</v>
      </c>
      <c r="AW101" s="228">
        <v>369</v>
      </c>
      <c r="AX101" s="228">
        <v>292</v>
      </c>
      <c r="AY101" s="228">
        <v>77</v>
      </c>
      <c r="AZ101" s="229">
        <v>0.2641</v>
      </c>
      <c r="BA101" s="228">
        <v>64</v>
      </c>
      <c r="BB101" s="228">
        <v>36</v>
      </c>
      <c r="BC101" s="228">
        <v>28</v>
      </c>
      <c r="BD101" s="229">
        <v>0.76619999999999999</v>
      </c>
      <c r="BE101" s="228">
        <v>14</v>
      </c>
      <c r="BF101" s="228">
        <v>7</v>
      </c>
      <c r="BG101" s="228">
        <v>6</v>
      </c>
      <c r="BH101" s="229">
        <v>0.92359999999999998</v>
      </c>
      <c r="BI101" s="230">
        <v>2158</v>
      </c>
      <c r="BJ101" s="230">
        <v>1331</v>
      </c>
      <c r="BK101" s="228">
        <v>827</v>
      </c>
      <c r="BL101" s="229">
        <v>0.621</v>
      </c>
      <c r="BM101" s="228">
        <v>752</v>
      </c>
      <c r="BN101" s="228">
        <v>554</v>
      </c>
      <c r="BO101" s="228">
        <v>198</v>
      </c>
      <c r="BP101" s="229">
        <v>0.35759999999999997</v>
      </c>
      <c r="BQ101" s="230">
        <v>3356</v>
      </c>
      <c r="BR101" s="230">
        <v>2220</v>
      </c>
      <c r="BS101" s="230">
        <v>1136</v>
      </c>
      <c r="BT101" s="229">
        <v>0.51170000000000004</v>
      </c>
      <c r="BU101" s="230">
        <v>23770827</v>
      </c>
      <c r="BV101" s="230">
        <v>15520255</v>
      </c>
      <c r="BW101" s="230">
        <v>8250572</v>
      </c>
      <c r="BX101" s="229">
        <v>0.53159999999999996</v>
      </c>
      <c r="BY101" s="230">
        <v>5142</v>
      </c>
      <c r="BZ101" s="230">
        <v>5171</v>
      </c>
      <c r="CA101" s="228">
        <v>-29</v>
      </c>
      <c r="CB101" s="229">
        <v>-5.5999999999999999E-3</v>
      </c>
      <c r="CC101" s="230">
        <v>4707</v>
      </c>
      <c r="CD101" s="230">
        <v>4752</v>
      </c>
      <c r="CE101" s="228">
        <v>-45</v>
      </c>
      <c r="CF101" s="229">
        <v>-9.4999999999999998E-3</v>
      </c>
      <c r="CG101" s="228">
        <v>385</v>
      </c>
      <c r="CH101" s="228">
        <v>375</v>
      </c>
      <c r="CI101" s="228">
        <v>10</v>
      </c>
      <c r="CJ101" s="229">
        <v>2.5499999999999998E-2</v>
      </c>
      <c r="CK101" s="228">
        <v>50</v>
      </c>
      <c r="CL101" s="228">
        <v>43</v>
      </c>
      <c r="CM101" s="228">
        <v>7</v>
      </c>
      <c r="CN101" s="229">
        <v>0.15429999999999999</v>
      </c>
      <c r="CO101" s="230">
        <v>3713</v>
      </c>
      <c r="CP101" s="230">
        <v>3646</v>
      </c>
      <c r="CQ101" s="228">
        <v>67</v>
      </c>
      <c r="CR101" s="229">
        <v>1.83E-2</v>
      </c>
      <c r="CS101" s="230">
        <v>1674</v>
      </c>
      <c r="CT101" s="230">
        <v>1620</v>
      </c>
      <c r="CU101" s="228">
        <v>54</v>
      </c>
      <c r="CV101" s="229">
        <v>3.3599999999999998E-2</v>
      </c>
      <c r="CW101" s="230">
        <v>10529</v>
      </c>
      <c r="CX101" s="230">
        <v>10437</v>
      </c>
      <c r="CY101" s="228">
        <v>92</v>
      </c>
      <c r="CZ101" s="229">
        <v>8.8000000000000005E-3</v>
      </c>
      <c r="DA101" s="228">
        <v>23.48</v>
      </c>
      <c r="DB101" s="228">
        <v>22</v>
      </c>
      <c r="DC101" s="228">
        <v>1.48</v>
      </c>
      <c r="DD101" s="228">
        <v>1.48</v>
      </c>
      <c r="DE101" s="228">
        <v>24.24</v>
      </c>
      <c r="DF101" s="228">
        <v>24.21</v>
      </c>
      <c r="DG101" s="228">
        <v>-0.76</v>
      </c>
      <c r="DH101" s="228">
        <v>0.03</v>
      </c>
      <c r="DI101" s="228">
        <v>23.77</v>
      </c>
      <c r="DJ101" s="228">
        <v>22.23</v>
      </c>
      <c r="DK101" s="228">
        <v>1.54</v>
      </c>
      <c r="DL101" s="228">
        <v>1.54</v>
      </c>
      <c r="DM101" s="228">
        <v>22.64</v>
      </c>
      <c r="DN101" s="228">
        <v>21.44</v>
      </c>
      <c r="DO101" s="228">
        <v>1.2</v>
      </c>
      <c r="DP101" s="228">
        <v>1.2</v>
      </c>
      <c r="DQ101" s="228">
        <v>0.45</v>
      </c>
      <c r="DR101" s="228">
        <v>0.44</v>
      </c>
      <c r="DS101" s="228">
        <v>0.01</v>
      </c>
      <c r="DT101" s="229">
        <v>2.2700000000000001E-2</v>
      </c>
      <c r="DU101" s="228">
        <v>320</v>
      </c>
      <c r="DV101" s="228">
        <v>320</v>
      </c>
      <c r="DW101" s="228">
        <v>0.35</v>
      </c>
      <c r="DX101" s="228">
        <v>0.42</v>
      </c>
      <c r="DY101" s="228">
        <v>-7.0000000000000007E-2</v>
      </c>
      <c r="DZ101" s="229">
        <v>-0.16669999999999999</v>
      </c>
      <c r="EA101" s="229">
        <v>8.4599999999999995E-2</v>
      </c>
      <c r="EB101" s="230">
        <v>13729600</v>
      </c>
      <c r="EC101" s="229">
        <v>6.7000000000000002E-3</v>
      </c>
      <c r="ED101" s="229">
        <v>8.4599999999999995E-2</v>
      </c>
      <c r="EE101" s="228">
        <v>1.87</v>
      </c>
      <c r="EF101" s="229">
        <v>6.1000000000000004E-3</v>
      </c>
      <c r="EG101" s="230">
        <v>13483016</v>
      </c>
      <c r="EH101" s="230">
        <v>10008732</v>
      </c>
      <c r="EI101" s="229">
        <v>0.34710000000000002</v>
      </c>
      <c r="EJ101" s="229">
        <v>0.56720000000000004</v>
      </c>
      <c r="EK101" s="231">
        <v>2294.08</v>
      </c>
      <c r="EL101" s="228">
        <v>765.92</v>
      </c>
      <c r="EM101" s="228">
        <v>448.54</v>
      </c>
      <c r="EN101" s="228">
        <v>88.41</v>
      </c>
      <c r="EO101" s="231">
        <v>3508.54</v>
      </c>
      <c r="EP101" s="231">
        <v>2324.91</v>
      </c>
      <c r="EQ101" s="231">
        <v>1183.6300000000001</v>
      </c>
      <c r="ER101" s="229">
        <v>0.5091</v>
      </c>
      <c r="ES101" s="231">
        <v>4046.71</v>
      </c>
      <c r="ET101" s="231">
        <v>1754.46</v>
      </c>
      <c r="EU101" s="231">
        <v>5145.2299999999996</v>
      </c>
      <c r="EV101" s="231">
        <v>1252401670</v>
      </c>
      <c r="EW101" s="231">
        <v>10946.4</v>
      </c>
      <c r="EX101" s="231">
        <v>10935.15</v>
      </c>
      <c r="EY101" s="228">
        <v>11.25</v>
      </c>
      <c r="EZ101" s="229">
        <v>1E-3</v>
      </c>
      <c r="FA101" s="229">
        <v>0.2757</v>
      </c>
      <c r="FB101" s="227" t="s">
        <v>568</v>
      </c>
      <c r="FC101">
        <f t="shared" si="1"/>
        <v>435</v>
      </c>
    </row>
    <row r="102" spans="1:159" ht="17.25" hidden="1" thickBot="1" x14ac:dyDescent="0.3">
      <c r="A102" s="226">
        <v>46093</v>
      </c>
      <c r="B102" s="227" t="s">
        <v>227</v>
      </c>
      <c r="C102" s="227" t="s">
        <v>243</v>
      </c>
      <c r="D102" s="228">
        <v>625</v>
      </c>
      <c r="E102" s="228">
        <v>18</v>
      </c>
      <c r="F102" s="231">
        <v>1227.9000000000001</v>
      </c>
      <c r="G102" s="231">
        <v>1187.9000000000001</v>
      </c>
      <c r="H102" s="228">
        <v>40</v>
      </c>
      <c r="I102" s="229">
        <v>3.3700000000000001E-2</v>
      </c>
      <c r="J102" s="231">
        <v>1225</v>
      </c>
      <c r="K102" s="231">
        <v>1187</v>
      </c>
      <c r="L102" s="228">
        <v>38</v>
      </c>
      <c r="M102" s="229">
        <v>3.2000000000000001E-2</v>
      </c>
      <c r="N102" s="231">
        <v>1227.9000000000001</v>
      </c>
      <c r="O102" s="231">
        <v>1187.9000000000001</v>
      </c>
      <c r="P102" s="228">
        <v>40</v>
      </c>
      <c r="Q102" s="229">
        <v>3.3700000000000001E-2</v>
      </c>
      <c r="R102" s="231">
        <v>1233.7</v>
      </c>
      <c r="S102" s="231">
        <v>1193.9000000000001</v>
      </c>
      <c r="T102" s="228">
        <v>39.799999999999997</v>
      </c>
      <c r="U102" s="229">
        <v>3.3300000000000003E-2</v>
      </c>
      <c r="V102" s="231">
        <v>1240.8</v>
      </c>
      <c r="W102" s="231">
        <v>1202.0999999999999</v>
      </c>
      <c r="X102" s="228">
        <v>38.700000000000003</v>
      </c>
      <c r="Y102" s="229">
        <v>3.2199999999999999E-2</v>
      </c>
      <c r="Z102" s="228">
        <v>2.9</v>
      </c>
      <c r="AA102" s="228">
        <v>0.9</v>
      </c>
      <c r="AB102" s="228">
        <v>2</v>
      </c>
      <c r="AC102" s="229">
        <v>2.3999999999999998E-3</v>
      </c>
      <c r="AD102" s="228">
        <v>2.9</v>
      </c>
      <c r="AE102" s="228">
        <v>0.9</v>
      </c>
      <c r="AF102" s="228">
        <v>2</v>
      </c>
      <c r="AG102" s="229">
        <v>2.3999999999999998E-3</v>
      </c>
      <c r="AH102" s="228">
        <v>8.6999999999999993</v>
      </c>
      <c r="AI102" s="228">
        <v>6.9</v>
      </c>
      <c r="AJ102" s="228">
        <v>1.8</v>
      </c>
      <c r="AK102" s="229">
        <v>7.1000000000000004E-3</v>
      </c>
      <c r="AL102" s="228">
        <v>15.8</v>
      </c>
      <c r="AM102" s="228">
        <v>15.1</v>
      </c>
      <c r="AN102" s="228">
        <v>0.7</v>
      </c>
      <c r="AO102" s="229">
        <v>1.29E-2</v>
      </c>
      <c r="AP102" s="231">
        <v>1208.78</v>
      </c>
      <c r="AQ102" s="231">
        <v>1214.67</v>
      </c>
      <c r="AR102" s="228">
        <v>0</v>
      </c>
      <c r="AS102" s="228">
        <v>375</v>
      </c>
      <c r="AT102" s="228">
        <v>221</v>
      </c>
      <c r="AU102" s="228">
        <v>154</v>
      </c>
      <c r="AV102" s="229">
        <v>0.69499999999999995</v>
      </c>
      <c r="AW102" s="228">
        <v>357</v>
      </c>
      <c r="AX102" s="228">
        <v>207</v>
      </c>
      <c r="AY102" s="228">
        <v>150</v>
      </c>
      <c r="AZ102" s="229">
        <v>0.72240000000000004</v>
      </c>
      <c r="BA102" s="228">
        <v>17</v>
      </c>
      <c r="BB102" s="228">
        <v>14</v>
      </c>
      <c r="BC102" s="228">
        <v>3</v>
      </c>
      <c r="BD102" s="229">
        <v>0.2402</v>
      </c>
      <c r="BE102" s="228">
        <v>1</v>
      </c>
      <c r="BF102" s="228">
        <v>0</v>
      </c>
      <c r="BG102" s="228">
        <v>1</v>
      </c>
      <c r="BH102" s="229">
        <v>2.2000000000000002</v>
      </c>
      <c r="BI102" s="228">
        <v>877</v>
      </c>
      <c r="BJ102" s="228">
        <v>544</v>
      </c>
      <c r="BK102" s="228">
        <v>332</v>
      </c>
      <c r="BL102" s="229">
        <v>0.6109</v>
      </c>
      <c r="BM102" s="228">
        <v>533</v>
      </c>
      <c r="BN102" s="228">
        <v>348</v>
      </c>
      <c r="BO102" s="228">
        <v>186</v>
      </c>
      <c r="BP102" s="229">
        <v>0.53390000000000004</v>
      </c>
      <c r="BQ102" s="230">
        <v>1785</v>
      </c>
      <c r="BR102" s="230">
        <v>1113</v>
      </c>
      <c r="BS102" s="228">
        <v>672</v>
      </c>
      <c r="BT102" s="229">
        <v>0.60360000000000003</v>
      </c>
      <c r="BU102" s="230">
        <v>1997836</v>
      </c>
      <c r="BV102" s="230">
        <v>1063786</v>
      </c>
      <c r="BW102" s="230">
        <v>934050</v>
      </c>
      <c r="BX102" s="229">
        <v>0.878</v>
      </c>
      <c r="BY102" s="230">
        <v>1254</v>
      </c>
      <c r="BZ102" s="230">
        <v>1271</v>
      </c>
      <c r="CA102" s="228">
        <v>-18</v>
      </c>
      <c r="CB102" s="229">
        <v>-1.38E-2</v>
      </c>
      <c r="CC102" s="230">
        <v>1229</v>
      </c>
      <c r="CD102" s="230">
        <v>1252</v>
      </c>
      <c r="CE102" s="228">
        <v>-23</v>
      </c>
      <c r="CF102" s="229">
        <v>-1.8200000000000001E-2</v>
      </c>
      <c r="CG102" s="228">
        <v>22</v>
      </c>
      <c r="CH102" s="228">
        <v>18</v>
      </c>
      <c r="CI102" s="228">
        <v>5</v>
      </c>
      <c r="CJ102" s="229">
        <v>0.27510000000000001</v>
      </c>
      <c r="CK102" s="228">
        <v>2</v>
      </c>
      <c r="CL102" s="228">
        <v>2</v>
      </c>
      <c r="CM102" s="228">
        <v>0</v>
      </c>
      <c r="CN102" s="229">
        <v>0.23810000000000001</v>
      </c>
      <c r="CO102" s="228">
        <v>400</v>
      </c>
      <c r="CP102" s="228">
        <v>419</v>
      </c>
      <c r="CQ102" s="228">
        <v>-19</v>
      </c>
      <c r="CR102" s="229">
        <v>-4.5199999999999997E-2</v>
      </c>
      <c r="CS102" s="228">
        <v>452</v>
      </c>
      <c r="CT102" s="228">
        <v>431</v>
      </c>
      <c r="CU102" s="228">
        <v>21</v>
      </c>
      <c r="CV102" s="229">
        <v>4.8599999999999997E-2</v>
      </c>
      <c r="CW102" s="230">
        <v>2106</v>
      </c>
      <c r="CX102" s="230">
        <v>2122</v>
      </c>
      <c r="CY102" s="228">
        <v>-16</v>
      </c>
      <c r="CZ102" s="229">
        <v>-7.3000000000000001E-3</v>
      </c>
      <c r="DA102" s="228">
        <v>33.11</v>
      </c>
      <c r="DB102" s="228">
        <v>31.63</v>
      </c>
      <c r="DC102" s="228">
        <v>1.48</v>
      </c>
      <c r="DD102" s="228">
        <v>1.48</v>
      </c>
      <c r="DE102" s="228">
        <v>35.520000000000003</v>
      </c>
      <c r="DF102" s="228">
        <v>35.36</v>
      </c>
      <c r="DG102" s="228">
        <v>-2.41</v>
      </c>
      <c r="DH102" s="228">
        <v>0.16</v>
      </c>
      <c r="DI102" s="228">
        <v>31.57</v>
      </c>
      <c r="DJ102" s="228">
        <v>30.8</v>
      </c>
      <c r="DK102" s="228">
        <v>0.77</v>
      </c>
      <c r="DL102" s="228">
        <v>0.77</v>
      </c>
      <c r="DM102" s="228">
        <v>35.64</v>
      </c>
      <c r="DN102" s="228">
        <v>32.94</v>
      </c>
      <c r="DO102" s="228">
        <v>2.7</v>
      </c>
      <c r="DP102" s="228">
        <v>2.7</v>
      </c>
      <c r="DQ102" s="228">
        <v>1.1299999999999999</v>
      </c>
      <c r="DR102" s="228">
        <v>1.03</v>
      </c>
      <c r="DS102" s="228">
        <v>0.1</v>
      </c>
      <c r="DT102" s="229">
        <v>9.7100000000000006E-2</v>
      </c>
      <c r="DU102" s="231">
        <v>1300</v>
      </c>
      <c r="DV102" s="231">
        <v>1180</v>
      </c>
      <c r="DW102" s="228">
        <v>0.61</v>
      </c>
      <c r="DX102" s="228">
        <v>0.64</v>
      </c>
      <c r="DY102" s="228">
        <v>-0.03</v>
      </c>
      <c r="DZ102" s="229">
        <v>-4.6899999999999997E-2</v>
      </c>
      <c r="EA102" s="229">
        <v>1.95E-2</v>
      </c>
      <c r="EB102" s="230">
        <v>156250</v>
      </c>
      <c r="EC102" s="229">
        <v>4.7000000000000002E-3</v>
      </c>
      <c r="ED102" s="229">
        <v>1.95E-2</v>
      </c>
      <c r="EE102" s="228">
        <v>5.89</v>
      </c>
      <c r="EF102" s="229">
        <v>4.8999999999999998E-3</v>
      </c>
      <c r="EG102" s="230">
        <v>822963</v>
      </c>
      <c r="EH102" s="230">
        <v>446155</v>
      </c>
      <c r="EI102" s="229">
        <v>0.84460000000000002</v>
      </c>
      <c r="EJ102" s="229">
        <v>0.41189999999999999</v>
      </c>
      <c r="EK102" s="228">
        <v>905.26</v>
      </c>
      <c r="EL102" s="228">
        <v>510.03</v>
      </c>
      <c r="EM102" s="228">
        <v>369.16</v>
      </c>
      <c r="EN102" s="228">
        <v>36.659999999999997</v>
      </c>
      <c r="EO102" s="231">
        <v>1784.44</v>
      </c>
      <c r="EP102" s="231">
        <v>1102.8599999999999</v>
      </c>
      <c r="EQ102" s="228">
        <v>681.59</v>
      </c>
      <c r="ER102" s="229">
        <v>0.61799999999999999</v>
      </c>
      <c r="ES102" s="228">
        <v>409.22</v>
      </c>
      <c r="ET102" s="228">
        <v>424.15</v>
      </c>
      <c r="EU102" s="231">
        <v>1253.97</v>
      </c>
      <c r="EV102" s="231">
        <v>48257090</v>
      </c>
      <c r="EW102" s="231">
        <v>2087.34</v>
      </c>
      <c r="EX102" s="231">
        <v>2062.59</v>
      </c>
      <c r="EY102" s="228">
        <v>24.75</v>
      </c>
      <c r="EZ102" s="229">
        <v>1.2E-2</v>
      </c>
      <c r="FA102" s="229">
        <v>0.35549999999999998</v>
      </c>
      <c r="FB102" s="227" t="s">
        <v>556</v>
      </c>
      <c r="FC102">
        <f t="shared" si="1"/>
        <v>25</v>
      </c>
    </row>
    <row r="103" spans="1:159" ht="17.25" hidden="1" thickBot="1" x14ac:dyDescent="0.3">
      <c r="A103" s="226">
        <v>46093</v>
      </c>
      <c r="B103" s="227" t="s">
        <v>175</v>
      </c>
      <c r="C103" s="227" t="s">
        <v>570</v>
      </c>
      <c r="D103" s="228">
        <v>2350</v>
      </c>
      <c r="E103" s="228">
        <v>18</v>
      </c>
      <c r="F103" s="228">
        <v>242.65</v>
      </c>
      <c r="G103" s="228">
        <v>238.9</v>
      </c>
      <c r="H103" s="228">
        <v>3.75</v>
      </c>
      <c r="I103" s="229">
        <v>1.5699999999999999E-2</v>
      </c>
      <c r="J103" s="228">
        <v>242.2</v>
      </c>
      <c r="K103" s="228">
        <v>238.7</v>
      </c>
      <c r="L103" s="228">
        <v>3.5</v>
      </c>
      <c r="M103" s="229">
        <v>1.47E-2</v>
      </c>
      <c r="N103" s="228">
        <v>242.65</v>
      </c>
      <c r="O103" s="228">
        <v>238.9</v>
      </c>
      <c r="P103" s="228">
        <v>3.75</v>
      </c>
      <c r="Q103" s="229">
        <v>1.5699999999999999E-2</v>
      </c>
      <c r="R103" s="228">
        <v>244.2</v>
      </c>
      <c r="S103" s="228">
        <v>240.45</v>
      </c>
      <c r="T103" s="228">
        <v>3.75</v>
      </c>
      <c r="U103" s="229">
        <v>1.5599999999999999E-2</v>
      </c>
      <c r="V103" s="228">
        <v>245.35</v>
      </c>
      <c r="W103" s="228">
        <v>241.8</v>
      </c>
      <c r="X103" s="228">
        <v>3.55</v>
      </c>
      <c r="Y103" s="229">
        <v>1.47E-2</v>
      </c>
      <c r="Z103" s="228">
        <v>0.45</v>
      </c>
      <c r="AA103" s="228">
        <v>0.2</v>
      </c>
      <c r="AB103" s="228">
        <v>0.25</v>
      </c>
      <c r="AC103" s="229">
        <v>1.9E-3</v>
      </c>
      <c r="AD103" s="228">
        <v>0.45</v>
      </c>
      <c r="AE103" s="228">
        <v>0.2</v>
      </c>
      <c r="AF103" s="228">
        <v>0.25</v>
      </c>
      <c r="AG103" s="229">
        <v>1.9E-3</v>
      </c>
      <c r="AH103" s="228">
        <v>2</v>
      </c>
      <c r="AI103" s="228">
        <v>1.75</v>
      </c>
      <c r="AJ103" s="228">
        <v>0.25</v>
      </c>
      <c r="AK103" s="229">
        <v>8.3000000000000001E-3</v>
      </c>
      <c r="AL103" s="228">
        <v>3.15</v>
      </c>
      <c r="AM103" s="228">
        <v>3.1</v>
      </c>
      <c r="AN103" s="228">
        <v>0.05</v>
      </c>
      <c r="AO103" s="229">
        <v>1.2999999999999999E-2</v>
      </c>
      <c r="AP103" s="228">
        <v>240.09</v>
      </c>
      <c r="AQ103" s="228">
        <v>241.57</v>
      </c>
      <c r="AR103" s="228">
        <v>0</v>
      </c>
      <c r="AS103" s="228">
        <v>454</v>
      </c>
      <c r="AT103" s="228">
        <v>526</v>
      </c>
      <c r="AU103" s="228">
        <v>-72</v>
      </c>
      <c r="AV103" s="229">
        <v>-0.13750000000000001</v>
      </c>
      <c r="AW103" s="228">
        <v>369</v>
      </c>
      <c r="AX103" s="228">
        <v>455</v>
      </c>
      <c r="AY103" s="228">
        <v>-86</v>
      </c>
      <c r="AZ103" s="229">
        <v>-0.189</v>
      </c>
      <c r="BA103" s="228">
        <v>71</v>
      </c>
      <c r="BB103" s="228">
        <v>59</v>
      </c>
      <c r="BC103" s="228">
        <v>12</v>
      </c>
      <c r="BD103" s="229">
        <v>0.2054</v>
      </c>
      <c r="BE103" s="228">
        <v>14</v>
      </c>
      <c r="BF103" s="228">
        <v>12</v>
      </c>
      <c r="BG103" s="228">
        <v>2</v>
      </c>
      <c r="BH103" s="229">
        <v>0.13150000000000001</v>
      </c>
      <c r="BI103" s="230">
        <v>1505</v>
      </c>
      <c r="BJ103" s="230">
        <v>1734</v>
      </c>
      <c r="BK103" s="228">
        <v>-228</v>
      </c>
      <c r="BL103" s="229">
        <v>-0.1318</v>
      </c>
      <c r="BM103" s="228">
        <v>492</v>
      </c>
      <c r="BN103" s="228">
        <v>602</v>
      </c>
      <c r="BO103" s="228">
        <v>-109</v>
      </c>
      <c r="BP103" s="229">
        <v>-0.1817</v>
      </c>
      <c r="BQ103" s="230">
        <v>2452</v>
      </c>
      <c r="BR103" s="230">
        <v>2862</v>
      </c>
      <c r="BS103" s="228">
        <v>-410</v>
      </c>
      <c r="BT103" s="229">
        <v>-0.14330000000000001</v>
      </c>
      <c r="BU103" s="230">
        <v>19487701</v>
      </c>
      <c r="BV103" s="230">
        <v>18014075</v>
      </c>
      <c r="BW103" s="230">
        <v>1473626</v>
      </c>
      <c r="BX103" s="229">
        <v>8.1799999999999998E-2</v>
      </c>
      <c r="BY103" s="230">
        <v>4251</v>
      </c>
      <c r="BZ103" s="230">
        <v>4282</v>
      </c>
      <c r="CA103" s="228">
        <v>-31</v>
      </c>
      <c r="CB103" s="229">
        <v>-7.3000000000000001E-3</v>
      </c>
      <c r="CC103" s="230">
        <v>3856</v>
      </c>
      <c r="CD103" s="230">
        <v>3904</v>
      </c>
      <c r="CE103" s="228">
        <v>-47</v>
      </c>
      <c r="CF103" s="229">
        <v>-1.21E-2</v>
      </c>
      <c r="CG103" s="228">
        <v>344</v>
      </c>
      <c r="CH103" s="228">
        <v>329</v>
      </c>
      <c r="CI103" s="228">
        <v>15</v>
      </c>
      <c r="CJ103" s="229">
        <v>4.4699999999999997E-2</v>
      </c>
      <c r="CK103" s="228">
        <v>50</v>
      </c>
      <c r="CL103" s="228">
        <v>49</v>
      </c>
      <c r="CM103" s="228">
        <v>1</v>
      </c>
      <c r="CN103" s="229">
        <v>2.4299999999999999E-2</v>
      </c>
      <c r="CO103" s="230">
        <v>1263</v>
      </c>
      <c r="CP103" s="230">
        <v>1260</v>
      </c>
      <c r="CQ103" s="228">
        <v>3</v>
      </c>
      <c r="CR103" s="229">
        <v>2.7000000000000001E-3</v>
      </c>
      <c r="CS103" s="230">
        <v>1023</v>
      </c>
      <c r="CT103" s="230">
        <v>1004</v>
      </c>
      <c r="CU103" s="228">
        <v>19</v>
      </c>
      <c r="CV103" s="229">
        <v>1.89E-2</v>
      </c>
      <c r="CW103" s="230">
        <v>6537</v>
      </c>
      <c r="CX103" s="230">
        <v>6546</v>
      </c>
      <c r="CY103" s="228">
        <v>-9</v>
      </c>
      <c r="CZ103" s="229">
        <v>-1.4E-3</v>
      </c>
      <c r="DA103" s="228">
        <v>36.31</v>
      </c>
      <c r="DB103" s="228">
        <v>36.729999999999997</v>
      </c>
      <c r="DC103" s="228">
        <v>-0.42</v>
      </c>
      <c r="DD103" s="228">
        <v>-0.42</v>
      </c>
      <c r="DE103" s="228">
        <v>34.85</v>
      </c>
      <c r="DF103" s="228">
        <v>34.869999999999997</v>
      </c>
      <c r="DG103" s="228">
        <v>1.46</v>
      </c>
      <c r="DH103" s="228">
        <v>-0.02</v>
      </c>
      <c r="DI103" s="228">
        <v>35.380000000000003</v>
      </c>
      <c r="DJ103" s="228">
        <v>36.479999999999997</v>
      </c>
      <c r="DK103" s="228">
        <v>-1.1000000000000001</v>
      </c>
      <c r="DL103" s="228">
        <v>-1.1000000000000001</v>
      </c>
      <c r="DM103" s="228">
        <v>39.159999999999997</v>
      </c>
      <c r="DN103" s="228">
        <v>37.44</v>
      </c>
      <c r="DO103" s="228">
        <v>1.72</v>
      </c>
      <c r="DP103" s="228">
        <v>1.72</v>
      </c>
      <c r="DQ103" s="228">
        <v>0.81</v>
      </c>
      <c r="DR103" s="228">
        <v>0.8</v>
      </c>
      <c r="DS103" s="228">
        <v>0.01</v>
      </c>
      <c r="DT103" s="229">
        <v>1.2500000000000001E-2</v>
      </c>
      <c r="DU103" s="228">
        <v>260</v>
      </c>
      <c r="DV103" s="228">
        <v>260</v>
      </c>
      <c r="DW103" s="228">
        <v>0.33</v>
      </c>
      <c r="DX103" s="228">
        <v>0.35</v>
      </c>
      <c r="DY103" s="228">
        <v>-0.02</v>
      </c>
      <c r="DZ103" s="229">
        <v>-5.7099999999999998E-2</v>
      </c>
      <c r="EA103" s="229">
        <v>9.2799999999999994E-2</v>
      </c>
      <c r="EB103" s="230">
        <v>15596950</v>
      </c>
      <c r="EC103" s="229">
        <v>6.4000000000000003E-3</v>
      </c>
      <c r="ED103" s="229">
        <v>9.2799999999999994E-2</v>
      </c>
      <c r="EE103" s="228">
        <v>1.48</v>
      </c>
      <c r="EF103" s="229">
        <v>6.1999999999999998E-3</v>
      </c>
      <c r="EG103" s="230">
        <v>8542658</v>
      </c>
      <c r="EH103" s="230">
        <v>7236591</v>
      </c>
      <c r="EI103" s="229">
        <v>0.18049999999999999</v>
      </c>
      <c r="EJ103" s="229">
        <v>0.43840000000000001</v>
      </c>
      <c r="EK103" s="231">
        <v>1607.49</v>
      </c>
      <c r="EL103" s="228">
        <v>480</v>
      </c>
      <c r="EM103" s="228">
        <v>449.73</v>
      </c>
      <c r="EN103" s="228">
        <v>93.96</v>
      </c>
      <c r="EO103" s="231">
        <v>2537.2199999999998</v>
      </c>
      <c r="EP103" s="231">
        <v>2957.86</v>
      </c>
      <c r="EQ103" s="228">
        <v>-420.64</v>
      </c>
      <c r="ER103" s="229">
        <v>-0.14219999999999999</v>
      </c>
      <c r="ES103" s="231">
        <v>1392.41</v>
      </c>
      <c r="ET103" s="231">
        <v>1080.43</v>
      </c>
      <c r="EU103" s="231">
        <v>4253.58</v>
      </c>
      <c r="EV103" s="231">
        <v>355358091</v>
      </c>
      <c r="EW103" s="231">
        <v>6726.42</v>
      </c>
      <c r="EX103" s="231">
        <v>6669.19</v>
      </c>
      <c r="EY103" s="228">
        <v>57.23</v>
      </c>
      <c r="EZ103" s="229">
        <v>8.6E-3</v>
      </c>
      <c r="FA103" s="229">
        <v>0.7581</v>
      </c>
      <c r="FB103" s="227" t="s">
        <v>556</v>
      </c>
      <c r="FC103">
        <f t="shared" si="1"/>
        <v>395</v>
      </c>
    </row>
    <row r="104" spans="1:159" ht="17.25" hidden="1" thickBot="1" x14ac:dyDescent="0.3">
      <c r="A104" s="226">
        <v>46093</v>
      </c>
      <c r="B104" s="227" t="s">
        <v>161</v>
      </c>
      <c r="C104" s="227" t="s">
        <v>580</v>
      </c>
      <c r="D104" s="228">
        <v>1000</v>
      </c>
      <c r="E104" s="228">
        <v>18</v>
      </c>
      <c r="F104" s="228">
        <v>520</v>
      </c>
      <c r="G104" s="228">
        <v>488.45</v>
      </c>
      <c r="H104" s="228">
        <v>31.55</v>
      </c>
      <c r="I104" s="229">
        <v>6.4600000000000005E-2</v>
      </c>
      <c r="J104" s="228">
        <v>518.29999999999995</v>
      </c>
      <c r="K104" s="228">
        <v>488</v>
      </c>
      <c r="L104" s="228">
        <v>30.3</v>
      </c>
      <c r="M104" s="229">
        <v>6.2100000000000002E-2</v>
      </c>
      <c r="N104" s="228">
        <v>520</v>
      </c>
      <c r="O104" s="228">
        <v>488.45</v>
      </c>
      <c r="P104" s="228">
        <v>31.55</v>
      </c>
      <c r="Q104" s="229">
        <v>6.4600000000000005E-2</v>
      </c>
      <c r="R104" s="228">
        <v>522.5</v>
      </c>
      <c r="S104" s="228">
        <v>491.35</v>
      </c>
      <c r="T104" s="228">
        <v>31.15</v>
      </c>
      <c r="U104" s="229">
        <v>6.3399999999999998E-2</v>
      </c>
      <c r="V104" s="228">
        <v>525.5</v>
      </c>
      <c r="W104" s="228">
        <v>496.5</v>
      </c>
      <c r="X104" s="228">
        <v>29</v>
      </c>
      <c r="Y104" s="229">
        <v>5.8400000000000001E-2</v>
      </c>
      <c r="Z104" s="228">
        <v>1.7</v>
      </c>
      <c r="AA104" s="228">
        <v>0.45</v>
      </c>
      <c r="AB104" s="228">
        <v>1.25</v>
      </c>
      <c r="AC104" s="229">
        <v>3.3E-3</v>
      </c>
      <c r="AD104" s="228">
        <v>1.7</v>
      </c>
      <c r="AE104" s="228">
        <v>0.45</v>
      </c>
      <c r="AF104" s="228">
        <v>1.25</v>
      </c>
      <c r="AG104" s="229">
        <v>3.3E-3</v>
      </c>
      <c r="AH104" s="228">
        <v>4.2</v>
      </c>
      <c r="AI104" s="228">
        <v>3.35</v>
      </c>
      <c r="AJ104" s="228">
        <v>0.85</v>
      </c>
      <c r="AK104" s="229">
        <v>8.0999999999999996E-3</v>
      </c>
      <c r="AL104" s="228">
        <v>7.2</v>
      </c>
      <c r="AM104" s="228">
        <v>8.5</v>
      </c>
      <c r="AN104" s="228">
        <v>-1.3</v>
      </c>
      <c r="AO104" s="229">
        <v>1.3899999999999999E-2</v>
      </c>
      <c r="AP104" s="228">
        <v>515.86</v>
      </c>
      <c r="AQ104" s="228">
        <v>518.92999999999995</v>
      </c>
      <c r="AR104" s="228">
        <v>0</v>
      </c>
      <c r="AS104" s="228">
        <v>670</v>
      </c>
      <c r="AT104" s="228">
        <v>115</v>
      </c>
      <c r="AU104" s="228">
        <v>556</v>
      </c>
      <c r="AV104" s="229">
        <v>4.8475000000000001</v>
      </c>
      <c r="AW104" s="228">
        <v>637</v>
      </c>
      <c r="AX104" s="228">
        <v>112</v>
      </c>
      <c r="AY104" s="228">
        <v>525</v>
      </c>
      <c r="AZ104" s="229">
        <v>4.7081999999999997</v>
      </c>
      <c r="BA104" s="228">
        <v>32</v>
      </c>
      <c r="BB104" s="228">
        <v>3</v>
      </c>
      <c r="BC104" s="228">
        <v>29</v>
      </c>
      <c r="BD104" s="229">
        <v>10.6226</v>
      </c>
      <c r="BE104" s="228">
        <v>1</v>
      </c>
      <c r="BF104" s="228">
        <v>0</v>
      </c>
      <c r="BG104" s="228">
        <v>1</v>
      </c>
      <c r="BH104" s="229">
        <v>3.6667000000000001</v>
      </c>
      <c r="BI104" s="230">
        <v>4029</v>
      </c>
      <c r="BJ104" s="228">
        <v>234</v>
      </c>
      <c r="BK104" s="230">
        <v>3795</v>
      </c>
      <c r="BL104" s="229">
        <v>16.232199999999999</v>
      </c>
      <c r="BM104" s="230">
        <v>1089</v>
      </c>
      <c r="BN104" s="228">
        <v>89</v>
      </c>
      <c r="BO104" s="230">
        <v>1000</v>
      </c>
      <c r="BP104" s="229">
        <v>11.214700000000001</v>
      </c>
      <c r="BQ104" s="230">
        <v>5788</v>
      </c>
      <c r="BR104" s="228">
        <v>438</v>
      </c>
      <c r="BS104" s="230">
        <v>5350</v>
      </c>
      <c r="BT104" s="229">
        <v>12.228</v>
      </c>
      <c r="BU104" s="230">
        <v>20497575</v>
      </c>
      <c r="BV104" s="230">
        <v>1283469</v>
      </c>
      <c r="BW104" s="230">
        <v>19214106</v>
      </c>
      <c r="BX104" s="229">
        <v>14.9704</v>
      </c>
      <c r="BY104" s="230">
        <v>1421</v>
      </c>
      <c r="BZ104" s="230">
        <v>1481</v>
      </c>
      <c r="CA104" s="228">
        <v>-61</v>
      </c>
      <c r="CB104" s="229">
        <v>-4.1000000000000002E-2</v>
      </c>
      <c r="CC104" s="230">
        <v>1358</v>
      </c>
      <c r="CD104" s="230">
        <v>1418</v>
      </c>
      <c r="CE104" s="228">
        <v>-61</v>
      </c>
      <c r="CF104" s="229">
        <v>-4.2799999999999998E-2</v>
      </c>
      <c r="CG104" s="228">
        <v>62</v>
      </c>
      <c r="CH104" s="228">
        <v>62</v>
      </c>
      <c r="CI104" s="228">
        <v>0</v>
      </c>
      <c r="CJ104" s="229">
        <v>0</v>
      </c>
      <c r="CK104" s="228">
        <v>1</v>
      </c>
      <c r="CL104" s="228">
        <v>1</v>
      </c>
      <c r="CM104" s="228">
        <v>0</v>
      </c>
      <c r="CN104" s="229">
        <v>-4.3499999999999997E-2</v>
      </c>
      <c r="CO104" s="228">
        <v>369</v>
      </c>
      <c r="CP104" s="228">
        <v>318</v>
      </c>
      <c r="CQ104" s="228">
        <v>51</v>
      </c>
      <c r="CR104" s="229">
        <v>0.16009999999999999</v>
      </c>
      <c r="CS104" s="228">
        <v>298</v>
      </c>
      <c r="CT104" s="228">
        <v>238</v>
      </c>
      <c r="CU104" s="228">
        <v>60</v>
      </c>
      <c r="CV104" s="229">
        <v>0.25259999999999999</v>
      </c>
      <c r="CW104" s="230">
        <v>2087</v>
      </c>
      <c r="CX104" s="230">
        <v>2037</v>
      </c>
      <c r="CY104" s="228">
        <v>50</v>
      </c>
      <c r="CZ104" s="229">
        <v>2.46E-2</v>
      </c>
      <c r="DA104" s="228">
        <v>40.14</v>
      </c>
      <c r="DB104" s="228">
        <v>33.56</v>
      </c>
      <c r="DC104" s="228">
        <v>6.58</v>
      </c>
      <c r="DD104" s="228">
        <v>6.58</v>
      </c>
      <c r="DE104" s="228">
        <v>42.96</v>
      </c>
      <c r="DF104" s="228">
        <v>42.22</v>
      </c>
      <c r="DG104" s="228">
        <v>-2.82</v>
      </c>
      <c r="DH104" s="228">
        <v>0.74</v>
      </c>
      <c r="DI104" s="228">
        <v>39.76</v>
      </c>
      <c r="DJ104" s="228">
        <v>32.880000000000003</v>
      </c>
      <c r="DK104" s="228">
        <v>6.88</v>
      </c>
      <c r="DL104" s="228">
        <v>6.88</v>
      </c>
      <c r="DM104" s="228">
        <v>41.55</v>
      </c>
      <c r="DN104" s="228">
        <v>35.340000000000003</v>
      </c>
      <c r="DO104" s="228">
        <v>6.21</v>
      </c>
      <c r="DP104" s="228">
        <v>6.21</v>
      </c>
      <c r="DQ104" s="228">
        <v>0.81</v>
      </c>
      <c r="DR104" s="228">
        <v>0.75</v>
      </c>
      <c r="DS104" s="228">
        <v>0.06</v>
      </c>
      <c r="DT104" s="229">
        <v>0.08</v>
      </c>
      <c r="DU104" s="228">
        <v>500</v>
      </c>
      <c r="DV104" s="228">
        <v>530</v>
      </c>
      <c r="DW104" s="228">
        <v>0.27</v>
      </c>
      <c r="DX104" s="228">
        <v>0.38</v>
      </c>
      <c r="DY104" s="228">
        <v>-0.11</v>
      </c>
      <c r="DZ104" s="229">
        <v>-0.28949999999999998</v>
      </c>
      <c r="EA104" s="229">
        <v>4.4400000000000002E-2</v>
      </c>
      <c r="EB104" s="230">
        <v>1215000</v>
      </c>
      <c r="EC104" s="229">
        <v>4.7999999999999996E-3</v>
      </c>
      <c r="ED104" s="229">
        <v>4.4400000000000002E-2</v>
      </c>
      <c r="EE104" s="228">
        <v>3.07</v>
      </c>
      <c r="EF104" s="229">
        <v>6.0000000000000001E-3</v>
      </c>
      <c r="EG104" s="230">
        <v>6322604</v>
      </c>
      <c r="EH104" s="230">
        <v>451004</v>
      </c>
      <c r="EI104" s="229">
        <v>13.019</v>
      </c>
      <c r="EJ104" s="229">
        <v>0.3085</v>
      </c>
      <c r="EK104" s="231">
        <v>4190.32</v>
      </c>
      <c r="EL104" s="231">
        <v>1054.19</v>
      </c>
      <c r="EM104" s="228">
        <v>665.05</v>
      </c>
      <c r="EN104" s="228">
        <v>36.79</v>
      </c>
      <c r="EO104" s="231">
        <v>5909.56</v>
      </c>
      <c r="EP104" s="228">
        <v>423.35</v>
      </c>
      <c r="EQ104" s="231">
        <v>5486.2</v>
      </c>
      <c r="ER104" s="229">
        <v>12.9589</v>
      </c>
      <c r="ES104" s="228">
        <v>368.6</v>
      </c>
      <c r="ET104" s="228">
        <v>285.14</v>
      </c>
      <c r="EU104" s="231">
        <v>1420.95</v>
      </c>
      <c r="EV104" s="231">
        <v>80385888</v>
      </c>
      <c r="EW104" s="231">
        <v>2074.69</v>
      </c>
      <c r="EX104" s="231">
        <v>1927.99</v>
      </c>
      <c r="EY104" s="228">
        <v>146.69999999999999</v>
      </c>
      <c r="EZ104" s="229">
        <v>7.6100000000000001E-2</v>
      </c>
      <c r="FA104" s="229">
        <v>0.49930000000000002</v>
      </c>
      <c r="FB104" s="227" t="s">
        <v>556</v>
      </c>
      <c r="FC104">
        <f t="shared" si="1"/>
        <v>63</v>
      </c>
    </row>
    <row r="105" spans="1:159" ht="17.25" hidden="1" thickBot="1" x14ac:dyDescent="0.3">
      <c r="A105" s="226">
        <v>46093</v>
      </c>
      <c r="B105" s="227" t="s">
        <v>227</v>
      </c>
      <c r="C105" s="227" t="s">
        <v>244</v>
      </c>
      <c r="D105" s="228">
        <v>675</v>
      </c>
      <c r="E105" s="228">
        <v>18</v>
      </c>
      <c r="F105" s="231">
        <v>1174.4000000000001</v>
      </c>
      <c r="G105" s="231">
        <v>1179.2</v>
      </c>
      <c r="H105" s="228">
        <v>-4.8</v>
      </c>
      <c r="I105" s="229">
        <v>-4.1000000000000003E-3</v>
      </c>
      <c r="J105" s="231">
        <v>1172.5999999999999</v>
      </c>
      <c r="K105" s="231">
        <v>1178.8</v>
      </c>
      <c r="L105" s="228">
        <v>-6.2</v>
      </c>
      <c r="M105" s="229">
        <v>-5.3E-3</v>
      </c>
      <c r="N105" s="231">
        <v>1174.4000000000001</v>
      </c>
      <c r="O105" s="231">
        <v>1179.2</v>
      </c>
      <c r="P105" s="228">
        <v>-4.8</v>
      </c>
      <c r="Q105" s="229">
        <v>-4.1000000000000003E-3</v>
      </c>
      <c r="R105" s="231">
        <v>1181.7</v>
      </c>
      <c r="S105" s="231">
        <v>1184.9000000000001</v>
      </c>
      <c r="T105" s="228">
        <v>-3.2</v>
      </c>
      <c r="U105" s="229">
        <v>-2.7000000000000001E-3</v>
      </c>
      <c r="V105" s="231">
        <v>1188</v>
      </c>
      <c r="W105" s="231">
        <v>1190</v>
      </c>
      <c r="X105" s="228">
        <v>-2</v>
      </c>
      <c r="Y105" s="229">
        <v>-1.6999999999999999E-3</v>
      </c>
      <c r="Z105" s="228">
        <v>1.8</v>
      </c>
      <c r="AA105" s="228">
        <v>0.4</v>
      </c>
      <c r="AB105" s="228">
        <v>1.4</v>
      </c>
      <c r="AC105" s="229">
        <v>1.5E-3</v>
      </c>
      <c r="AD105" s="228">
        <v>1.8</v>
      </c>
      <c r="AE105" s="228">
        <v>0.4</v>
      </c>
      <c r="AF105" s="228">
        <v>1.4</v>
      </c>
      <c r="AG105" s="229">
        <v>1.5E-3</v>
      </c>
      <c r="AH105" s="228">
        <v>9.1</v>
      </c>
      <c r="AI105" s="228">
        <v>6.1</v>
      </c>
      <c r="AJ105" s="228">
        <v>3</v>
      </c>
      <c r="AK105" s="229">
        <v>7.7999999999999996E-3</v>
      </c>
      <c r="AL105" s="228">
        <v>15.4</v>
      </c>
      <c r="AM105" s="228">
        <v>11.2</v>
      </c>
      <c r="AN105" s="228">
        <v>4.2</v>
      </c>
      <c r="AO105" s="229">
        <v>1.3100000000000001E-2</v>
      </c>
      <c r="AP105" s="231">
        <v>1165.9100000000001</v>
      </c>
      <c r="AQ105" s="231">
        <v>1165.8900000000001</v>
      </c>
      <c r="AR105" s="228">
        <v>0</v>
      </c>
      <c r="AS105" s="228">
        <v>514</v>
      </c>
      <c r="AT105" s="228">
        <v>626</v>
      </c>
      <c r="AU105" s="228">
        <v>-112</v>
      </c>
      <c r="AV105" s="229">
        <v>-0.1784</v>
      </c>
      <c r="AW105" s="228">
        <v>410</v>
      </c>
      <c r="AX105" s="228">
        <v>588</v>
      </c>
      <c r="AY105" s="228">
        <v>-178</v>
      </c>
      <c r="AZ105" s="229">
        <v>-0.30299999999999999</v>
      </c>
      <c r="BA105" s="228">
        <v>103</v>
      </c>
      <c r="BB105" s="228">
        <v>36</v>
      </c>
      <c r="BC105" s="228">
        <v>67</v>
      </c>
      <c r="BD105" s="229">
        <v>1.859</v>
      </c>
      <c r="BE105" s="228">
        <v>1</v>
      </c>
      <c r="BF105" s="228">
        <v>2</v>
      </c>
      <c r="BG105" s="228">
        <v>0</v>
      </c>
      <c r="BH105" s="229">
        <v>-0.2</v>
      </c>
      <c r="BI105" s="228">
        <v>653</v>
      </c>
      <c r="BJ105" s="228">
        <v>683</v>
      </c>
      <c r="BK105" s="228">
        <v>-30</v>
      </c>
      <c r="BL105" s="229">
        <v>-4.41E-2</v>
      </c>
      <c r="BM105" s="228">
        <v>367</v>
      </c>
      <c r="BN105" s="228">
        <v>530</v>
      </c>
      <c r="BO105" s="228">
        <v>-163</v>
      </c>
      <c r="BP105" s="229">
        <v>-0.30780000000000002</v>
      </c>
      <c r="BQ105" s="230">
        <v>1534</v>
      </c>
      <c r="BR105" s="230">
        <v>1839</v>
      </c>
      <c r="BS105" s="228">
        <v>-305</v>
      </c>
      <c r="BT105" s="229">
        <v>-0.1658</v>
      </c>
      <c r="BU105" s="230">
        <v>1288963</v>
      </c>
      <c r="BV105" s="230">
        <v>1831603</v>
      </c>
      <c r="BW105" s="230">
        <v>-542640</v>
      </c>
      <c r="BX105" s="229">
        <v>-0.29630000000000001</v>
      </c>
      <c r="BY105" s="230">
        <v>6143</v>
      </c>
      <c r="BZ105" s="230">
        <v>6142</v>
      </c>
      <c r="CA105" s="228">
        <v>1</v>
      </c>
      <c r="CB105" s="229">
        <v>1E-4</v>
      </c>
      <c r="CC105" s="230">
        <v>5367</v>
      </c>
      <c r="CD105" s="230">
        <v>5454</v>
      </c>
      <c r="CE105" s="228">
        <v>-88</v>
      </c>
      <c r="CF105" s="229">
        <v>-1.61E-2</v>
      </c>
      <c r="CG105" s="228">
        <v>772</v>
      </c>
      <c r="CH105" s="228">
        <v>684</v>
      </c>
      <c r="CI105" s="228">
        <v>88</v>
      </c>
      <c r="CJ105" s="229">
        <v>0.1288</v>
      </c>
      <c r="CK105" s="228">
        <v>5</v>
      </c>
      <c r="CL105" s="228">
        <v>4</v>
      </c>
      <c r="CM105" s="228">
        <v>0</v>
      </c>
      <c r="CN105" s="229">
        <v>9.6199999999999994E-2</v>
      </c>
      <c r="CO105" s="228">
        <v>845</v>
      </c>
      <c r="CP105" s="228">
        <v>814</v>
      </c>
      <c r="CQ105" s="228">
        <v>31</v>
      </c>
      <c r="CR105" s="229">
        <v>3.8100000000000002E-2</v>
      </c>
      <c r="CS105" s="228">
        <v>437</v>
      </c>
      <c r="CT105" s="228">
        <v>420</v>
      </c>
      <c r="CU105" s="228">
        <v>17</v>
      </c>
      <c r="CV105" s="229">
        <v>4.1200000000000001E-2</v>
      </c>
      <c r="CW105" s="230">
        <v>7425</v>
      </c>
      <c r="CX105" s="230">
        <v>7376</v>
      </c>
      <c r="CY105" s="228">
        <v>49</v>
      </c>
      <c r="CZ105" s="229">
        <v>6.7000000000000002E-3</v>
      </c>
      <c r="DA105" s="228">
        <v>32.020000000000003</v>
      </c>
      <c r="DB105" s="228">
        <v>31.1</v>
      </c>
      <c r="DC105" s="228">
        <v>0.92</v>
      </c>
      <c r="DD105" s="228">
        <v>0.92</v>
      </c>
      <c r="DE105" s="228">
        <v>30.08</v>
      </c>
      <c r="DF105" s="228">
        <v>30.15</v>
      </c>
      <c r="DG105" s="228">
        <v>1.94</v>
      </c>
      <c r="DH105" s="228">
        <v>-7.0000000000000007E-2</v>
      </c>
      <c r="DI105" s="228">
        <v>31.87</v>
      </c>
      <c r="DJ105" s="228">
        <v>31.23</v>
      </c>
      <c r="DK105" s="228">
        <v>0.64</v>
      </c>
      <c r="DL105" s="228">
        <v>0.64</v>
      </c>
      <c r="DM105" s="228">
        <v>32.29</v>
      </c>
      <c r="DN105" s="228">
        <v>30.95</v>
      </c>
      <c r="DO105" s="228">
        <v>1.34</v>
      </c>
      <c r="DP105" s="228">
        <v>1.34</v>
      </c>
      <c r="DQ105" s="228">
        <v>0.52</v>
      </c>
      <c r="DR105" s="228">
        <v>0.52</v>
      </c>
      <c r="DS105" s="228">
        <v>0</v>
      </c>
      <c r="DT105" s="229">
        <v>0</v>
      </c>
      <c r="DU105" s="231">
        <v>1300</v>
      </c>
      <c r="DV105" s="231">
        <v>1200</v>
      </c>
      <c r="DW105" s="228">
        <v>0.56000000000000005</v>
      </c>
      <c r="DX105" s="228">
        <v>0.78</v>
      </c>
      <c r="DY105" s="228">
        <v>-0.22</v>
      </c>
      <c r="DZ105" s="229">
        <v>-0.28210000000000002</v>
      </c>
      <c r="EA105" s="229">
        <v>0.12640000000000001</v>
      </c>
      <c r="EB105" s="230">
        <v>5859000</v>
      </c>
      <c r="EC105" s="229">
        <v>6.1999999999999998E-3</v>
      </c>
      <c r="ED105" s="229">
        <v>0.12640000000000001</v>
      </c>
      <c r="EE105" s="228">
        <v>-0.02</v>
      </c>
      <c r="EF105" s="229">
        <v>0</v>
      </c>
      <c r="EG105" s="230">
        <v>479665</v>
      </c>
      <c r="EH105" s="230">
        <v>736388</v>
      </c>
      <c r="EI105" s="229">
        <v>-0.34860000000000002</v>
      </c>
      <c r="EJ105" s="229">
        <v>0.37209999999999999</v>
      </c>
      <c r="EK105" s="228">
        <v>703.65</v>
      </c>
      <c r="EL105" s="228">
        <v>368.29</v>
      </c>
      <c r="EM105" s="228">
        <v>510.37</v>
      </c>
      <c r="EN105" s="228">
        <v>91.73</v>
      </c>
      <c r="EO105" s="231">
        <v>1582.31</v>
      </c>
      <c r="EP105" s="231">
        <v>1917.78</v>
      </c>
      <c r="EQ105" s="228">
        <v>-335.47</v>
      </c>
      <c r="ER105" s="229">
        <v>-0.1749</v>
      </c>
      <c r="ES105" s="228">
        <v>933.67</v>
      </c>
      <c r="ET105" s="228">
        <v>442.23</v>
      </c>
      <c r="EU105" s="231">
        <v>6147.96</v>
      </c>
      <c r="EV105" s="231">
        <v>133434355</v>
      </c>
      <c r="EW105" s="231">
        <v>7523.86</v>
      </c>
      <c r="EX105" s="231">
        <v>7501.63</v>
      </c>
      <c r="EY105" s="228">
        <v>22.23</v>
      </c>
      <c r="EZ105" s="229">
        <v>3.0000000000000001E-3</v>
      </c>
      <c r="FA105" s="229">
        <v>0.47389999999999999</v>
      </c>
      <c r="FB105" s="227" t="s">
        <v>567</v>
      </c>
      <c r="FC105">
        <f t="shared" si="1"/>
        <v>776</v>
      </c>
    </row>
    <row r="106" spans="1:159" ht="17.25" hidden="1" thickBot="1" x14ac:dyDescent="0.3">
      <c r="A106" s="226">
        <v>46093</v>
      </c>
      <c r="B106" s="227" t="s">
        <v>168</v>
      </c>
      <c r="C106" s="227" t="s">
        <v>245</v>
      </c>
      <c r="D106" s="228">
        <v>1250</v>
      </c>
      <c r="E106" s="228">
        <v>18</v>
      </c>
      <c r="F106" s="228">
        <v>462.05</v>
      </c>
      <c r="G106" s="228">
        <v>473.65</v>
      </c>
      <c r="H106" s="228">
        <v>-11.6</v>
      </c>
      <c r="I106" s="229">
        <v>-2.4500000000000001E-2</v>
      </c>
      <c r="J106" s="228">
        <v>461.75</v>
      </c>
      <c r="K106" s="228">
        <v>473.25</v>
      </c>
      <c r="L106" s="228">
        <v>-11.5</v>
      </c>
      <c r="M106" s="229">
        <v>-2.4299999999999999E-2</v>
      </c>
      <c r="N106" s="228">
        <v>462.05</v>
      </c>
      <c r="O106" s="228">
        <v>473.65</v>
      </c>
      <c r="P106" s="228">
        <v>-11.6</v>
      </c>
      <c r="Q106" s="229">
        <v>-2.4500000000000001E-2</v>
      </c>
      <c r="R106" s="228">
        <v>454.25</v>
      </c>
      <c r="S106" s="228">
        <v>465.85</v>
      </c>
      <c r="T106" s="228">
        <v>-11.6</v>
      </c>
      <c r="U106" s="229">
        <v>-2.4899999999999999E-2</v>
      </c>
      <c r="V106" s="228">
        <v>452.05</v>
      </c>
      <c r="W106" s="228">
        <v>462.5</v>
      </c>
      <c r="X106" s="228">
        <v>-10.45</v>
      </c>
      <c r="Y106" s="229">
        <v>-2.2599999999999999E-2</v>
      </c>
      <c r="Z106" s="228">
        <v>0.3</v>
      </c>
      <c r="AA106" s="228">
        <v>0.4</v>
      </c>
      <c r="AB106" s="228">
        <v>-0.1</v>
      </c>
      <c r="AC106" s="229">
        <v>5.9999999999999995E-4</v>
      </c>
      <c r="AD106" s="228">
        <v>0.3</v>
      </c>
      <c r="AE106" s="228">
        <v>0.4</v>
      </c>
      <c r="AF106" s="228">
        <v>-0.1</v>
      </c>
      <c r="AG106" s="229">
        <v>5.9999999999999995E-4</v>
      </c>
      <c r="AH106" s="228">
        <v>-7.5</v>
      </c>
      <c r="AI106" s="228">
        <v>-7.4</v>
      </c>
      <c r="AJ106" s="228">
        <v>-0.1</v>
      </c>
      <c r="AK106" s="229">
        <v>-1.6199999999999999E-2</v>
      </c>
      <c r="AL106" s="228">
        <v>-9.6999999999999993</v>
      </c>
      <c r="AM106" s="228">
        <v>-10.75</v>
      </c>
      <c r="AN106" s="228">
        <v>1.05</v>
      </c>
      <c r="AO106" s="229">
        <v>-2.1000000000000001E-2</v>
      </c>
      <c r="AP106" s="228">
        <v>460.33</v>
      </c>
      <c r="AQ106" s="228">
        <v>452.89</v>
      </c>
      <c r="AR106" s="228">
        <v>0</v>
      </c>
      <c r="AS106" s="228">
        <v>444</v>
      </c>
      <c r="AT106" s="228">
        <v>261</v>
      </c>
      <c r="AU106" s="228">
        <v>183</v>
      </c>
      <c r="AV106" s="229">
        <v>0.70120000000000005</v>
      </c>
      <c r="AW106" s="228">
        <v>387</v>
      </c>
      <c r="AX106" s="228">
        <v>220</v>
      </c>
      <c r="AY106" s="228">
        <v>168</v>
      </c>
      <c r="AZ106" s="229">
        <v>0.76349999999999996</v>
      </c>
      <c r="BA106" s="228">
        <v>51</v>
      </c>
      <c r="BB106" s="228">
        <v>36</v>
      </c>
      <c r="BC106" s="228">
        <v>15</v>
      </c>
      <c r="BD106" s="229">
        <v>0.41249999999999998</v>
      </c>
      <c r="BE106" s="228">
        <v>6</v>
      </c>
      <c r="BF106" s="228">
        <v>6</v>
      </c>
      <c r="BG106" s="228">
        <v>1</v>
      </c>
      <c r="BH106" s="229">
        <v>0.1042</v>
      </c>
      <c r="BI106" s="228">
        <v>579</v>
      </c>
      <c r="BJ106" s="228">
        <v>348</v>
      </c>
      <c r="BK106" s="228">
        <v>232</v>
      </c>
      <c r="BL106" s="229">
        <v>0.66679999999999995</v>
      </c>
      <c r="BM106" s="228">
        <v>745</v>
      </c>
      <c r="BN106" s="228">
        <v>402</v>
      </c>
      <c r="BO106" s="228">
        <v>343</v>
      </c>
      <c r="BP106" s="229">
        <v>0.85399999999999998</v>
      </c>
      <c r="BQ106" s="230">
        <v>1769</v>
      </c>
      <c r="BR106" s="230">
        <v>1011</v>
      </c>
      <c r="BS106" s="228">
        <v>758</v>
      </c>
      <c r="BT106" s="229">
        <v>0.75009999999999999</v>
      </c>
      <c r="BU106" s="230">
        <v>4124182</v>
      </c>
      <c r="BV106" s="230">
        <v>2603120</v>
      </c>
      <c r="BW106" s="230">
        <v>1521062</v>
      </c>
      <c r="BX106" s="229">
        <v>0.58430000000000004</v>
      </c>
      <c r="BY106" s="230">
        <v>1340</v>
      </c>
      <c r="BZ106" s="230">
        <v>1282</v>
      </c>
      <c r="CA106" s="228">
        <v>59</v>
      </c>
      <c r="CB106" s="229">
        <v>4.58E-2</v>
      </c>
      <c r="CC106" s="230">
        <v>1197</v>
      </c>
      <c r="CD106" s="230">
        <v>1155</v>
      </c>
      <c r="CE106" s="228">
        <v>42</v>
      </c>
      <c r="CF106" s="229">
        <v>3.61E-2</v>
      </c>
      <c r="CG106" s="228">
        <v>126</v>
      </c>
      <c r="CH106" s="228">
        <v>112</v>
      </c>
      <c r="CI106" s="228">
        <v>14</v>
      </c>
      <c r="CJ106" s="229">
        <v>0.12670000000000001</v>
      </c>
      <c r="CK106" s="228">
        <v>17</v>
      </c>
      <c r="CL106" s="228">
        <v>14</v>
      </c>
      <c r="CM106" s="228">
        <v>3</v>
      </c>
      <c r="CN106" s="229">
        <v>0.192</v>
      </c>
      <c r="CO106" s="228">
        <v>428</v>
      </c>
      <c r="CP106" s="228">
        <v>394</v>
      </c>
      <c r="CQ106" s="228">
        <v>35</v>
      </c>
      <c r="CR106" s="229">
        <v>8.7900000000000006E-2</v>
      </c>
      <c r="CS106" s="228">
        <v>313</v>
      </c>
      <c r="CT106" s="228">
        <v>284</v>
      </c>
      <c r="CU106" s="228">
        <v>30</v>
      </c>
      <c r="CV106" s="229">
        <v>0.1041</v>
      </c>
      <c r="CW106" s="230">
        <v>2082</v>
      </c>
      <c r="CX106" s="230">
        <v>1959</v>
      </c>
      <c r="CY106" s="228">
        <v>123</v>
      </c>
      <c r="CZ106" s="229">
        <v>6.2700000000000006E-2</v>
      </c>
      <c r="DA106" s="228">
        <v>38.340000000000003</v>
      </c>
      <c r="DB106" s="228">
        <v>35.42</v>
      </c>
      <c r="DC106" s="228">
        <v>2.92</v>
      </c>
      <c r="DD106" s="228">
        <v>2.92</v>
      </c>
      <c r="DE106" s="228">
        <v>32.590000000000003</v>
      </c>
      <c r="DF106" s="228">
        <v>32.5</v>
      </c>
      <c r="DG106" s="228">
        <v>5.75</v>
      </c>
      <c r="DH106" s="228">
        <v>0.09</v>
      </c>
      <c r="DI106" s="228">
        <v>36.18</v>
      </c>
      <c r="DJ106" s="228">
        <v>34.53</v>
      </c>
      <c r="DK106" s="228">
        <v>1.65</v>
      </c>
      <c r="DL106" s="228">
        <v>1.65</v>
      </c>
      <c r="DM106" s="228">
        <v>40.03</v>
      </c>
      <c r="DN106" s="228">
        <v>36.19</v>
      </c>
      <c r="DO106" s="228">
        <v>3.84</v>
      </c>
      <c r="DP106" s="228">
        <v>3.84</v>
      </c>
      <c r="DQ106" s="228">
        <v>0.73</v>
      </c>
      <c r="DR106" s="228">
        <v>0.72</v>
      </c>
      <c r="DS106" s="228">
        <v>0.01</v>
      </c>
      <c r="DT106" s="229">
        <v>1.3899999999999999E-2</v>
      </c>
      <c r="DU106" s="228">
        <v>550</v>
      </c>
      <c r="DV106" s="228">
        <v>500</v>
      </c>
      <c r="DW106" s="228">
        <v>1.29</v>
      </c>
      <c r="DX106" s="228">
        <v>1.1599999999999999</v>
      </c>
      <c r="DY106" s="228">
        <v>0.13</v>
      </c>
      <c r="DZ106" s="229">
        <v>0.11210000000000001</v>
      </c>
      <c r="EA106" s="229">
        <v>0.1071</v>
      </c>
      <c r="EB106" s="230">
        <v>2738750</v>
      </c>
      <c r="EC106" s="229">
        <v>-1.6899999999999998E-2</v>
      </c>
      <c r="ED106" s="229">
        <v>0.1071</v>
      </c>
      <c r="EE106" s="228">
        <v>-7.44</v>
      </c>
      <c r="EF106" s="229">
        <v>-1.6199999999999999E-2</v>
      </c>
      <c r="EG106" s="230">
        <v>1797331</v>
      </c>
      <c r="EH106" s="230">
        <v>1175354</v>
      </c>
      <c r="EI106" s="229">
        <v>0.5292</v>
      </c>
      <c r="EJ106" s="229">
        <v>0.43580000000000002</v>
      </c>
      <c r="EK106" s="228">
        <v>628.47</v>
      </c>
      <c r="EL106" s="228">
        <v>741.62</v>
      </c>
      <c r="EM106" s="228">
        <v>441.58</v>
      </c>
      <c r="EN106" s="228">
        <v>41.21</v>
      </c>
      <c r="EO106" s="231">
        <v>1811.67</v>
      </c>
      <c r="EP106" s="231">
        <v>1069.9000000000001</v>
      </c>
      <c r="EQ106" s="228">
        <v>741.77</v>
      </c>
      <c r="ER106" s="229">
        <v>0.69330000000000003</v>
      </c>
      <c r="ES106" s="228">
        <v>488.6</v>
      </c>
      <c r="ET106" s="228">
        <v>325.14</v>
      </c>
      <c r="EU106" s="231">
        <v>1337.73</v>
      </c>
      <c r="EV106" s="231">
        <v>58761693</v>
      </c>
      <c r="EW106" s="231">
        <v>2151.4699999999998</v>
      </c>
      <c r="EX106" s="231">
        <v>2066.3200000000002</v>
      </c>
      <c r="EY106" s="228">
        <v>85.15</v>
      </c>
      <c r="EZ106" s="229">
        <v>4.1200000000000001E-2</v>
      </c>
      <c r="FA106" s="229">
        <v>0.76670000000000005</v>
      </c>
      <c r="FB106" s="227" t="s">
        <v>567</v>
      </c>
      <c r="FC106">
        <f t="shared" si="1"/>
        <v>143</v>
      </c>
    </row>
    <row r="107" spans="1:159" ht="17.25" hidden="1" thickBot="1" x14ac:dyDescent="0.3">
      <c r="A107" s="226">
        <v>46093</v>
      </c>
      <c r="B107" s="227" t="s">
        <v>168</v>
      </c>
      <c r="C107" s="227" t="s">
        <v>582</v>
      </c>
      <c r="D107" s="228">
        <v>1175</v>
      </c>
      <c r="E107" s="228">
        <v>18</v>
      </c>
      <c r="F107" s="228">
        <v>390.4</v>
      </c>
      <c r="G107" s="228">
        <v>391.1</v>
      </c>
      <c r="H107" s="228">
        <v>-0.7</v>
      </c>
      <c r="I107" s="229">
        <v>-1.8E-3</v>
      </c>
      <c r="J107" s="228">
        <v>389.95</v>
      </c>
      <c r="K107" s="228">
        <v>390.5</v>
      </c>
      <c r="L107" s="228">
        <v>-0.55000000000000004</v>
      </c>
      <c r="M107" s="229">
        <v>-1.4E-3</v>
      </c>
      <c r="N107" s="228">
        <v>390.4</v>
      </c>
      <c r="O107" s="228">
        <v>391.1</v>
      </c>
      <c r="P107" s="228">
        <v>-0.7</v>
      </c>
      <c r="Q107" s="229">
        <v>-1.8E-3</v>
      </c>
      <c r="R107" s="228">
        <v>393.35</v>
      </c>
      <c r="S107" s="228">
        <v>394.4</v>
      </c>
      <c r="T107" s="228">
        <v>-1.05</v>
      </c>
      <c r="U107" s="229">
        <v>-2.7000000000000001E-3</v>
      </c>
      <c r="V107" s="228">
        <v>396.3</v>
      </c>
      <c r="W107" s="228">
        <v>398.35</v>
      </c>
      <c r="X107" s="228">
        <v>-2.0499999999999998</v>
      </c>
      <c r="Y107" s="229">
        <v>-5.1000000000000004E-3</v>
      </c>
      <c r="Z107" s="228">
        <v>0.45</v>
      </c>
      <c r="AA107" s="228">
        <v>0.6</v>
      </c>
      <c r="AB107" s="228">
        <v>-0.15</v>
      </c>
      <c r="AC107" s="229">
        <v>1.1999999999999999E-3</v>
      </c>
      <c r="AD107" s="228">
        <v>0.45</v>
      </c>
      <c r="AE107" s="228">
        <v>0.6</v>
      </c>
      <c r="AF107" s="228">
        <v>-0.15</v>
      </c>
      <c r="AG107" s="229">
        <v>1.1999999999999999E-3</v>
      </c>
      <c r="AH107" s="228">
        <v>3.4</v>
      </c>
      <c r="AI107" s="228">
        <v>3.9</v>
      </c>
      <c r="AJ107" s="228">
        <v>-0.5</v>
      </c>
      <c r="AK107" s="229">
        <v>8.6999999999999994E-3</v>
      </c>
      <c r="AL107" s="228">
        <v>6.35</v>
      </c>
      <c r="AM107" s="228">
        <v>7.85</v>
      </c>
      <c r="AN107" s="228">
        <v>-1.5</v>
      </c>
      <c r="AO107" s="229">
        <v>1.6299999999999999E-2</v>
      </c>
      <c r="AP107" s="228">
        <v>388.16</v>
      </c>
      <c r="AQ107" s="228">
        <v>390.8</v>
      </c>
      <c r="AR107" s="228">
        <v>0</v>
      </c>
      <c r="AS107" s="228">
        <v>129</v>
      </c>
      <c r="AT107" s="228">
        <v>114</v>
      </c>
      <c r="AU107" s="228">
        <v>15</v>
      </c>
      <c r="AV107" s="229">
        <v>0.12920000000000001</v>
      </c>
      <c r="AW107" s="228">
        <v>118</v>
      </c>
      <c r="AX107" s="228">
        <v>107</v>
      </c>
      <c r="AY107" s="228">
        <v>11</v>
      </c>
      <c r="AZ107" s="229">
        <v>9.9000000000000005E-2</v>
      </c>
      <c r="BA107" s="228">
        <v>7</v>
      </c>
      <c r="BB107" s="228">
        <v>6</v>
      </c>
      <c r="BC107" s="228">
        <v>1</v>
      </c>
      <c r="BD107" s="229">
        <v>0.1704</v>
      </c>
      <c r="BE107" s="228">
        <v>4</v>
      </c>
      <c r="BF107" s="228">
        <v>1</v>
      </c>
      <c r="BG107" s="228">
        <v>3</v>
      </c>
      <c r="BH107" s="229">
        <v>4.7857000000000003</v>
      </c>
      <c r="BI107" s="228">
        <v>295</v>
      </c>
      <c r="BJ107" s="228">
        <v>384</v>
      </c>
      <c r="BK107" s="228">
        <v>-89</v>
      </c>
      <c r="BL107" s="229">
        <v>-0.23180000000000001</v>
      </c>
      <c r="BM107" s="228">
        <v>167</v>
      </c>
      <c r="BN107" s="228">
        <v>150</v>
      </c>
      <c r="BO107" s="228">
        <v>16</v>
      </c>
      <c r="BP107" s="229">
        <v>0.109</v>
      </c>
      <c r="BQ107" s="228">
        <v>591</v>
      </c>
      <c r="BR107" s="228">
        <v>649</v>
      </c>
      <c r="BS107" s="228">
        <v>-58</v>
      </c>
      <c r="BT107" s="229">
        <v>-8.9300000000000004E-2</v>
      </c>
      <c r="BU107" s="230">
        <v>3392065</v>
      </c>
      <c r="BV107" s="230">
        <v>3164397</v>
      </c>
      <c r="BW107" s="230">
        <v>227668</v>
      </c>
      <c r="BX107" s="229">
        <v>7.1900000000000006E-2</v>
      </c>
      <c r="BY107" s="228">
        <v>962</v>
      </c>
      <c r="BZ107" s="228">
        <v>983</v>
      </c>
      <c r="CA107" s="228">
        <v>-21</v>
      </c>
      <c r="CB107" s="229">
        <v>-2.1100000000000001E-2</v>
      </c>
      <c r="CC107" s="228">
        <v>927</v>
      </c>
      <c r="CD107" s="228">
        <v>952</v>
      </c>
      <c r="CE107" s="228">
        <v>-25</v>
      </c>
      <c r="CF107" s="229">
        <v>-2.63E-2</v>
      </c>
      <c r="CG107" s="228">
        <v>25</v>
      </c>
      <c r="CH107" s="228">
        <v>23</v>
      </c>
      <c r="CI107" s="228">
        <v>2</v>
      </c>
      <c r="CJ107" s="229">
        <v>6.6400000000000001E-2</v>
      </c>
      <c r="CK107" s="228">
        <v>10</v>
      </c>
      <c r="CL107" s="228">
        <v>7</v>
      </c>
      <c r="CM107" s="228">
        <v>3</v>
      </c>
      <c r="CN107" s="229">
        <v>0.37580000000000002</v>
      </c>
      <c r="CO107" s="228">
        <v>352</v>
      </c>
      <c r="CP107" s="228">
        <v>346</v>
      </c>
      <c r="CQ107" s="228">
        <v>6</v>
      </c>
      <c r="CR107" s="229">
        <v>1.78E-2</v>
      </c>
      <c r="CS107" s="228">
        <v>207</v>
      </c>
      <c r="CT107" s="228">
        <v>202</v>
      </c>
      <c r="CU107" s="228">
        <v>5</v>
      </c>
      <c r="CV107" s="229">
        <v>2.2499999999999999E-2</v>
      </c>
      <c r="CW107" s="230">
        <v>1521</v>
      </c>
      <c r="CX107" s="230">
        <v>1531</v>
      </c>
      <c r="CY107" s="228">
        <v>-10</v>
      </c>
      <c r="CZ107" s="229">
        <v>-6.6E-3</v>
      </c>
      <c r="DA107" s="228">
        <v>38.840000000000003</v>
      </c>
      <c r="DB107" s="228">
        <v>40.1</v>
      </c>
      <c r="DC107" s="228">
        <v>-1.26</v>
      </c>
      <c r="DD107" s="228">
        <v>-1.26</v>
      </c>
      <c r="DE107" s="228">
        <v>51.27</v>
      </c>
      <c r="DF107" s="228">
        <v>51.4</v>
      </c>
      <c r="DG107" s="228">
        <v>-12.43</v>
      </c>
      <c r="DH107" s="228">
        <v>-0.13</v>
      </c>
      <c r="DI107" s="228">
        <v>38.25</v>
      </c>
      <c r="DJ107" s="228">
        <v>40.090000000000003</v>
      </c>
      <c r="DK107" s="228">
        <v>-1.84</v>
      </c>
      <c r="DL107" s="228">
        <v>-1.84</v>
      </c>
      <c r="DM107" s="228">
        <v>39.880000000000003</v>
      </c>
      <c r="DN107" s="228">
        <v>40.119999999999997</v>
      </c>
      <c r="DO107" s="228">
        <v>-0.24</v>
      </c>
      <c r="DP107" s="228">
        <v>-0.24</v>
      </c>
      <c r="DQ107" s="228">
        <v>0.59</v>
      </c>
      <c r="DR107" s="228">
        <v>0.57999999999999996</v>
      </c>
      <c r="DS107" s="228">
        <v>0.01</v>
      </c>
      <c r="DT107" s="229">
        <v>1.72E-2</v>
      </c>
      <c r="DU107" s="228">
        <v>400</v>
      </c>
      <c r="DV107" s="228">
        <v>400</v>
      </c>
      <c r="DW107" s="228">
        <v>0.56000000000000005</v>
      </c>
      <c r="DX107" s="228">
        <v>0.39</v>
      </c>
      <c r="DY107" s="228">
        <v>0.17</v>
      </c>
      <c r="DZ107" s="229">
        <v>0.43590000000000001</v>
      </c>
      <c r="EA107" s="229">
        <v>3.6299999999999999E-2</v>
      </c>
      <c r="EB107" s="230">
        <v>786075</v>
      </c>
      <c r="EC107" s="229">
        <v>7.6E-3</v>
      </c>
      <c r="ED107" s="229">
        <v>3.6299999999999999E-2</v>
      </c>
      <c r="EE107" s="228">
        <v>2.64</v>
      </c>
      <c r="EF107" s="229">
        <v>6.7999999999999996E-3</v>
      </c>
      <c r="EG107" s="230">
        <v>1310416</v>
      </c>
      <c r="EH107" s="230">
        <v>873578</v>
      </c>
      <c r="EI107" s="229">
        <v>0.50009999999999999</v>
      </c>
      <c r="EJ107" s="229">
        <v>0.38629999999999998</v>
      </c>
      <c r="EK107" s="228">
        <v>313.82</v>
      </c>
      <c r="EL107" s="228">
        <v>167.08</v>
      </c>
      <c r="EM107" s="228">
        <v>128.44</v>
      </c>
      <c r="EN107" s="228">
        <v>22.81</v>
      </c>
      <c r="EO107" s="228">
        <v>609.35</v>
      </c>
      <c r="EP107" s="228">
        <v>686.76</v>
      </c>
      <c r="EQ107" s="228">
        <v>-77.41</v>
      </c>
      <c r="ER107" s="229">
        <v>-0.11269999999999999</v>
      </c>
      <c r="ES107" s="228">
        <v>384.92</v>
      </c>
      <c r="ET107" s="228">
        <v>206.15</v>
      </c>
      <c r="EU107" s="228">
        <v>962.46</v>
      </c>
      <c r="EV107" s="231">
        <v>57654984</v>
      </c>
      <c r="EW107" s="231">
        <v>1553.53</v>
      </c>
      <c r="EX107" s="231">
        <v>1565.84</v>
      </c>
      <c r="EY107" s="228">
        <v>-12.31</v>
      </c>
      <c r="EZ107" s="229">
        <v>-7.9000000000000008E-3</v>
      </c>
      <c r="FA107" s="229">
        <v>0.67559999999999998</v>
      </c>
      <c r="FB107" s="227" t="s">
        <v>568</v>
      </c>
      <c r="FC107">
        <f t="shared" si="1"/>
        <v>35</v>
      </c>
    </row>
    <row r="108" spans="1:159" ht="17.25" hidden="1" thickBot="1" x14ac:dyDescent="0.3">
      <c r="A108" s="226">
        <v>46093</v>
      </c>
      <c r="B108" s="227" t="s">
        <v>184</v>
      </c>
      <c r="C108" s="227" t="s">
        <v>675</v>
      </c>
      <c r="D108" s="228">
        <v>100</v>
      </c>
      <c r="E108" s="228">
        <v>18</v>
      </c>
      <c r="F108" s="231">
        <v>3711.1</v>
      </c>
      <c r="G108" s="231">
        <v>3731.4</v>
      </c>
      <c r="H108" s="228">
        <v>-20.3</v>
      </c>
      <c r="I108" s="229">
        <v>-5.4000000000000003E-3</v>
      </c>
      <c r="J108" s="231">
        <v>3700.3</v>
      </c>
      <c r="K108" s="231">
        <v>3726.1</v>
      </c>
      <c r="L108" s="228">
        <v>-25.8</v>
      </c>
      <c r="M108" s="229">
        <v>-6.8999999999999999E-3</v>
      </c>
      <c r="N108" s="231">
        <v>3711.1</v>
      </c>
      <c r="O108" s="231">
        <v>3731.4</v>
      </c>
      <c r="P108" s="228">
        <v>-20.3</v>
      </c>
      <c r="Q108" s="229">
        <v>-5.4000000000000003E-3</v>
      </c>
      <c r="R108" s="231">
        <v>3718.4</v>
      </c>
      <c r="S108" s="231">
        <v>3739.1</v>
      </c>
      <c r="T108" s="228">
        <v>-20.7</v>
      </c>
      <c r="U108" s="229">
        <v>-5.4999999999999997E-3</v>
      </c>
      <c r="V108" s="231">
        <v>3727.5</v>
      </c>
      <c r="W108" s="231">
        <v>3755.6</v>
      </c>
      <c r="X108" s="228">
        <v>-28.1</v>
      </c>
      <c r="Y108" s="229">
        <v>-7.4999999999999997E-3</v>
      </c>
      <c r="Z108" s="228">
        <v>10.8</v>
      </c>
      <c r="AA108" s="228">
        <v>5.3</v>
      </c>
      <c r="AB108" s="228">
        <v>5.5</v>
      </c>
      <c r="AC108" s="229">
        <v>2.8999999999999998E-3</v>
      </c>
      <c r="AD108" s="228">
        <v>10.8</v>
      </c>
      <c r="AE108" s="228">
        <v>5.3</v>
      </c>
      <c r="AF108" s="228">
        <v>5.5</v>
      </c>
      <c r="AG108" s="229">
        <v>2.8999999999999998E-3</v>
      </c>
      <c r="AH108" s="228">
        <v>18.100000000000001</v>
      </c>
      <c r="AI108" s="228">
        <v>13</v>
      </c>
      <c r="AJ108" s="228">
        <v>5.0999999999999996</v>
      </c>
      <c r="AK108" s="229">
        <v>4.8999999999999998E-3</v>
      </c>
      <c r="AL108" s="228">
        <v>27.2</v>
      </c>
      <c r="AM108" s="228">
        <v>29.5</v>
      </c>
      <c r="AN108" s="228">
        <v>-2.2999999999999998</v>
      </c>
      <c r="AO108" s="229">
        <v>7.4000000000000003E-3</v>
      </c>
      <c r="AP108" s="231">
        <v>3685.95</v>
      </c>
      <c r="AQ108" s="231">
        <v>3678.45</v>
      </c>
      <c r="AR108" s="228">
        <v>0</v>
      </c>
      <c r="AS108" s="228">
        <v>354</v>
      </c>
      <c r="AT108" s="228">
        <v>357</v>
      </c>
      <c r="AU108" s="228">
        <v>-3</v>
      </c>
      <c r="AV108" s="229">
        <v>-7.7999999999999996E-3</v>
      </c>
      <c r="AW108" s="228">
        <v>328</v>
      </c>
      <c r="AX108" s="228">
        <v>329</v>
      </c>
      <c r="AY108" s="228">
        <v>-1</v>
      </c>
      <c r="AZ108" s="229">
        <v>-2.8999999999999998E-3</v>
      </c>
      <c r="BA108" s="228">
        <v>23</v>
      </c>
      <c r="BB108" s="228">
        <v>26</v>
      </c>
      <c r="BC108" s="228">
        <v>-2</v>
      </c>
      <c r="BD108" s="229">
        <v>-8.7900000000000006E-2</v>
      </c>
      <c r="BE108" s="228">
        <v>2</v>
      </c>
      <c r="BF108" s="228">
        <v>2</v>
      </c>
      <c r="BG108" s="228">
        <v>0</v>
      </c>
      <c r="BH108" s="229">
        <v>0.24</v>
      </c>
      <c r="BI108" s="230">
        <v>1190</v>
      </c>
      <c r="BJ108" s="230">
        <v>1604</v>
      </c>
      <c r="BK108" s="228">
        <v>-414</v>
      </c>
      <c r="BL108" s="229">
        <v>-0.25800000000000001</v>
      </c>
      <c r="BM108" s="228">
        <v>402</v>
      </c>
      <c r="BN108" s="228">
        <v>396</v>
      </c>
      <c r="BO108" s="228">
        <v>6</v>
      </c>
      <c r="BP108" s="229">
        <v>1.47E-2</v>
      </c>
      <c r="BQ108" s="230">
        <v>1946</v>
      </c>
      <c r="BR108" s="230">
        <v>2357</v>
      </c>
      <c r="BS108" s="228">
        <v>-411</v>
      </c>
      <c r="BT108" s="229">
        <v>-0.17430000000000001</v>
      </c>
      <c r="BU108" s="230">
        <v>1554165</v>
      </c>
      <c r="BV108" s="230">
        <v>1239779</v>
      </c>
      <c r="BW108" s="230">
        <v>314386</v>
      </c>
      <c r="BX108" s="229">
        <v>0.25359999999999999</v>
      </c>
      <c r="BY108" s="230">
        <v>1455</v>
      </c>
      <c r="BZ108" s="230">
        <v>1419</v>
      </c>
      <c r="CA108" s="228">
        <v>36</v>
      </c>
      <c r="CB108" s="229">
        <v>2.52E-2</v>
      </c>
      <c r="CC108" s="230">
        <v>1372</v>
      </c>
      <c r="CD108" s="230">
        <v>1344</v>
      </c>
      <c r="CE108" s="228">
        <v>29</v>
      </c>
      <c r="CF108" s="229">
        <v>2.1299999999999999E-2</v>
      </c>
      <c r="CG108" s="228">
        <v>74</v>
      </c>
      <c r="CH108" s="228">
        <v>68</v>
      </c>
      <c r="CI108" s="228">
        <v>6</v>
      </c>
      <c r="CJ108" s="229">
        <v>9.5000000000000001E-2</v>
      </c>
      <c r="CK108" s="228">
        <v>8</v>
      </c>
      <c r="CL108" s="228">
        <v>7</v>
      </c>
      <c r="CM108" s="228">
        <v>1</v>
      </c>
      <c r="CN108" s="229">
        <v>9.8400000000000001E-2</v>
      </c>
      <c r="CO108" s="228">
        <v>655</v>
      </c>
      <c r="CP108" s="228">
        <v>606</v>
      </c>
      <c r="CQ108" s="228">
        <v>49</v>
      </c>
      <c r="CR108" s="229">
        <v>8.0100000000000005E-2</v>
      </c>
      <c r="CS108" s="228">
        <v>501</v>
      </c>
      <c r="CT108" s="228">
        <v>500</v>
      </c>
      <c r="CU108" s="228">
        <v>1</v>
      </c>
      <c r="CV108" s="229">
        <v>2.2000000000000001E-3</v>
      </c>
      <c r="CW108" s="230">
        <v>2611</v>
      </c>
      <c r="CX108" s="230">
        <v>2525</v>
      </c>
      <c r="CY108" s="228">
        <v>85</v>
      </c>
      <c r="CZ108" s="229">
        <v>3.3799999999999997E-2</v>
      </c>
      <c r="DA108" s="228">
        <v>53.63</v>
      </c>
      <c r="DB108" s="228">
        <v>52.02</v>
      </c>
      <c r="DC108" s="228">
        <v>1.61</v>
      </c>
      <c r="DD108" s="228">
        <v>1.61</v>
      </c>
      <c r="DE108" s="228">
        <v>60.07</v>
      </c>
      <c r="DF108" s="228">
        <v>60.22</v>
      </c>
      <c r="DG108" s="228">
        <v>-6.44</v>
      </c>
      <c r="DH108" s="228">
        <v>-0.15</v>
      </c>
      <c r="DI108" s="228">
        <v>53.26</v>
      </c>
      <c r="DJ108" s="228">
        <v>51.73</v>
      </c>
      <c r="DK108" s="228">
        <v>1.53</v>
      </c>
      <c r="DL108" s="228">
        <v>1.53</v>
      </c>
      <c r="DM108" s="228">
        <v>54.71</v>
      </c>
      <c r="DN108" s="228">
        <v>53.19</v>
      </c>
      <c r="DO108" s="228">
        <v>1.52</v>
      </c>
      <c r="DP108" s="228">
        <v>1.52</v>
      </c>
      <c r="DQ108" s="228">
        <v>0.77</v>
      </c>
      <c r="DR108" s="228">
        <v>0.82</v>
      </c>
      <c r="DS108" s="228">
        <v>-0.05</v>
      </c>
      <c r="DT108" s="229">
        <v>-6.0999999999999999E-2</v>
      </c>
      <c r="DU108" s="231">
        <v>4000</v>
      </c>
      <c r="DV108" s="231">
        <v>3500</v>
      </c>
      <c r="DW108" s="228">
        <v>0.34</v>
      </c>
      <c r="DX108" s="228">
        <v>0.25</v>
      </c>
      <c r="DY108" s="228">
        <v>0.09</v>
      </c>
      <c r="DZ108" s="229">
        <v>0.36</v>
      </c>
      <c r="EA108" s="229">
        <v>5.6599999999999998E-2</v>
      </c>
      <c r="EB108" s="230">
        <v>202500</v>
      </c>
      <c r="EC108" s="229">
        <v>2E-3</v>
      </c>
      <c r="ED108" s="229">
        <v>5.6599999999999998E-2</v>
      </c>
      <c r="EE108" s="228">
        <v>-7.5</v>
      </c>
      <c r="EF108" s="229">
        <v>-2E-3</v>
      </c>
      <c r="EG108" s="230">
        <v>207679</v>
      </c>
      <c r="EH108" s="230">
        <v>214455</v>
      </c>
      <c r="EI108" s="229">
        <v>-3.1600000000000003E-2</v>
      </c>
      <c r="EJ108" s="229">
        <v>0.1336</v>
      </c>
      <c r="EK108" s="231">
        <v>1294.3900000000001</v>
      </c>
      <c r="EL108" s="228">
        <v>393.99</v>
      </c>
      <c r="EM108" s="228">
        <v>351.7</v>
      </c>
      <c r="EN108" s="228">
        <v>93.03</v>
      </c>
      <c r="EO108" s="231">
        <v>2040.07</v>
      </c>
      <c r="EP108" s="231">
        <v>2564.21</v>
      </c>
      <c r="EQ108" s="228">
        <v>-524.13</v>
      </c>
      <c r="ER108" s="229">
        <v>-0.2044</v>
      </c>
      <c r="ES108" s="228">
        <v>707.83</v>
      </c>
      <c r="ET108" s="228">
        <v>501.91</v>
      </c>
      <c r="EU108" s="231">
        <v>1454.71</v>
      </c>
      <c r="EV108" s="231">
        <v>4679418</v>
      </c>
      <c r="EW108" s="231">
        <v>2664.45</v>
      </c>
      <c r="EX108" s="231">
        <v>2585</v>
      </c>
      <c r="EY108" s="228">
        <v>79.45</v>
      </c>
      <c r="EZ108" s="229">
        <v>3.0700000000000002E-2</v>
      </c>
      <c r="FA108" s="229">
        <v>1.5035000000000001</v>
      </c>
      <c r="FB108" s="227" t="s">
        <v>567</v>
      </c>
      <c r="FC108">
        <f t="shared" si="1"/>
        <v>83</v>
      </c>
    </row>
    <row r="109" spans="1:159" ht="17.25" hidden="1" thickBot="1" x14ac:dyDescent="0.3">
      <c r="A109" s="226">
        <v>46093</v>
      </c>
      <c r="B109" s="227" t="s">
        <v>161</v>
      </c>
      <c r="C109" s="227" t="s">
        <v>610</v>
      </c>
      <c r="D109" s="228">
        <v>175</v>
      </c>
      <c r="E109" s="228">
        <v>18</v>
      </c>
      <c r="F109" s="231">
        <v>4335.5</v>
      </c>
      <c r="G109" s="231">
        <v>4336.5</v>
      </c>
      <c r="H109" s="228">
        <v>-1</v>
      </c>
      <c r="I109" s="229">
        <v>-2.0000000000000001E-4</v>
      </c>
      <c r="J109" s="231">
        <v>4330</v>
      </c>
      <c r="K109" s="231">
        <v>4321</v>
      </c>
      <c r="L109" s="228">
        <v>9</v>
      </c>
      <c r="M109" s="229">
        <v>2.0999999999999999E-3</v>
      </c>
      <c r="N109" s="231">
        <v>4335.5</v>
      </c>
      <c r="O109" s="231">
        <v>4336.5</v>
      </c>
      <c r="P109" s="228">
        <v>-1</v>
      </c>
      <c r="Q109" s="229">
        <v>-2.0000000000000001E-4</v>
      </c>
      <c r="R109" s="231">
        <v>4299.5</v>
      </c>
      <c r="S109" s="231">
        <v>4300.5</v>
      </c>
      <c r="T109" s="228">
        <v>-1</v>
      </c>
      <c r="U109" s="229">
        <v>-2.0000000000000001E-4</v>
      </c>
      <c r="V109" s="231">
        <v>4279</v>
      </c>
      <c r="W109" s="231">
        <v>4270.5</v>
      </c>
      <c r="X109" s="228">
        <v>8.5</v>
      </c>
      <c r="Y109" s="229">
        <v>2E-3</v>
      </c>
      <c r="Z109" s="228">
        <v>5.5</v>
      </c>
      <c r="AA109" s="228">
        <v>15.5</v>
      </c>
      <c r="AB109" s="228">
        <v>-10</v>
      </c>
      <c r="AC109" s="229">
        <v>1.2999999999999999E-3</v>
      </c>
      <c r="AD109" s="228">
        <v>5.5</v>
      </c>
      <c r="AE109" s="228">
        <v>15.5</v>
      </c>
      <c r="AF109" s="228">
        <v>-10</v>
      </c>
      <c r="AG109" s="229">
        <v>1.2999999999999999E-3</v>
      </c>
      <c r="AH109" s="228">
        <v>-30.5</v>
      </c>
      <c r="AI109" s="228">
        <v>-20.5</v>
      </c>
      <c r="AJ109" s="228">
        <v>-10</v>
      </c>
      <c r="AK109" s="229">
        <v>-7.0000000000000001E-3</v>
      </c>
      <c r="AL109" s="228">
        <v>-51</v>
      </c>
      <c r="AM109" s="228">
        <v>-50.5</v>
      </c>
      <c r="AN109" s="228">
        <v>-0.5</v>
      </c>
      <c r="AO109" s="229">
        <v>-1.18E-2</v>
      </c>
      <c r="AP109" s="231">
        <v>4358.57</v>
      </c>
      <c r="AQ109" s="231">
        <v>4314.34</v>
      </c>
      <c r="AR109" s="228">
        <v>0</v>
      </c>
      <c r="AS109" s="228">
        <v>363</v>
      </c>
      <c r="AT109" s="228">
        <v>459</v>
      </c>
      <c r="AU109" s="228">
        <v>-95</v>
      </c>
      <c r="AV109" s="229">
        <v>-0.20780000000000001</v>
      </c>
      <c r="AW109" s="228">
        <v>337</v>
      </c>
      <c r="AX109" s="228">
        <v>424</v>
      </c>
      <c r="AY109" s="228">
        <v>-87</v>
      </c>
      <c r="AZ109" s="229">
        <v>-0.2054</v>
      </c>
      <c r="BA109" s="228">
        <v>26</v>
      </c>
      <c r="BB109" s="228">
        <v>33</v>
      </c>
      <c r="BC109" s="228">
        <v>-8</v>
      </c>
      <c r="BD109" s="229">
        <v>-0.22550000000000001</v>
      </c>
      <c r="BE109" s="228">
        <v>1</v>
      </c>
      <c r="BF109" s="228">
        <v>1</v>
      </c>
      <c r="BG109" s="228">
        <v>-1</v>
      </c>
      <c r="BH109" s="229">
        <v>-0.52629999999999999</v>
      </c>
      <c r="BI109" s="228">
        <v>840</v>
      </c>
      <c r="BJ109" s="228">
        <v>763</v>
      </c>
      <c r="BK109" s="228">
        <v>77</v>
      </c>
      <c r="BL109" s="229">
        <v>0.10100000000000001</v>
      </c>
      <c r="BM109" s="228">
        <v>402</v>
      </c>
      <c r="BN109" s="230">
        <v>1283</v>
      </c>
      <c r="BO109" s="228">
        <v>-881</v>
      </c>
      <c r="BP109" s="229">
        <v>-0.68659999999999999</v>
      </c>
      <c r="BQ109" s="230">
        <v>1606</v>
      </c>
      <c r="BR109" s="230">
        <v>2506</v>
      </c>
      <c r="BS109" s="228">
        <v>-899</v>
      </c>
      <c r="BT109" s="229">
        <v>-0.35899999999999999</v>
      </c>
      <c r="BU109" s="230">
        <v>551807</v>
      </c>
      <c r="BV109" s="230">
        <v>937815</v>
      </c>
      <c r="BW109" s="230">
        <v>-386008</v>
      </c>
      <c r="BX109" s="229">
        <v>-0.41160000000000002</v>
      </c>
      <c r="BY109" s="228">
        <v>853</v>
      </c>
      <c r="BZ109" s="228">
        <v>837</v>
      </c>
      <c r="CA109" s="228">
        <v>16</v>
      </c>
      <c r="CB109" s="229">
        <v>1.9199999999999998E-2</v>
      </c>
      <c r="CC109" s="228">
        <v>743</v>
      </c>
      <c r="CD109" s="228">
        <v>733</v>
      </c>
      <c r="CE109" s="228">
        <v>11</v>
      </c>
      <c r="CF109" s="229">
        <v>1.4800000000000001E-2</v>
      </c>
      <c r="CG109" s="228">
        <v>107</v>
      </c>
      <c r="CH109" s="228">
        <v>101</v>
      </c>
      <c r="CI109" s="228">
        <v>5</v>
      </c>
      <c r="CJ109" s="229">
        <v>5.3900000000000003E-2</v>
      </c>
      <c r="CK109" s="228">
        <v>3</v>
      </c>
      <c r="CL109" s="228">
        <v>3</v>
      </c>
      <c r="CM109" s="228">
        <v>0</v>
      </c>
      <c r="CN109" s="229">
        <v>-6.9800000000000001E-2</v>
      </c>
      <c r="CO109" s="228">
        <v>424</v>
      </c>
      <c r="CP109" s="228">
        <v>413</v>
      </c>
      <c r="CQ109" s="228">
        <v>10</v>
      </c>
      <c r="CR109" s="229">
        <v>2.46E-2</v>
      </c>
      <c r="CS109" s="228">
        <v>334</v>
      </c>
      <c r="CT109" s="228">
        <v>345</v>
      </c>
      <c r="CU109" s="228">
        <v>-11</v>
      </c>
      <c r="CV109" s="229">
        <v>-3.2300000000000002E-2</v>
      </c>
      <c r="CW109" s="230">
        <v>1611</v>
      </c>
      <c r="CX109" s="230">
        <v>1596</v>
      </c>
      <c r="CY109" s="228">
        <v>15</v>
      </c>
      <c r="CZ109" s="229">
        <v>9.4999999999999998E-3</v>
      </c>
      <c r="DA109" s="228">
        <v>44.37</v>
      </c>
      <c r="DB109" s="228">
        <v>47.33</v>
      </c>
      <c r="DC109" s="228">
        <v>-2.96</v>
      </c>
      <c r="DD109" s="228">
        <v>-2.96</v>
      </c>
      <c r="DE109" s="228">
        <v>45.49</v>
      </c>
      <c r="DF109" s="228">
        <v>45.6</v>
      </c>
      <c r="DG109" s="228">
        <v>-1.1200000000000001</v>
      </c>
      <c r="DH109" s="228">
        <v>-0.11</v>
      </c>
      <c r="DI109" s="228">
        <v>43.57</v>
      </c>
      <c r="DJ109" s="228">
        <v>46.05</v>
      </c>
      <c r="DK109" s="228">
        <v>-2.48</v>
      </c>
      <c r="DL109" s="228">
        <v>-2.48</v>
      </c>
      <c r="DM109" s="228">
        <v>46.03</v>
      </c>
      <c r="DN109" s="228">
        <v>48.08</v>
      </c>
      <c r="DO109" s="228">
        <v>-2.0499999999999998</v>
      </c>
      <c r="DP109" s="228">
        <v>-2.0499999999999998</v>
      </c>
      <c r="DQ109" s="228">
        <v>0.79</v>
      </c>
      <c r="DR109" s="228">
        <v>0.83</v>
      </c>
      <c r="DS109" s="228">
        <v>-0.04</v>
      </c>
      <c r="DT109" s="229">
        <v>-4.82E-2</v>
      </c>
      <c r="DU109" s="231">
        <v>5000</v>
      </c>
      <c r="DV109" s="231">
        <v>4500</v>
      </c>
      <c r="DW109" s="228">
        <v>0.48</v>
      </c>
      <c r="DX109" s="228">
        <v>1.68</v>
      </c>
      <c r="DY109" s="228">
        <v>-1.2</v>
      </c>
      <c r="DZ109" s="229">
        <v>-0.71430000000000005</v>
      </c>
      <c r="EA109" s="229">
        <v>0.1288</v>
      </c>
      <c r="EB109" s="230">
        <v>241500</v>
      </c>
      <c r="EC109" s="229">
        <v>-8.3000000000000001E-3</v>
      </c>
      <c r="ED109" s="229">
        <v>0.1288</v>
      </c>
      <c r="EE109" s="228">
        <v>-44.23</v>
      </c>
      <c r="EF109" s="229">
        <v>-1.01E-2</v>
      </c>
      <c r="EG109" s="230">
        <v>183558</v>
      </c>
      <c r="EH109" s="230">
        <v>386420</v>
      </c>
      <c r="EI109" s="229">
        <v>-0.52500000000000002</v>
      </c>
      <c r="EJ109" s="229">
        <v>0.33260000000000001</v>
      </c>
      <c r="EK109" s="228">
        <v>913.79</v>
      </c>
      <c r="EL109" s="228">
        <v>402.81</v>
      </c>
      <c r="EM109" s="228">
        <v>365.16</v>
      </c>
      <c r="EN109" s="228">
        <v>48.11</v>
      </c>
      <c r="EO109" s="231">
        <v>1681.76</v>
      </c>
      <c r="EP109" s="231">
        <v>2615.63</v>
      </c>
      <c r="EQ109" s="228">
        <v>-933.87</v>
      </c>
      <c r="ER109" s="229">
        <v>-0.35699999999999998</v>
      </c>
      <c r="ES109" s="228">
        <v>477.69</v>
      </c>
      <c r="ET109" s="228">
        <v>344.34</v>
      </c>
      <c r="EU109" s="228">
        <v>852.4</v>
      </c>
      <c r="EV109" s="231">
        <v>8553821</v>
      </c>
      <c r="EW109" s="231">
        <v>1674.42</v>
      </c>
      <c r="EX109" s="231">
        <v>1662</v>
      </c>
      <c r="EY109" s="228">
        <v>12.42</v>
      </c>
      <c r="EZ109" s="229">
        <v>7.4999999999999997E-3</v>
      </c>
      <c r="FA109" s="229">
        <v>0.43440000000000001</v>
      </c>
      <c r="FB109" s="227" t="s">
        <v>567</v>
      </c>
      <c r="FC109">
        <f t="shared" si="1"/>
        <v>110</v>
      </c>
    </row>
    <row r="110" spans="1:159" ht="17.25" hidden="1" thickBot="1" x14ac:dyDescent="0.3">
      <c r="A110" s="226">
        <v>46093</v>
      </c>
      <c r="B110" s="227" t="s">
        <v>175</v>
      </c>
      <c r="C110" s="227" t="s">
        <v>682</v>
      </c>
      <c r="D110" s="228">
        <v>500</v>
      </c>
      <c r="E110" s="228">
        <v>18</v>
      </c>
      <c r="F110" s="228">
        <v>910.6</v>
      </c>
      <c r="G110" s="228">
        <v>928.7</v>
      </c>
      <c r="H110" s="228">
        <v>-18.100000000000001</v>
      </c>
      <c r="I110" s="229">
        <v>-1.95E-2</v>
      </c>
      <c r="J110" s="228">
        <v>907.6</v>
      </c>
      <c r="K110" s="228">
        <v>926.85</v>
      </c>
      <c r="L110" s="228">
        <v>-19.25</v>
      </c>
      <c r="M110" s="229">
        <v>-2.0799999999999999E-2</v>
      </c>
      <c r="N110" s="228">
        <v>910.6</v>
      </c>
      <c r="O110" s="228">
        <v>928.7</v>
      </c>
      <c r="P110" s="228">
        <v>-18.100000000000001</v>
      </c>
      <c r="Q110" s="229">
        <v>-1.95E-2</v>
      </c>
      <c r="R110" s="228">
        <v>901.1</v>
      </c>
      <c r="S110" s="228">
        <v>919.7</v>
      </c>
      <c r="T110" s="228">
        <v>-18.600000000000001</v>
      </c>
      <c r="U110" s="229">
        <v>-2.0199999999999999E-2</v>
      </c>
      <c r="V110" s="228">
        <v>899</v>
      </c>
      <c r="W110" s="228">
        <v>924.1</v>
      </c>
      <c r="X110" s="228">
        <v>-25.1</v>
      </c>
      <c r="Y110" s="229">
        <v>-2.7199999999999998E-2</v>
      </c>
      <c r="Z110" s="228">
        <v>3</v>
      </c>
      <c r="AA110" s="228">
        <v>1.85</v>
      </c>
      <c r="AB110" s="228">
        <v>1.1499999999999999</v>
      </c>
      <c r="AC110" s="229">
        <v>3.3E-3</v>
      </c>
      <c r="AD110" s="228">
        <v>3</v>
      </c>
      <c r="AE110" s="228">
        <v>1.85</v>
      </c>
      <c r="AF110" s="228">
        <v>1.1499999999999999</v>
      </c>
      <c r="AG110" s="229">
        <v>3.3E-3</v>
      </c>
      <c r="AH110" s="228">
        <v>-6.5</v>
      </c>
      <c r="AI110" s="228">
        <v>-7.15</v>
      </c>
      <c r="AJ110" s="228">
        <v>0.65</v>
      </c>
      <c r="AK110" s="229">
        <v>-7.1999999999999998E-3</v>
      </c>
      <c r="AL110" s="228">
        <v>-8.6</v>
      </c>
      <c r="AM110" s="228">
        <v>-2.75</v>
      </c>
      <c r="AN110" s="228">
        <v>-5.85</v>
      </c>
      <c r="AO110" s="229">
        <v>-9.4999999999999998E-3</v>
      </c>
      <c r="AP110" s="228">
        <v>913.77</v>
      </c>
      <c r="AQ110" s="228">
        <v>903.3</v>
      </c>
      <c r="AR110" s="228">
        <v>0</v>
      </c>
      <c r="AS110" s="228">
        <v>89</v>
      </c>
      <c r="AT110" s="228">
        <v>51</v>
      </c>
      <c r="AU110" s="228">
        <v>38</v>
      </c>
      <c r="AV110" s="229">
        <v>0.74199999999999999</v>
      </c>
      <c r="AW110" s="228">
        <v>83</v>
      </c>
      <c r="AX110" s="228">
        <v>46</v>
      </c>
      <c r="AY110" s="228">
        <v>37</v>
      </c>
      <c r="AZ110" s="229">
        <v>0.80430000000000001</v>
      </c>
      <c r="BA110" s="228">
        <v>5</v>
      </c>
      <c r="BB110" s="228">
        <v>5</v>
      </c>
      <c r="BC110" s="228">
        <v>0</v>
      </c>
      <c r="BD110" s="229">
        <v>8.4900000000000003E-2</v>
      </c>
      <c r="BE110" s="228">
        <v>1</v>
      </c>
      <c r="BF110" s="228">
        <v>0</v>
      </c>
      <c r="BG110" s="228">
        <v>1</v>
      </c>
      <c r="BH110" s="229">
        <v>1.8332999999999999</v>
      </c>
      <c r="BI110" s="228">
        <v>87</v>
      </c>
      <c r="BJ110" s="228">
        <v>55</v>
      </c>
      <c r="BK110" s="228">
        <v>32</v>
      </c>
      <c r="BL110" s="229">
        <v>0.59430000000000005</v>
      </c>
      <c r="BM110" s="228">
        <v>56</v>
      </c>
      <c r="BN110" s="228">
        <v>26</v>
      </c>
      <c r="BO110" s="228">
        <v>30</v>
      </c>
      <c r="BP110" s="229">
        <v>1.1471</v>
      </c>
      <c r="BQ110" s="228">
        <v>232</v>
      </c>
      <c r="BR110" s="228">
        <v>132</v>
      </c>
      <c r="BS110" s="228">
        <v>100</v>
      </c>
      <c r="BT110" s="229">
        <v>0.76080000000000003</v>
      </c>
      <c r="BU110" s="230">
        <v>515857</v>
      </c>
      <c r="BV110" s="230">
        <v>255357</v>
      </c>
      <c r="BW110" s="230">
        <v>260500</v>
      </c>
      <c r="BX110" s="229">
        <v>1.0201</v>
      </c>
      <c r="BY110" s="228">
        <v>221</v>
      </c>
      <c r="BZ110" s="228">
        <v>223</v>
      </c>
      <c r="CA110" s="228">
        <v>-2</v>
      </c>
      <c r="CB110" s="229">
        <v>-7.4000000000000003E-3</v>
      </c>
      <c r="CC110" s="228">
        <v>197</v>
      </c>
      <c r="CD110" s="228">
        <v>199</v>
      </c>
      <c r="CE110" s="228">
        <v>-2</v>
      </c>
      <c r="CF110" s="229">
        <v>-8.0000000000000002E-3</v>
      </c>
      <c r="CG110" s="228">
        <v>21</v>
      </c>
      <c r="CH110" s="228">
        <v>22</v>
      </c>
      <c r="CI110" s="228">
        <v>-1</v>
      </c>
      <c r="CJ110" s="229">
        <v>-2.92E-2</v>
      </c>
      <c r="CK110" s="228">
        <v>3</v>
      </c>
      <c r="CL110" s="228">
        <v>2</v>
      </c>
      <c r="CM110" s="228">
        <v>1</v>
      </c>
      <c r="CN110" s="229">
        <v>0.29549999999999998</v>
      </c>
      <c r="CO110" s="228">
        <v>171</v>
      </c>
      <c r="CP110" s="228">
        <v>177</v>
      </c>
      <c r="CQ110" s="228">
        <v>-6</v>
      </c>
      <c r="CR110" s="229">
        <v>-3.3500000000000002E-2</v>
      </c>
      <c r="CS110" s="228">
        <v>103</v>
      </c>
      <c r="CT110" s="228">
        <v>102</v>
      </c>
      <c r="CU110" s="228">
        <v>1</v>
      </c>
      <c r="CV110" s="229">
        <v>1.34E-2</v>
      </c>
      <c r="CW110" s="228">
        <v>495</v>
      </c>
      <c r="CX110" s="228">
        <v>501</v>
      </c>
      <c r="CY110" s="228">
        <v>-6</v>
      </c>
      <c r="CZ110" s="229">
        <v>-1.24E-2</v>
      </c>
      <c r="DA110" s="228">
        <v>37.82</v>
      </c>
      <c r="DB110" s="228">
        <v>38.67</v>
      </c>
      <c r="DC110" s="228">
        <v>-0.85</v>
      </c>
      <c r="DD110" s="228">
        <v>-0.85</v>
      </c>
      <c r="DE110" s="228">
        <v>49.72</v>
      </c>
      <c r="DF110" s="228">
        <v>49.77</v>
      </c>
      <c r="DG110" s="228">
        <v>-11.9</v>
      </c>
      <c r="DH110" s="228">
        <v>-0.05</v>
      </c>
      <c r="DI110" s="228">
        <v>37.36</v>
      </c>
      <c r="DJ110" s="228">
        <v>37.61</v>
      </c>
      <c r="DK110" s="228">
        <v>-0.25</v>
      </c>
      <c r="DL110" s="228">
        <v>-0.25</v>
      </c>
      <c r="DM110" s="228">
        <v>38.520000000000003</v>
      </c>
      <c r="DN110" s="228">
        <v>40.9</v>
      </c>
      <c r="DO110" s="228">
        <v>-2.38</v>
      </c>
      <c r="DP110" s="228">
        <v>-2.38</v>
      </c>
      <c r="DQ110" s="228">
        <v>0.6</v>
      </c>
      <c r="DR110" s="228">
        <v>0.57999999999999996</v>
      </c>
      <c r="DS110" s="228">
        <v>0.02</v>
      </c>
      <c r="DT110" s="229">
        <v>3.4500000000000003E-2</v>
      </c>
      <c r="DU110" s="231">
        <v>1000</v>
      </c>
      <c r="DV110" s="228">
        <v>960</v>
      </c>
      <c r="DW110" s="228">
        <v>0.64</v>
      </c>
      <c r="DX110" s="228">
        <v>0.48</v>
      </c>
      <c r="DY110" s="228">
        <v>0.16</v>
      </c>
      <c r="DZ110" s="229">
        <v>0.33329999999999999</v>
      </c>
      <c r="EA110" s="229">
        <v>0.1076</v>
      </c>
      <c r="EB110" s="230">
        <v>262000</v>
      </c>
      <c r="EC110" s="229">
        <v>-1.04E-2</v>
      </c>
      <c r="ED110" s="229">
        <v>0.1076</v>
      </c>
      <c r="EE110" s="228">
        <v>-10.47</v>
      </c>
      <c r="EF110" s="229">
        <v>-1.15E-2</v>
      </c>
      <c r="EG110" s="230">
        <v>141991</v>
      </c>
      <c r="EH110" s="230">
        <v>96239</v>
      </c>
      <c r="EI110" s="229">
        <v>0.47539999999999999</v>
      </c>
      <c r="EJ110" s="229">
        <v>0.27529999999999999</v>
      </c>
      <c r="EK110" s="228">
        <v>94.92</v>
      </c>
      <c r="EL110" s="228">
        <v>55.74</v>
      </c>
      <c r="EM110" s="228">
        <v>89.39</v>
      </c>
      <c r="EN110" s="228">
        <v>20.11</v>
      </c>
      <c r="EO110" s="228">
        <v>240.04</v>
      </c>
      <c r="EP110" s="228">
        <v>139.13</v>
      </c>
      <c r="EQ110" s="228">
        <v>100.91</v>
      </c>
      <c r="ER110" s="229">
        <v>0.72540000000000004</v>
      </c>
      <c r="ES110" s="228">
        <v>189.69</v>
      </c>
      <c r="ET110" s="228">
        <v>105.89</v>
      </c>
      <c r="EU110" s="228">
        <v>221.02</v>
      </c>
      <c r="EV110" s="231">
        <v>19924232</v>
      </c>
      <c r="EW110" s="228">
        <v>516.6</v>
      </c>
      <c r="EX110" s="228">
        <v>528.5</v>
      </c>
      <c r="EY110" s="228">
        <v>-11.9</v>
      </c>
      <c r="EZ110" s="229">
        <v>-2.2499999999999999E-2</v>
      </c>
      <c r="FA110" s="229">
        <v>0.27279999999999999</v>
      </c>
      <c r="FB110" s="227" t="s">
        <v>568</v>
      </c>
      <c r="FC110">
        <f t="shared" si="1"/>
        <v>24</v>
      </c>
    </row>
    <row r="111" spans="1:159" ht="17.25" hidden="1" thickBot="1" x14ac:dyDescent="0.3">
      <c r="A111" s="226">
        <v>46093</v>
      </c>
      <c r="B111" s="227" t="s">
        <v>172</v>
      </c>
      <c r="C111" s="227" t="s">
        <v>246</v>
      </c>
      <c r="D111" s="228">
        <v>2000</v>
      </c>
      <c r="E111" s="228">
        <v>18</v>
      </c>
      <c r="F111" s="228">
        <v>376.75</v>
      </c>
      <c r="G111" s="228">
        <v>384.2</v>
      </c>
      <c r="H111" s="228">
        <v>-7.45</v>
      </c>
      <c r="I111" s="229">
        <v>-1.9400000000000001E-2</v>
      </c>
      <c r="J111" s="228">
        <v>375.3</v>
      </c>
      <c r="K111" s="228">
        <v>383.2</v>
      </c>
      <c r="L111" s="228">
        <v>-7.9</v>
      </c>
      <c r="M111" s="229">
        <v>-2.06E-2</v>
      </c>
      <c r="N111" s="228">
        <v>376.75</v>
      </c>
      <c r="O111" s="228">
        <v>384.2</v>
      </c>
      <c r="P111" s="228">
        <v>-7.45</v>
      </c>
      <c r="Q111" s="229">
        <v>-1.9400000000000001E-2</v>
      </c>
      <c r="R111" s="228">
        <v>379.15</v>
      </c>
      <c r="S111" s="228">
        <v>386.4</v>
      </c>
      <c r="T111" s="228">
        <v>-7.25</v>
      </c>
      <c r="U111" s="229">
        <v>-1.8800000000000001E-2</v>
      </c>
      <c r="V111" s="228">
        <v>381.05</v>
      </c>
      <c r="W111" s="228">
        <v>388.85</v>
      </c>
      <c r="X111" s="228">
        <v>-7.8</v>
      </c>
      <c r="Y111" s="229">
        <v>-2.01E-2</v>
      </c>
      <c r="Z111" s="228">
        <v>1.45</v>
      </c>
      <c r="AA111" s="228">
        <v>1</v>
      </c>
      <c r="AB111" s="228">
        <v>0.45</v>
      </c>
      <c r="AC111" s="229">
        <v>3.8999999999999998E-3</v>
      </c>
      <c r="AD111" s="228">
        <v>1.45</v>
      </c>
      <c r="AE111" s="228">
        <v>1</v>
      </c>
      <c r="AF111" s="228">
        <v>0.45</v>
      </c>
      <c r="AG111" s="229">
        <v>3.8999999999999998E-3</v>
      </c>
      <c r="AH111" s="228">
        <v>3.85</v>
      </c>
      <c r="AI111" s="228">
        <v>3.2</v>
      </c>
      <c r="AJ111" s="228">
        <v>0.65</v>
      </c>
      <c r="AK111" s="229">
        <v>1.03E-2</v>
      </c>
      <c r="AL111" s="228">
        <v>5.75</v>
      </c>
      <c r="AM111" s="228">
        <v>5.65</v>
      </c>
      <c r="AN111" s="228">
        <v>0.1</v>
      </c>
      <c r="AO111" s="229">
        <v>1.5299999999999999E-2</v>
      </c>
      <c r="AP111" s="228">
        <v>378.48</v>
      </c>
      <c r="AQ111" s="228">
        <v>380.73</v>
      </c>
      <c r="AR111" s="228">
        <v>0</v>
      </c>
      <c r="AS111" s="228">
        <v>959</v>
      </c>
      <c r="AT111" s="228">
        <v>702</v>
      </c>
      <c r="AU111" s="228">
        <v>256</v>
      </c>
      <c r="AV111" s="229">
        <v>0.3654</v>
      </c>
      <c r="AW111" s="228">
        <v>827</v>
      </c>
      <c r="AX111" s="228">
        <v>581</v>
      </c>
      <c r="AY111" s="228">
        <v>246</v>
      </c>
      <c r="AZ111" s="229">
        <v>0.42320000000000002</v>
      </c>
      <c r="BA111" s="228">
        <v>111</v>
      </c>
      <c r="BB111" s="228">
        <v>109</v>
      </c>
      <c r="BC111" s="228">
        <v>2</v>
      </c>
      <c r="BD111" s="229">
        <v>1.5800000000000002E-2</v>
      </c>
      <c r="BE111" s="228">
        <v>21</v>
      </c>
      <c r="BF111" s="228">
        <v>12</v>
      </c>
      <c r="BG111" s="228">
        <v>9</v>
      </c>
      <c r="BH111" s="229">
        <v>0.75800000000000001</v>
      </c>
      <c r="BI111" s="230">
        <v>1170</v>
      </c>
      <c r="BJ111" s="230">
        <v>1203</v>
      </c>
      <c r="BK111" s="228">
        <v>-33</v>
      </c>
      <c r="BL111" s="229">
        <v>-2.76E-2</v>
      </c>
      <c r="BM111" s="228">
        <v>730</v>
      </c>
      <c r="BN111" s="230">
        <v>1008</v>
      </c>
      <c r="BO111" s="228">
        <v>-278</v>
      </c>
      <c r="BP111" s="229">
        <v>-0.27550000000000002</v>
      </c>
      <c r="BQ111" s="230">
        <v>2859</v>
      </c>
      <c r="BR111" s="230">
        <v>2913</v>
      </c>
      <c r="BS111" s="228">
        <v>-54</v>
      </c>
      <c r="BT111" s="229">
        <v>-1.8700000000000001E-2</v>
      </c>
      <c r="BU111" s="230">
        <v>25386243</v>
      </c>
      <c r="BV111" s="230">
        <v>30300595</v>
      </c>
      <c r="BW111" s="230">
        <v>-4914352</v>
      </c>
      <c r="BX111" s="229">
        <v>-0.16220000000000001</v>
      </c>
      <c r="BY111" s="230">
        <v>8527</v>
      </c>
      <c r="BZ111" s="230">
        <v>8298</v>
      </c>
      <c r="CA111" s="228">
        <v>229</v>
      </c>
      <c r="CB111" s="229">
        <v>2.76E-2</v>
      </c>
      <c r="CC111" s="230">
        <v>8200</v>
      </c>
      <c r="CD111" s="230">
        <v>8042</v>
      </c>
      <c r="CE111" s="228">
        <v>158</v>
      </c>
      <c r="CF111" s="229">
        <v>1.9599999999999999E-2</v>
      </c>
      <c r="CG111" s="228">
        <v>283</v>
      </c>
      <c r="CH111" s="228">
        <v>223</v>
      </c>
      <c r="CI111" s="228">
        <v>60</v>
      </c>
      <c r="CJ111" s="229">
        <v>0.26919999999999999</v>
      </c>
      <c r="CK111" s="228">
        <v>45</v>
      </c>
      <c r="CL111" s="228">
        <v>33</v>
      </c>
      <c r="CM111" s="228">
        <v>12</v>
      </c>
      <c r="CN111" s="229">
        <v>0.34849999999999998</v>
      </c>
      <c r="CO111" s="230">
        <v>1458</v>
      </c>
      <c r="CP111" s="230">
        <v>1376</v>
      </c>
      <c r="CQ111" s="228">
        <v>82</v>
      </c>
      <c r="CR111" s="229">
        <v>5.9499999999999997E-2</v>
      </c>
      <c r="CS111" s="228">
        <v>938</v>
      </c>
      <c r="CT111" s="228">
        <v>916</v>
      </c>
      <c r="CU111" s="228">
        <v>21</v>
      </c>
      <c r="CV111" s="229">
        <v>2.3199999999999998E-2</v>
      </c>
      <c r="CW111" s="230">
        <v>10923</v>
      </c>
      <c r="CX111" s="230">
        <v>10590</v>
      </c>
      <c r="CY111" s="228">
        <v>332</v>
      </c>
      <c r="CZ111" s="229">
        <v>3.1399999999999997E-2</v>
      </c>
      <c r="DA111" s="228">
        <v>27.94</v>
      </c>
      <c r="DB111" s="228">
        <v>27.77</v>
      </c>
      <c r="DC111" s="228">
        <v>0.17</v>
      </c>
      <c r="DD111" s="228">
        <v>0.17</v>
      </c>
      <c r="DE111" s="228">
        <v>26.01</v>
      </c>
      <c r="DF111" s="228">
        <v>25.92</v>
      </c>
      <c r="DG111" s="228">
        <v>1.93</v>
      </c>
      <c r="DH111" s="228">
        <v>0.09</v>
      </c>
      <c r="DI111" s="228">
        <v>27.86</v>
      </c>
      <c r="DJ111" s="228">
        <v>27.2</v>
      </c>
      <c r="DK111" s="228">
        <v>0.66</v>
      </c>
      <c r="DL111" s="228">
        <v>0.66</v>
      </c>
      <c r="DM111" s="228">
        <v>28.07</v>
      </c>
      <c r="DN111" s="228">
        <v>28.46</v>
      </c>
      <c r="DO111" s="228">
        <v>-0.39</v>
      </c>
      <c r="DP111" s="228">
        <v>-0.39</v>
      </c>
      <c r="DQ111" s="228">
        <v>0.64</v>
      </c>
      <c r="DR111" s="228">
        <v>0.67</v>
      </c>
      <c r="DS111" s="228">
        <v>-0.03</v>
      </c>
      <c r="DT111" s="229">
        <v>-4.48E-2</v>
      </c>
      <c r="DU111" s="228">
        <v>440</v>
      </c>
      <c r="DV111" s="228">
        <v>400</v>
      </c>
      <c r="DW111" s="228">
        <v>0.62</v>
      </c>
      <c r="DX111" s="228">
        <v>0.84</v>
      </c>
      <c r="DY111" s="228">
        <v>-0.22</v>
      </c>
      <c r="DZ111" s="229">
        <v>-0.26190000000000002</v>
      </c>
      <c r="EA111" s="229">
        <v>3.8399999999999997E-2</v>
      </c>
      <c r="EB111" s="230">
        <v>6792000</v>
      </c>
      <c r="EC111" s="229">
        <v>6.4000000000000003E-3</v>
      </c>
      <c r="ED111" s="229">
        <v>3.8399999999999997E-2</v>
      </c>
      <c r="EE111" s="228">
        <v>2.25</v>
      </c>
      <c r="EF111" s="229">
        <v>5.8999999999999999E-3</v>
      </c>
      <c r="EG111" s="230">
        <v>17556728</v>
      </c>
      <c r="EH111" s="230">
        <v>22511430</v>
      </c>
      <c r="EI111" s="229">
        <v>-0.22009999999999999</v>
      </c>
      <c r="EJ111" s="229">
        <v>0.69159999999999999</v>
      </c>
      <c r="EK111" s="231">
        <v>1239.67</v>
      </c>
      <c r="EL111" s="228">
        <v>739.95</v>
      </c>
      <c r="EM111" s="228">
        <v>963.81</v>
      </c>
      <c r="EN111" s="228">
        <v>101.37</v>
      </c>
      <c r="EO111" s="231">
        <v>2943.43</v>
      </c>
      <c r="EP111" s="231">
        <v>3061.95</v>
      </c>
      <c r="EQ111" s="228">
        <v>-118.53</v>
      </c>
      <c r="ER111" s="229">
        <v>-3.8699999999999998E-2</v>
      </c>
      <c r="ES111" s="231">
        <v>1627.63</v>
      </c>
      <c r="ET111" s="228">
        <v>991.56</v>
      </c>
      <c r="EU111" s="231">
        <v>8529.75</v>
      </c>
      <c r="EV111" s="231">
        <v>781025350</v>
      </c>
      <c r="EW111" s="231">
        <v>11148.94</v>
      </c>
      <c r="EX111" s="231">
        <v>10984.51</v>
      </c>
      <c r="EY111" s="228">
        <v>164.43</v>
      </c>
      <c r="EZ111" s="229">
        <v>1.4999999999999999E-2</v>
      </c>
      <c r="FA111" s="229">
        <v>0.37119999999999997</v>
      </c>
      <c r="FB111" s="227" t="s">
        <v>567</v>
      </c>
      <c r="FC111">
        <f t="shared" si="1"/>
        <v>327</v>
      </c>
    </row>
    <row r="112" spans="1:159" ht="17.25" hidden="1" thickBot="1" x14ac:dyDescent="0.3">
      <c r="A112" s="226">
        <v>46093</v>
      </c>
      <c r="B112" s="227" t="s">
        <v>221</v>
      </c>
      <c r="C112" s="227" t="s">
        <v>577</v>
      </c>
      <c r="D112" s="228">
        <v>425</v>
      </c>
      <c r="E112" s="228">
        <v>18</v>
      </c>
      <c r="F112" s="228">
        <v>671.85</v>
      </c>
      <c r="G112" s="228">
        <v>684.35</v>
      </c>
      <c r="H112" s="228">
        <v>-12.5</v>
      </c>
      <c r="I112" s="229">
        <v>-1.83E-2</v>
      </c>
      <c r="J112" s="228">
        <v>671.25</v>
      </c>
      <c r="K112" s="228">
        <v>682.75</v>
      </c>
      <c r="L112" s="228">
        <v>-11.5</v>
      </c>
      <c r="M112" s="229">
        <v>-1.6799999999999999E-2</v>
      </c>
      <c r="N112" s="228">
        <v>671.85</v>
      </c>
      <c r="O112" s="228">
        <v>684.35</v>
      </c>
      <c r="P112" s="228">
        <v>-12.5</v>
      </c>
      <c r="Q112" s="229">
        <v>-1.83E-2</v>
      </c>
      <c r="R112" s="228">
        <v>674.15</v>
      </c>
      <c r="S112" s="228">
        <v>685.8</v>
      </c>
      <c r="T112" s="228">
        <v>-11.65</v>
      </c>
      <c r="U112" s="229">
        <v>-1.7000000000000001E-2</v>
      </c>
      <c r="V112" s="228">
        <v>680.15</v>
      </c>
      <c r="W112" s="228">
        <v>689.55</v>
      </c>
      <c r="X112" s="228">
        <v>-9.4</v>
      </c>
      <c r="Y112" s="229">
        <v>-1.3599999999999999E-2</v>
      </c>
      <c r="Z112" s="228">
        <v>0.6</v>
      </c>
      <c r="AA112" s="228">
        <v>1.6</v>
      </c>
      <c r="AB112" s="228">
        <v>-1</v>
      </c>
      <c r="AC112" s="229">
        <v>8.9999999999999998E-4</v>
      </c>
      <c r="AD112" s="228">
        <v>0.6</v>
      </c>
      <c r="AE112" s="228">
        <v>1.6</v>
      </c>
      <c r="AF112" s="228">
        <v>-1</v>
      </c>
      <c r="AG112" s="229">
        <v>8.9999999999999998E-4</v>
      </c>
      <c r="AH112" s="228">
        <v>2.9</v>
      </c>
      <c r="AI112" s="228">
        <v>3.05</v>
      </c>
      <c r="AJ112" s="228">
        <v>-0.15</v>
      </c>
      <c r="AK112" s="229">
        <v>4.3E-3</v>
      </c>
      <c r="AL112" s="228">
        <v>8.9</v>
      </c>
      <c r="AM112" s="228">
        <v>6.8</v>
      </c>
      <c r="AN112" s="228">
        <v>2.1</v>
      </c>
      <c r="AO112" s="229">
        <v>1.3299999999999999E-2</v>
      </c>
      <c r="AP112" s="228">
        <v>674.75</v>
      </c>
      <c r="AQ112" s="228">
        <v>676.67</v>
      </c>
      <c r="AR112" s="228">
        <v>0</v>
      </c>
      <c r="AS112" s="228">
        <v>72</v>
      </c>
      <c r="AT112" s="228">
        <v>102</v>
      </c>
      <c r="AU112" s="228">
        <v>-29</v>
      </c>
      <c r="AV112" s="229">
        <v>-0.2898</v>
      </c>
      <c r="AW112" s="228">
        <v>65</v>
      </c>
      <c r="AX112" s="228">
        <v>94</v>
      </c>
      <c r="AY112" s="228">
        <v>-29</v>
      </c>
      <c r="AZ112" s="229">
        <v>-0.30940000000000001</v>
      </c>
      <c r="BA112" s="228">
        <v>7</v>
      </c>
      <c r="BB112" s="228">
        <v>7</v>
      </c>
      <c r="BC112" s="228">
        <v>-1</v>
      </c>
      <c r="BD112" s="229">
        <v>-0.1124</v>
      </c>
      <c r="BE112" s="228">
        <v>1</v>
      </c>
      <c r="BF112" s="228">
        <v>1</v>
      </c>
      <c r="BG112" s="228">
        <v>0</v>
      </c>
      <c r="BH112" s="229">
        <v>0.54549999999999998</v>
      </c>
      <c r="BI112" s="228">
        <v>324</v>
      </c>
      <c r="BJ112" s="228">
        <v>434</v>
      </c>
      <c r="BK112" s="228">
        <v>-110</v>
      </c>
      <c r="BL112" s="229">
        <v>-0.25319999999999998</v>
      </c>
      <c r="BM112" s="228">
        <v>77</v>
      </c>
      <c r="BN112" s="228">
        <v>134</v>
      </c>
      <c r="BO112" s="228">
        <v>-58</v>
      </c>
      <c r="BP112" s="229">
        <v>-0.42899999999999999</v>
      </c>
      <c r="BQ112" s="228">
        <v>473</v>
      </c>
      <c r="BR112" s="228">
        <v>670</v>
      </c>
      <c r="BS112" s="228">
        <v>-197</v>
      </c>
      <c r="BT112" s="229">
        <v>-0.29399999999999998</v>
      </c>
      <c r="BU112" s="230">
        <v>1455591</v>
      </c>
      <c r="BV112" s="230">
        <v>1905964</v>
      </c>
      <c r="BW112" s="230">
        <v>-450373</v>
      </c>
      <c r="BX112" s="229">
        <v>-0.23630000000000001</v>
      </c>
      <c r="BY112" s="228">
        <v>534</v>
      </c>
      <c r="BZ112" s="228">
        <v>526</v>
      </c>
      <c r="CA112" s="228">
        <v>9</v>
      </c>
      <c r="CB112" s="229">
        <v>1.6799999999999999E-2</v>
      </c>
      <c r="CC112" s="228">
        <v>491</v>
      </c>
      <c r="CD112" s="228">
        <v>484</v>
      </c>
      <c r="CE112" s="228">
        <v>7</v>
      </c>
      <c r="CF112" s="229">
        <v>1.3899999999999999E-2</v>
      </c>
      <c r="CG112" s="228">
        <v>40</v>
      </c>
      <c r="CH112" s="228">
        <v>38</v>
      </c>
      <c r="CI112" s="228">
        <v>2</v>
      </c>
      <c r="CJ112" s="229">
        <v>4.8000000000000001E-2</v>
      </c>
      <c r="CK112" s="228">
        <v>4</v>
      </c>
      <c r="CL112" s="228">
        <v>4</v>
      </c>
      <c r="CM112" s="228">
        <v>0</v>
      </c>
      <c r="CN112" s="229">
        <v>7.0300000000000001E-2</v>
      </c>
      <c r="CO112" s="228">
        <v>402</v>
      </c>
      <c r="CP112" s="228">
        <v>361</v>
      </c>
      <c r="CQ112" s="228">
        <v>41</v>
      </c>
      <c r="CR112" s="229">
        <v>0.11260000000000001</v>
      </c>
      <c r="CS112" s="228">
        <v>201</v>
      </c>
      <c r="CT112" s="228">
        <v>200</v>
      </c>
      <c r="CU112" s="228">
        <v>2</v>
      </c>
      <c r="CV112" s="229">
        <v>7.7000000000000002E-3</v>
      </c>
      <c r="CW112" s="230">
        <v>1138</v>
      </c>
      <c r="CX112" s="230">
        <v>1087</v>
      </c>
      <c r="CY112" s="228">
        <v>51</v>
      </c>
      <c r="CZ112" s="229">
        <v>4.7E-2</v>
      </c>
      <c r="DA112" s="228">
        <v>48.59</v>
      </c>
      <c r="DB112" s="228">
        <v>46.39</v>
      </c>
      <c r="DC112" s="228">
        <v>2.2000000000000002</v>
      </c>
      <c r="DD112" s="228">
        <v>2.2000000000000002</v>
      </c>
      <c r="DE112" s="228">
        <v>44.17</v>
      </c>
      <c r="DF112" s="228">
        <v>44.21</v>
      </c>
      <c r="DG112" s="228">
        <v>4.42</v>
      </c>
      <c r="DH112" s="228">
        <v>-0.04</v>
      </c>
      <c r="DI112" s="228">
        <v>48.64</v>
      </c>
      <c r="DJ112" s="228">
        <v>46.42</v>
      </c>
      <c r="DK112" s="228">
        <v>2.2200000000000002</v>
      </c>
      <c r="DL112" s="228">
        <v>2.2200000000000002</v>
      </c>
      <c r="DM112" s="228">
        <v>48.38</v>
      </c>
      <c r="DN112" s="228">
        <v>46.28</v>
      </c>
      <c r="DO112" s="228">
        <v>2.1</v>
      </c>
      <c r="DP112" s="228">
        <v>2.1</v>
      </c>
      <c r="DQ112" s="228">
        <v>0.5</v>
      </c>
      <c r="DR112" s="228">
        <v>0.55000000000000004</v>
      </c>
      <c r="DS112" s="228">
        <v>-0.05</v>
      </c>
      <c r="DT112" s="229">
        <v>-9.0899999999999995E-2</v>
      </c>
      <c r="DU112" s="228">
        <v>800</v>
      </c>
      <c r="DV112" s="228">
        <v>800</v>
      </c>
      <c r="DW112" s="228">
        <v>0.24</v>
      </c>
      <c r="DX112" s="228">
        <v>0.31</v>
      </c>
      <c r="DY112" s="228">
        <v>-7.0000000000000007E-2</v>
      </c>
      <c r="DZ112" s="229">
        <v>-0.2258</v>
      </c>
      <c r="EA112" s="229">
        <v>8.2000000000000003E-2</v>
      </c>
      <c r="EB112" s="230">
        <v>620925</v>
      </c>
      <c r="EC112" s="229">
        <v>3.3999999999999998E-3</v>
      </c>
      <c r="ED112" s="229">
        <v>8.2000000000000003E-2</v>
      </c>
      <c r="EE112" s="228">
        <v>1.92</v>
      </c>
      <c r="EF112" s="229">
        <v>2.8E-3</v>
      </c>
      <c r="EG112" s="230">
        <v>593405</v>
      </c>
      <c r="EH112" s="230">
        <v>536888</v>
      </c>
      <c r="EI112" s="229">
        <v>0.1053</v>
      </c>
      <c r="EJ112" s="229">
        <v>0.40770000000000001</v>
      </c>
      <c r="EK112" s="228">
        <v>364.62</v>
      </c>
      <c r="EL112" s="228">
        <v>77.849999999999994</v>
      </c>
      <c r="EM112" s="228">
        <v>72.61</v>
      </c>
      <c r="EN112" s="228">
        <v>50.99</v>
      </c>
      <c r="EO112" s="228">
        <v>515.07000000000005</v>
      </c>
      <c r="EP112" s="228">
        <v>729.28</v>
      </c>
      <c r="EQ112" s="228">
        <v>-214.21</v>
      </c>
      <c r="ER112" s="229">
        <v>-0.29370000000000002</v>
      </c>
      <c r="ES112" s="228">
        <v>478.56</v>
      </c>
      <c r="ET112" s="228">
        <v>226.16</v>
      </c>
      <c r="EU112" s="228">
        <v>534.57000000000005</v>
      </c>
      <c r="EV112" s="231">
        <v>24589408</v>
      </c>
      <c r="EW112" s="231">
        <v>1239.28</v>
      </c>
      <c r="EX112" s="231">
        <v>1192.98</v>
      </c>
      <c r="EY112" s="228">
        <v>46.3</v>
      </c>
      <c r="EZ112" s="229">
        <v>3.8800000000000001E-2</v>
      </c>
      <c r="FA112" s="229">
        <v>0.68869999999999998</v>
      </c>
      <c r="FB112" s="227" t="s">
        <v>567</v>
      </c>
      <c r="FC112">
        <f t="shared" si="1"/>
        <v>43</v>
      </c>
    </row>
    <row r="113" spans="1:159" ht="17.25" hidden="1" thickBot="1" x14ac:dyDescent="0.3">
      <c r="A113" s="226">
        <v>46093</v>
      </c>
      <c r="B113" s="227" t="s">
        <v>170</v>
      </c>
      <c r="C113" s="227" t="s">
        <v>535</v>
      </c>
      <c r="D113" s="228">
        <v>850</v>
      </c>
      <c r="E113" s="228">
        <v>18</v>
      </c>
      <c r="F113" s="231">
        <v>1048.5</v>
      </c>
      <c r="G113" s="231">
        <v>1041.3</v>
      </c>
      <c r="H113" s="228">
        <v>7.2</v>
      </c>
      <c r="I113" s="229">
        <v>6.8999999999999999E-3</v>
      </c>
      <c r="J113" s="231">
        <v>1046.8</v>
      </c>
      <c r="K113" s="231">
        <v>1041</v>
      </c>
      <c r="L113" s="228">
        <v>5.8</v>
      </c>
      <c r="M113" s="229">
        <v>5.5999999999999999E-3</v>
      </c>
      <c r="N113" s="231">
        <v>1048.5</v>
      </c>
      <c r="O113" s="231">
        <v>1041.3</v>
      </c>
      <c r="P113" s="228">
        <v>7.2</v>
      </c>
      <c r="Q113" s="229">
        <v>6.8999999999999999E-3</v>
      </c>
      <c r="R113" s="231">
        <v>1055</v>
      </c>
      <c r="S113" s="231">
        <v>1047.8</v>
      </c>
      <c r="T113" s="228">
        <v>7.2</v>
      </c>
      <c r="U113" s="229">
        <v>6.8999999999999999E-3</v>
      </c>
      <c r="V113" s="231">
        <v>1055.0999999999999</v>
      </c>
      <c r="W113" s="231">
        <v>1054.5</v>
      </c>
      <c r="X113" s="228">
        <v>0.6</v>
      </c>
      <c r="Y113" s="229">
        <v>5.9999999999999995E-4</v>
      </c>
      <c r="Z113" s="228">
        <v>1.7</v>
      </c>
      <c r="AA113" s="228">
        <v>0.3</v>
      </c>
      <c r="AB113" s="228">
        <v>1.4</v>
      </c>
      <c r="AC113" s="229">
        <v>1.6000000000000001E-3</v>
      </c>
      <c r="AD113" s="228">
        <v>1.7</v>
      </c>
      <c r="AE113" s="228">
        <v>0.3</v>
      </c>
      <c r="AF113" s="228">
        <v>1.4</v>
      </c>
      <c r="AG113" s="229">
        <v>1.6000000000000001E-3</v>
      </c>
      <c r="AH113" s="228">
        <v>8.1999999999999993</v>
      </c>
      <c r="AI113" s="228">
        <v>6.8</v>
      </c>
      <c r="AJ113" s="228">
        <v>1.4</v>
      </c>
      <c r="AK113" s="229">
        <v>7.7999999999999996E-3</v>
      </c>
      <c r="AL113" s="228">
        <v>8.3000000000000007</v>
      </c>
      <c r="AM113" s="228">
        <v>13.5</v>
      </c>
      <c r="AN113" s="228">
        <v>-5.2</v>
      </c>
      <c r="AO113" s="229">
        <v>7.9000000000000008E-3</v>
      </c>
      <c r="AP113" s="231">
        <v>1037.9100000000001</v>
      </c>
      <c r="AQ113" s="231">
        <v>1042.8599999999999</v>
      </c>
      <c r="AR113" s="228">
        <v>0</v>
      </c>
      <c r="AS113" s="228">
        <v>363</v>
      </c>
      <c r="AT113" s="228">
        <v>497</v>
      </c>
      <c r="AU113" s="228">
        <v>-133</v>
      </c>
      <c r="AV113" s="229">
        <v>-0.26850000000000002</v>
      </c>
      <c r="AW113" s="228">
        <v>302</v>
      </c>
      <c r="AX113" s="228">
        <v>442</v>
      </c>
      <c r="AY113" s="228">
        <v>-141</v>
      </c>
      <c r="AZ113" s="229">
        <v>-0.31780000000000003</v>
      </c>
      <c r="BA113" s="228">
        <v>56</v>
      </c>
      <c r="BB113" s="228">
        <v>51</v>
      </c>
      <c r="BC113" s="228">
        <v>5</v>
      </c>
      <c r="BD113" s="229">
        <v>9.6199999999999994E-2</v>
      </c>
      <c r="BE113" s="228">
        <v>6</v>
      </c>
      <c r="BF113" s="228">
        <v>4</v>
      </c>
      <c r="BG113" s="228">
        <v>2</v>
      </c>
      <c r="BH113" s="229">
        <v>0.60980000000000001</v>
      </c>
      <c r="BI113" s="228">
        <v>892</v>
      </c>
      <c r="BJ113" s="230">
        <v>2023</v>
      </c>
      <c r="BK113" s="230">
        <v>-1130</v>
      </c>
      <c r="BL113" s="229">
        <v>-0.55879999999999996</v>
      </c>
      <c r="BM113" s="228">
        <v>318</v>
      </c>
      <c r="BN113" s="228">
        <v>714</v>
      </c>
      <c r="BO113" s="228">
        <v>-395</v>
      </c>
      <c r="BP113" s="229">
        <v>-0.55400000000000005</v>
      </c>
      <c r="BQ113" s="230">
        <v>1574</v>
      </c>
      <c r="BR113" s="230">
        <v>3233</v>
      </c>
      <c r="BS113" s="230">
        <v>-1659</v>
      </c>
      <c r="BT113" s="229">
        <v>-0.5131</v>
      </c>
      <c r="BU113" s="230">
        <v>1330495</v>
      </c>
      <c r="BV113" s="230">
        <v>1889275</v>
      </c>
      <c r="BW113" s="230">
        <v>-558780</v>
      </c>
      <c r="BX113" s="229">
        <v>-0.29580000000000001</v>
      </c>
      <c r="BY113" s="230">
        <v>2141</v>
      </c>
      <c r="BZ113" s="230">
        <v>2139</v>
      </c>
      <c r="CA113" s="228">
        <v>1</v>
      </c>
      <c r="CB113" s="229">
        <v>5.9999999999999995E-4</v>
      </c>
      <c r="CC113" s="230">
        <v>1984</v>
      </c>
      <c r="CD113" s="230">
        <v>1999</v>
      </c>
      <c r="CE113" s="228">
        <v>-15</v>
      </c>
      <c r="CF113" s="229">
        <v>-7.4000000000000003E-3</v>
      </c>
      <c r="CG113" s="228">
        <v>146</v>
      </c>
      <c r="CH113" s="228">
        <v>132</v>
      </c>
      <c r="CI113" s="228">
        <v>15</v>
      </c>
      <c r="CJ113" s="229">
        <v>0.1103</v>
      </c>
      <c r="CK113" s="228">
        <v>10</v>
      </c>
      <c r="CL113" s="228">
        <v>9</v>
      </c>
      <c r="CM113" s="228">
        <v>2</v>
      </c>
      <c r="CN113" s="229">
        <v>0.19389999999999999</v>
      </c>
      <c r="CO113" s="228">
        <v>942</v>
      </c>
      <c r="CP113" s="228">
        <v>922</v>
      </c>
      <c r="CQ113" s="228">
        <v>20</v>
      </c>
      <c r="CR113" s="229">
        <v>2.1700000000000001E-2</v>
      </c>
      <c r="CS113" s="228">
        <v>496</v>
      </c>
      <c r="CT113" s="228">
        <v>468</v>
      </c>
      <c r="CU113" s="228">
        <v>27</v>
      </c>
      <c r="CV113" s="229">
        <v>5.8599999999999999E-2</v>
      </c>
      <c r="CW113" s="230">
        <v>3578</v>
      </c>
      <c r="CX113" s="230">
        <v>3530</v>
      </c>
      <c r="CY113" s="228">
        <v>49</v>
      </c>
      <c r="CZ113" s="229">
        <v>1.38E-2</v>
      </c>
      <c r="DA113" s="228">
        <v>36.44</v>
      </c>
      <c r="DB113" s="228">
        <v>36.47</v>
      </c>
      <c r="DC113" s="228">
        <v>-0.03</v>
      </c>
      <c r="DD113" s="228">
        <v>-0.03</v>
      </c>
      <c r="DE113" s="228">
        <v>38.24</v>
      </c>
      <c r="DF113" s="228">
        <v>38.33</v>
      </c>
      <c r="DG113" s="228">
        <v>-1.8</v>
      </c>
      <c r="DH113" s="228">
        <v>-0.09</v>
      </c>
      <c r="DI113" s="228">
        <v>35.65</v>
      </c>
      <c r="DJ113" s="228">
        <v>36.22</v>
      </c>
      <c r="DK113" s="228">
        <v>-0.56999999999999995</v>
      </c>
      <c r="DL113" s="228">
        <v>-0.56999999999999995</v>
      </c>
      <c r="DM113" s="228">
        <v>38.65</v>
      </c>
      <c r="DN113" s="228">
        <v>37.18</v>
      </c>
      <c r="DO113" s="228">
        <v>1.47</v>
      </c>
      <c r="DP113" s="228">
        <v>1.47</v>
      </c>
      <c r="DQ113" s="228">
        <v>0.53</v>
      </c>
      <c r="DR113" s="228">
        <v>0.51</v>
      </c>
      <c r="DS113" s="228">
        <v>0.02</v>
      </c>
      <c r="DT113" s="229">
        <v>3.9199999999999999E-2</v>
      </c>
      <c r="DU113" s="231">
        <v>1100</v>
      </c>
      <c r="DV113" s="231">
        <v>1000</v>
      </c>
      <c r="DW113" s="228">
        <v>0.36</v>
      </c>
      <c r="DX113" s="228">
        <v>0.35</v>
      </c>
      <c r="DY113" s="228">
        <v>0.01</v>
      </c>
      <c r="DZ113" s="229">
        <v>2.86E-2</v>
      </c>
      <c r="EA113" s="229">
        <v>7.3200000000000001E-2</v>
      </c>
      <c r="EB113" s="230">
        <v>1339600</v>
      </c>
      <c r="EC113" s="229">
        <v>6.1999999999999998E-3</v>
      </c>
      <c r="ED113" s="229">
        <v>7.3200000000000001E-2</v>
      </c>
      <c r="EE113" s="228">
        <v>4.95</v>
      </c>
      <c r="EF113" s="229">
        <v>4.7999999999999996E-3</v>
      </c>
      <c r="EG113" s="230">
        <v>497010</v>
      </c>
      <c r="EH113" s="230">
        <v>661143</v>
      </c>
      <c r="EI113" s="229">
        <v>-0.24829999999999999</v>
      </c>
      <c r="EJ113" s="229">
        <v>0.37359999999999999</v>
      </c>
      <c r="EK113" s="228">
        <v>936.29</v>
      </c>
      <c r="EL113" s="228">
        <v>311.56</v>
      </c>
      <c r="EM113" s="228">
        <v>360.11</v>
      </c>
      <c r="EN113" s="228">
        <v>40.92</v>
      </c>
      <c r="EO113" s="231">
        <v>1607.97</v>
      </c>
      <c r="EP113" s="231">
        <v>3358.78</v>
      </c>
      <c r="EQ113" s="231">
        <v>-1750.81</v>
      </c>
      <c r="ER113" s="229">
        <v>-0.52129999999999999</v>
      </c>
      <c r="ES113" s="228">
        <v>981.06</v>
      </c>
      <c r="ET113" s="228">
        <v>483.63</v>
      </c>
      <c r="EU113" s="231">
        <v>2141.52</v>
      </c>
      <c r="EV113" s="231">
        <v>58629477</v>
      </c>
      <c r="EW113" s="231">
        <v>3606.2</v>
      </c>
      <c r="EX113" s="231">
        <v>3543.73</v>
      </c>
      <c r="EY113" s="228">
        <v>62.47</v>
      </c>
      <c r="EZ113" s="229">
        <v>1.7600000000000001E-2</v>
      </c>
      <c r="FA113" s="229">
        <v>0.58209999999999995</v>
      </c>
      <c r="FB113" s="227" t="s">
        <v>555</v>
      </c>
      <c r="FC113">
        <f t="shared" si="1"/>
        <v>157</v>
      </c>
    </row>
    <row r="114" spans="1:159" ht="17.25" hidden="1" thickBot="1" x14ac:dyDescent="0.3">
      <c r="A114" s="226">
        <v>46093</v>
      </c>
      <c r="B114" s="227" t="s">
        <v>175</v>
      </c>
      <c r="C114" s="227" t="s">
        <v>248</v>
      </c>
      <c r="D114" s="228">
        <v>1000</v>
      </c>
      <c r="E114" s="228">
        <v>18</v>
      </c>
      <c r="F114" s="228">
        <v>500.65</v>
      </c>
      <c r="G114" s="228">
        <v>506.25</v>
      </c>
      <c r="H114" s="228">
        <v>-5.6</v>
      </c>
      <c r="I114" s="229">
        <v>-1.11E-2</v>
      </c>
      <c r="J114" s="228">
        <v>498.5</v>
      </c>
      <c r="K114" s="228">
        <v>505.4</v>
      </c>
      <c r="L114" s="228">
        <v>-6.9</v>
      </c>
      <c r="M114" s="229">
        <v>-1.37E-2</v>
      </c>
      <c r="N114" s="228">
        <v>500.65</v>
      </c>
      <c r="O114" s="228">
        <v>506.25</v>
      </c>
      <c r="P114" s="228">
        <v>-5.6</v>
      </c>
      <c r="Q114" s="229">
        <v>-1.11E-2</v>
      </c>
      <c r="R114" s="228">
        <v>503.9</v>
      </c>
      <c r="S114" s="228">
        <v>508.8</v>
      </c>
      <c r="T114" s="228">
        <v>-4.9000000000000004</v>
      </c>
      <c r="U114" s="229">
        <v>-9.5999999999999992E-3</v>
      </c>
      <c r="V114" s="228">
        <v>507.5</v>
      </c>
      <c r="W114" s="228">
        <v>512.20000000000005</v>
      </c>
      <c r="X114" s="228">
        <v>-4.7</v>
      </c>
      <c r="Y114" s="229">
        <v>-9.1999999999999998E-3</v>
      </c>
      <c r="Z114" s="228">
        <v>2.15</v>
      </c>
      <c r="AA114" s="228">
        <v>0.85</v>
      </c>
      <c r="AB114" s="228">
        <v>1.3</v>
      </c>
      <c r="AC114" s="229">
        <v>4.3E-3</v>
      </c>
      <c r="AD114" s="228">
        <v>2.15</v>
      </c>
      <c r="AE114" s="228">
        <v>0.85</v>
      </c>
      <c r="AF114" s="228">
        <v>1.3</v>
      </c>
      <c r="AG114" s="229">
        <v>4.3E-3</v>
      </c>
      <c r="AH114" s="228">
        <v>5.4</v>
      </c>
      <c r="AI114" s="228">
        <v>3.4</v>
      </c>
      <c r="AJ114" s="228">
        <v>2</v>
      </c>
      <c r="AK114" s="229">
        <v>1.0800000000000001E-2</v>
      </c>
      <c r="AL114" s="228">
        <v>9</v>
      </c>
      <c r="AM114" s="228">
        <v>6.8</v>
      </c>
      <c r="AN114" s="228">
        <v>2.2000000000000002</v>
      </c>
      <c r="AO114" s="229">
        <v>1.8100000000000002E-2</v>
      </c>
      <c r="AP114" s="228">
        <v>501.81</v>
      </c>
      <c r="AQ114" s="228">
        <v>505.54</v>
      </c>
      <c r="AR114" s="228">
        <v>0</v>
      </c>
      <c r="AS114" s="228">
        <v>143</v>
      </c>
      <c r="AT114" s="228">
        <v>110</v>
      </c>
      <c r="AU114" s="228">
        <v>33</v>
      </c>
      <c r="AV114" s="229">
        <v>0.30180000000000001</v>
      </c>
      <c r="AW114" s="228">
        <v>117</v>
      </c>
      <c r="AX114" s="228">
        <v>94</v>
      </c>
      <c r="AY114" s="228">
        <v>23</v>
      </c>
      <c r="AZ114" s="229">
        <v>0.24610000000000001</v>
      </c>
      <c r="BA114" s="228">
        <v>24</v>
      </c>
      <c r="BB114" s="228">
        <v>11</v>
      </c>
      <c r="BC114" s="228">
        <v>13</v>
      </c>
      <c r="BD114" s="229">
        <v>1.2430000000000001</v>
      </c>
      <c r="BE114" s="228">
        <v>2</v>
      </c>
      <c r="BF114" s="228">
        <v>5</v>
      </c>
      <c r="BG114" s="228">
        <v>-3</v>
      </c>
      <c r="BH114" s="229">
        <v>-0.67679999999999996</v>
      </c>
      <c r="BI114" s="228">
        <v>211</v>
      </c>
      <c r="BJ114" s="228">
        <v>205</v>
      </c>
      <c r="BK114" s="228">
        <v>6</v>
      </c>
      <c r="BL114" s="229">
        <v>2.8799999999999999E-2</v>
      </c>
      <c r="BM114" s="228">
        <v>171</v>
      </c>
      <c r="BN114" s="228">
        <v>194</v>
      </c>
      <c r="BO114" s="228">
        <v>-23</v>
      </c>
      <c r="BP114" s="229">
        <v>-0.11899999999999999</v>
      </c>
      <c r="BQ114" s="228">
        <v>525</v>
      </c>
      <c r="BR114" s="228">
        <v>509</v>
      </c>
      <c r="BS114" s="228">
        <v>16</v>
      </c>
      <c r="BT114" s="229">
        <v>3.1199999999999999E-2</v>
      </c>
      <c r="BU114" s="230">
        <v>2570209</v>
      </c>
      <c r="BV114" s="230">
        <v>1278044</v>
      </c>
      <c r="BW114" s="230">
        <v>1292165</v>
      </c>
      <c r="BX114" s="229">
        <v>1.0109999999999999</v>
      </c>
      <c r="BY114" s="230">
        <v>1677</v>
      </c>
      <c r="BZ114" s="230">
        <v>1636</v>
      </c>
      <c r="CA114" s="228">
        <v>41</v>
      </c>
      <c r="CB114" s="229">
        <v>2.53E-2</v>
      </c>
      <c r="CC114" s="230">
        <v>1391</v>
      </c>
      <c r="CD114" s="230">
        <v>1359</v>
      </c>
      <c r="CE114" s="228">
        <v>32</v>
      </c>
      <c r="CF114" s="229">
        <v>2.35E-2</v>
      </c>
      <c r="CG114" s="228">
        <v>281</v>
      </c>
      <c r="CH114" s="228">
        <v>272</v>
      </c>
      <c r="CI114" s="228">
        <v>9</v>
      </c>
      <c r="CJ114" s="229">
        <v>3.4599999999999999E-2</v>
      </c>
      <c r="CK114" s="228">
        <v>5</v>
      </c>
      <c r="CL114" s="228">
        <v>6</v>
      </c>
      <c r="CM114" s="228">
        <v>0</v>
      </c>
      <c r="CN114" s="229">
        <v>-1.8200000000000001E-2</v>
      </c>
      <c r="CO114" s="228">
        <v>339</v>
      </c>
      <c r="CP114" s="228">
        <v>334</v>
      </c>
      <c r="CQ114" s="228">
        <v>5</v>
      </c>
      <c r="CR114" s="229">
        <v>1.5299999999999999E-2</v>
      </c>
      <c r="CS114" s="228">
        <v>329</v>
      </c>
      <c r="CT114" s="228">
        <v>303</v>
      </c>
      <c r="CU114" s="228">
        <v>26</v>
      </c>
      <c r="CV114" s="229">
        <v>8.6199999999999999E-2</v>
      </c>
      <c r="CW114" s="230">
        <v>2344</v>
      </c>
      <c r="CX114" s="230">
        <v>2272</v>
      </c>
      <c r="CY114" s="228">
        <v>72</v>
      </c>
      <c r="CZ114" s="229">
        <v>3.1899999999999998E-2</v>
      </c>
      <c r="DA114" s="228">
        <v>33.17</v>
      </c>
      <c r="DB114" s="228">
        <v>31.11</v>
      </c>
      <c r="DC114" s="228">
        <v>2.06</v>
      </c>
      <c r="DD114" s="228">
        <v>2.06</v>
      </c>
      <c r="DE114" s="228">
        <v>31.8</v>
      </c>
      <c r="DF114" s="228">
        <v>31.85</v>
      </c>
      <c r="DG114" s="228">
        <v>1.37</v>
      </c>
      <c r="DH114" s="228">
        <v>-0.05</v>
      </c>
      <c r="DI114" s="228">
        <v>30.92</v>
      </c>
      <c r="DJ114" s="228">
        <v>30.35</v>
      </c>
      <c r="DK114" s="228">
        <v>0.56999999999999995</v>
      </c>
      <c r="DL114" s="228">
        <v>0.56999999999999995</v>
      </c>
      <c r="DM114" s="228">
        <v>35.93</v>
      </c>
      <c r="DN114" s="228">
        <v>31.9</v>
      </c>
      <c r="DO114" s="228">
        <v>4.03</v>
      </c>
      <c r="DP114" s="228">
        <v>4.03</v>
      </c>
      <c r="DQ114" s="228">
        <v>0.97</v>
      </c>
      <c r="DR114" s="228">
        <v>0.91</v>
      </c>
      <c r="DS114" s="228">
        <v>0.06</v>
      </c>
      <c r="DT114" s="229">
        <v>6.59E-2</v>
      </c>
      <c r="DU114" s="228">
        <v>550</v>
      </c>
      <c r="DV114" s="228">
        <v>550</v>
      </c>
      <c r="DW114" s="228">
        <v>0.81</v>
      </c>
      <c r="DX114" s="228">
        <v>0.95</v>
      </c>
      <c r="DY114" s="228">
        <v>-0.14000000000000001</v>
      </c>
      <c r="DZ114" s="229">
        <v>-0.1474</v>
      </c>
      <c r="EA114" s="229">
        <v>0.1709</v>
      </c>
      <c r="EB114" s="230">
        <v>5537000</v>
      </c>
      <c r="EC114" s="229">
        <v>6.4999999999999997E-3</v>
      </c>
      <c r="ED114" s="229">
        <v>0.1709</v>
      </c>
      <c r="EE114" s="228">
        <v>3.73</v>
      </c>
      <c r="EF114" s="229">
        <v>7.4000000000000003E-3</v>
      </c>
      <c r="EG114" s="230">
        <v>1628082</v>
      </c>
      <c r="EH114" s="230">
        <v>672053</v>
      </c>
      <c r="EI114" s="229">
        <v>1.4226000000000001</v>
      </c>
      <c r="EJ114" s="229">
        <v>0.63339999999999996</v>
      </c>
      <c r="EK114" s="228">
        <v>223.52</v>
      </c>
      <c r="EL114" s="228">
        <v>167.23</v>
      </c>
      <c r="EM114" s="228">
        <v>143.26</v>
      </c>
      <c r="EN114" s="228">
        <v>46.25</v>
      </c>
      <c r="EO114" s="228">
        <v>534.01</v>
      </c>
      <c r="EP114" s="228">
        <v>532.11</v>
      </c>
      <c r="EQ114" s="228">
        <v>1.91</v>
      </c>
      <c r="ER114" s="229">
        <v>3.5999999999999999E-3</v>
      </c>
      <c r="ES114" s="228">
        <v>367.31</v>
      </c>
      <c r="ET114" s="228">
        <v>340.93</v>
      </c>
      <c r="EU114" s="231">
        <v>1678.93</v>
      </c>
      <c r="EV114" s="231">
        <v>45183075</v>
      </c>
      <c r="EW114" s="231">
        <v>2387.16</v>
      </c>
      <c r="EX114" s="231">
        <v>2336.08</v>
      </c>
      <c r="EY114" s="228">
        <v>51.08</v>
      </c>
      <c r="EZ114" s="229">
        <v>2.1899999999999999E-2</v>
      </c>
      <c r="FA114" s="229">
        <v>1.0364</v>
      </c>
      <c r="FB114" s="227" t="s">
        <v>567</v>
      </c>
      <c r="FC114">
        <f t="shared" si="1"/>
        <v>286</v>
      </c>
    </row>
    <row r="115" spans="1:159" ht="17.25" hidden="1" thickBot="1" x14ac:dyDescent="0.3">
      <c r="A115" s="226">
        <v>46093</v>
      </c>
      <c r="B115" s="227" t="s">
        <v>175</v>
      </c>
      <c r="C115" s="227" t="s">
        <v>607</v>
      </c>
      <c r="D115" s="228">
        <v>700</v>
      </c>
      <c r="E115" s="228">
        <v>18</v>
      </c>
      <c r="F115" s="228">
        <v>798.2</v>
      </c>
      <c r="G115" s="228">
        <v>801.5</v>
      </c>
      <c r="H115" s="228">
        <v>-3.3</v>
      </c>
      <c r="I115" s="229">
        <v>-4.1000000000000003E-3</v>
      </c>
      <c r="J115" s="228">
        <v>796.65</v>
      </c>
      <c r="K115" s="228">
        <v>802.4</v>
      </c>
      <c r="L115" s="228">
        <v>-5.75</v>
      </c>
      <c r="M115" s="229">
        <v>-7.1999999999999998E-3</v>
      </c>
      <c r="N115" s="228">
        <v>798.2</v>
      </c>
      <c r="O115" s="228">
        <v>801.5</v>
      </c>
      <c r="P115" s="228">
        <v>-3.3</v>
      </c>
      <c r="Q115" s="229">
        <v>-4.1000000000000003E-3</v>
      </c>
      <c r="R115" s="228">
        <v>802.5</v>
      </c>
      <c r="S115" s="228">
        <v>806.6</v>
      </c>
      <c r="T115" s="228">
        <v>-4.0999999999999996</v>
      </c>
      <c r="U115" s="229">
        <v>-5.1000000000000004E-3</v>
      </c>
      <c r="V115" s="228">
        <v>808.75</v>
      </c>
      <c r="W115" s="228">
        <v>811.05</v>
      </c>
      <c r="X115" s="228">
        <v>-2.2999999999999998</v>
      </c>
      <c r="Y115" s="229">
        <v>-2.8E-3</v>
      </c>
      <c r="Z115" s="228">
        <v>1.55</v>
      </c>
      <c r="AA115" s="228">
        <v>-0.9</v>
      </c>
      <c r="AB115" s="228">
        <v>2.4500000000000002</v>
      </c>
      <c r="AC115" s="229">
        <v>1.9E-3</v>
      </c>
      <c r="AD115" s="228">
        <v>1.55</v>
      </c>
      <c r="AE115" s="228">
        <v>-0.9</v>
      </c>
      <c r="AF115" s="228">
        <v>2.4500000000000002</v>
      </c>
      <c r="AG115" s="229">
        <v>1.9E-3</v>
      </c>
      <c r="AH115" s="228">
        <v>5.85</v>
      </c>
      <c r="AI115" s="228">
        <v>4.2</v>
      </c>
      <c r="AJ115" s="228">
        <v>1.65</v>
      </c>
      <c r="AK115" s="229">
        <v>7.3000000000000001E-3</v>
      </c>
      <c r="AL115" s="228">
        <v>12.1</v>
      </c>
      <c r="AM115" s="228">
        <v>8.65</v>
      </c>
      <c r="AN115" s="228">
        <v>3.45</v>
      </c>
      <c r="AO115" s="229">
        <v>1.52E-2</v>
      </c>
      <c r="AP115" s="228">
        <v>798.91</v>
      </c>
      <c r="AQ115" s="228">
        <v>802.99</v>
      </c>
      <c r="AR115" s="228">
        <v>0</v>
      </c>
      <c r="AS115" s="228">
        <v>96</v>
      </c>
      <c r="AT115" s="228">
        <v>121</v>
      </c>
      <c r="AU115" s="228">
        <v>-25</v>
      </c>
      <c r="AV115" s="229">
        <v>-0.20519999999999999</v>
      </c>
      <c r="AW115" s="228">
        <v>83</v>
      </c>
      <c r="AX115" s="228">
        <v>104</v>
      </c>
      <c r="AY115" s="228">
        <v>-21</v>
      </c>
      <c r="AZ115" s="229">
        <v>-0.20610000000000001</v>
      </c>
      <c r="BA115" s="228">
        <v>12</v>
      </c>
      <c r="BB115" s="228">
        <v>16</v>
      </c>
      <c r="BC115" s="228">
        <v>-4</v>
      </c>
      <c r="BD115" s="229">
        <v>-0.25259999999999999</v>
      </c>
      <c r="BE115" s="228">
        <v>1</v>
      </c>
      <c r="BF115" s="228">
        <v>1</v>
      </c>
      <c r="BG115" s="228">
        <v>1</v>
      </c>
      <c r="BH115" s="229">
        <v>1</v>
      </c>
      <c r="BI115" s="228">
        <v>177</v>
      </c>
      <c r="BJ115" s="228">
        <v>140</v>
      </c>
      <c r="BK115" s="228">
        <v>38</v>
      </c>
      <c r="BL115" s="229">
        <v>0.27050000000000002</v>
      </c>
      <c r="BM115" s="228">
        <v>91</v>
      </c>
      <c r="BN115" s="228">
        <v>80</v>
      </c>
      <c r="BO115" s="228">
        <v>11</v>
      </c>
      <c r="BP115" s="229">
        <v>0.13700000000000001</v>
      </c>
      <c r="BQ115" s="228">
        <v>365</v>
      </c>
      <c r="BR115" s="228">
        <v>341</v>
      </c>
      <c r="BS115" s="228">
        <v>24</v>
      </c>
      <c r="BT115" s="229">
        <v>7.0000000000000007E-2</v>
      </c>
      <c r="BU115" s="230">
        <v>831253</v>
      </c>
      <c r="BV115" s="230">
        <v>752586</v>
      </c>
      <c r="BW115" s="230">
        <v>78667</v>
      </c>
      <c r="BX115" s="229">
        <v>0.1045</v>
      </c>
      <c r="BY115" s="228">
        <v>797</v>
      </c>
      <c r="BZ115" s="228">
        <v>786</v>
      </c>
      <c r="CA115" s="228">
        <v>11</v>
      </c>
      <c r="CB115" s="229">
        <v>1.3599999999999999E-2</v>
      </c>
      <c r="CC115" s="228">
        <v>707</v>
      </c>
      <c r="CD115" s="228">
        <v>700</v>
      </c>
      <c r="CE115" s="228">
        <v>7</v>
      </c>
      <c r="CF115" s="229">
        <v>1.04E-2</v>
      </c>
      <c r="CG115" s="228">
        <v>85</v>
      </c>
      <c r="CH115" s="228">
        <v>82</v>
      </c>
      <c r="CI115" s="228">
        <v>3</v>
      </c>
      <c r="CJ115" s="229">
        <v>3.6799999999999999E-2</v>
      </c>
      <c r="CK115" s="228">
        <v>5</v>
      </c>
      <c r="CL115" s="228">
        <v>5</v>
      </c>
      <c r="CM115" s="228">
        <v>0</v>
      </c>
      <c r="CN115" s="229">
        <v>9.4100000000000003E-2</v>
      </c>
      <c r="CO115" s="228">
        <v>491</v>
      </c>
      <c r="CP115" s="228">
        <v>470</v>
      </c>
      <c r="CQ115" s="228">
        <v>21</v>
      </c>
      <c r="CR115" s="229">
        <v>4.4600000000000001E-2</v>
      </c>
      <c r="CS115" s="228">
        <v>240</v>
      </c>
      <c r="CT115" s="228">
        <v>228</v>
      </c>
      <c r="CU115" s="228">
        <v>12</v>
      </c>
      <c r="CV115" s="229">
        <v>5.28E-2</v>
      </c>
      <c r="CW115" s="230">
        <v>1528</v>
      </c>
      <c r="CX115" s="230">
        <v>1484</v>
      </c>
      <c r="CY115" s="228">
        <v>44</v>
      </c>
      <c r="CZ115" s="229">
        <v>2.9399999999999999E-2</v>
      </c>
      <c r="DA115" s="228">
        <v>26.68</v>
      </c>
      <c r="DB115" s="228">
        <v>26.98</v>
      </c>
      <c r="DC115" s="228">
        <v>-0.3</v>
      </c>
      <c r="DD115" s="228">
        <v>-0.3</v>
      </c>
      <c r="DE115" s="228">
        <v>30.48</v>
      </c>
      <c r="DF115" s="228">
        <v>30.56</v>
      </c>
      <c r="DG115" s="228">
        <v>-3.8</v>
      </c>
      <c r="DH115" s="228">
        <v>-0.08</v>
      </c>
      <c r="DI115" s="228">
        <v>26.87</v>
      </c>
      <c r="DJ115" s="228">
        <v>27.55</v>
      </c>
      <c r="DK115" s="228">
        <v>-0.68</v>
      </c>
      <c r="DL115" s="228">
        <v>-0.68</v>
      </c>
      <c r="DM115" s="228">
        <v>26.29</v>
      </c>
      <c r="DN115" s="228">
        <v>25.98</v>
      </c>
      <c r="DO115" s="228">
        <v>0.31</v>
      </c>
      <c r="DP115" s="228">
        <v>0.31</v>
      </c>
      <c r="DQ115" s="228">
        <v>0.49</v>
      </c>
      <c r="DR115" s="228">
        <v>0.48</v>
      </c>
      <c r="DS115" s="228">
        <v>0.01</v>
      </c>
      <c r="DT115" s="229">
        <v>2.0799999999999999E-2</v>
      </c>
      <c r="DU115" s="228">
        <v>900</v>
      </c>
      <c r="DV115" s="228">
        <v>800</v>
      </c>
      <c r="DW115" s="228">
        <v>0.51</v>
      </c>
      <c r="DX115" s="228">
        <v>0.56999999999999995</v>
      </c>
      <c r="DY115" s="228">
        <v>-0.06</v>
      </c>
      <c r="DZ115" s="229">
        <v>-0.1053</v>
      </c>
      <c r="EA115" s="229">
        <v>0.11310000000000001</v>
      </c>
      <c r="EB115" s="230">
        <v>1085700</v>
      </c>
      <c r="EC115" s="229">
        <v>5.4000000000000003E-3</v>
      </c>
      <c r="ED115" s="229">
        <v>0.11310000000000001</v>
      </c>
      <c r="EE115" s="228">
        <v>4.08</v>
      </c>
      <c r="EF115" s="229">
        <v>5.1000000000000004E-3</v>
      </c>
      <c r="EG115" s="230">
        <v>345130</v>
      </c>
      <c r="EH115" s="230">
        <v>393045</v>
      </c>
      <c r="EI115" s="229">
        <v>-0.12189999999999999</v>
      </c>
      <c r="EJ115" s="229">
        <v>0.41520000000000001</v>
      </c>
      <c r="EK115" s="228">
        <v>189.26</v>
      </c>
      <c r="EL115" s="228">
        <v>91.64</v>
      </c>
      <c r="EM115" s="228">
        <v>96.49</v>
      </c>
      <c r="EN115" s="228">
        <v>22.45</v>
      </c>
      <c r="EO115" s="228">
        <v>377.4</v>
      </c>
      <c r="EP115" s="228">
        <v>355.98</v>
      </c>
      <c r="EQ115" s="228">
        <v>21.42</v>
      </c>
      <c r="ER115" s="229">
        <v>6.0199999999999997E-2</v>
      </c>
      <c r="ES115" s="228">
        <v>553.24</v>
      </c>
      <c r="ET115" s="228">
        <v>246.81</v>
      </c>
      <c r="EU115" s="228">
        <v>797.62</v>
      </c>
      <c r="EV115" s="231">
        <v>33206238</v>
      </c>
      <c r="EW115" s="231">
        <v>1597.68</v>
      </c>
      <c r="EX115" s="231">
        <v>1557.08</v>
      </c>
      <c r="EY115" s="228">
        <v>40.6</v>
      </c>
      <c r="EZ115" s="229">
        <v>2.6100000000000002E-2</v>
      </c>
      <c r="FA115" s="229">
        <v>0.57650000000000001</v>
      </c>
      <c r="FB115" s="227" t="s">
        <v>567</v>
      </c>
      <c r="FC115">
        <f t="shared" si="1"/>
        <v>90</v>
      </c>
    </row>
    <row r="116" spans="1:159" ht="17.25" hidden="1" thickBot="1" x14ac:dyDescent="0.3">
      <c r="A116" s="226">
        <v>46093</v>
      </c>
      <c r="B116" s="227" t="s">
        <v>206</v>
      </c>
      <c r="C116" s="227" t="s">
        <v>588</v>
      </c>
      <c r="D116" s="228">
        <v>450</v>
      </c>
      <c r="E116" s="228">
        <v>18</v>
      </c>
      <c r="F116" s="228">
        <v>871.3</v>
      </c>
      <c r="G116" s="228">
        <v>881.35</v>
      </c>
      <c r="H116" s="228">
        <v>-10.050000000000001</v>
      </c>
      <c r="I116" s="229">
        <v>-1.14E-2</v>
      </c>
      <c r="J116" s="228">
        <v>869.05</v>
      </c>
      <c r="K116" s="228">
        <v>880.4</v>
      </c>
      <c r="L116" s="228">
        <v>-11.35</v>
      </c>
      <c r="M116" s="229">
        <v>-1.29E-2</v>
      </c>
      <c r="N116" s="228">
        <v>871.3</v>
      </c>
      <c r="O116" s="228">
        <v>881.35</v>
      </c>
      <c r="P116" s="228">
        <v>-10.050000000000001</v>
      </c>
      <c r="Q116" s="229">
        <v>-1.14E-2</v>
      </c>
      <c r="R116" s="228">
        <v>876.2</v>
      </c>
      <c r="S116" s="228">
        <v>888.55</v>
      </c>
      <c r="T116" s="228">
        <v>-12.35</v>
      </c>
      <c r="U116" s="229">
        <v>-1.3899999999999999E-2</v>
      </c>
      <c r="V116" s="228">
        <v>879.55</v>
      </c>
      <c r="W116" s="228">
        <v>895</v>
      </c>
      <c r="X116" s="228">
        <v>-15.45</v>
      </c>
      <c r="Y116" s="229">
        <v>-1.7299999999999999E-2</v>
      </c>
      <c r="Z116" s="228">
        <v>2.25</v>
      </c>
      <c r="AA116" s="228">
        <v>0.95</v>
      </c>
      <c r="AB116" s="228">
        <v>1.3</v>
      </c>
      <c r="AC116" s="229">
        <v>2.5999999999999999E-3</v>
      </c>
      <c r="AD116" s="228">
        <v>2.25</v>
      </c>
      <c r="AE116" s="228">
        <v>0.95</v>
      </c>
      <c r="AF116" s="228">
        <v>1.3</v>
      </c>
      <c r="AG116" s="229">
        <v>2.5999999999999999E-3</v>
      </c>
      <c r="AH116" s="228">
        <v>7.15</v>
      </c>
      <c r="AI116" s="228">
        <v>8.15</v>
      </c>
      <c r="AJ116" s="228">
        <v>-1</v>
      </c>
      <c r="AK116" s="229">
        <v>8.2000000000000007E-3</v>
      </c>
      <c r="AL116" s="228">
        <v>10.5</v>
      </c>
      <c r="AM116" s="228">
        <v>14.6</v>
      </c>
      <c r="AN116" s="228">
        <v>-4.0999999999999996</v>
      </c>
      <c r="AO116" s="229">
        <v>1.21E-2</v>
      </c>
      <c r="AP116" s="228">
        <v>874.85</v>
      </c>
      <c r="AQ116" s="228">
        <v>880.57</v>
      </c>
      <c r="AR116" s="228">
        <v>0</v>
      </c>
      <c r="AS116" s="228">
        <v>74</v>
      </c>
      <c r="AT116" s="228">
        <v>88</v>
      </c>
      <c r="AU116" s="228">
        <v>-14</v>
      </c>
      <c r="AV116" s="229">
        <v>-0.16209999999999999</v>
      </c>
      <c r="AW116" s="228">
        <v>68</v>
      </c>
      <c r="AX116" s="228">
        <v>83</v>
      </c>
      <c r="AY116" s="228">
        <v>-16</v>
      </c>
      <c r="AZ116" s="229">
        <v>-0.19040000000000001</v>
      </c>
      <c r="BA116" s="228">
        <v>6</v>
      </c>
      <c r="BB116" s="228">
        <v>4</v>
      </c>
      <c r="BC116" s="228">
        <v>2</v>
      </c>
      <c r="BD116" s="229">
        <v>0.48599999999999999</v>
      </c>
      <c r="BE116" s="228">
        <v>0</v>
      </c>
      <c r="BF116" s="228">
        <v>0</v>
      </c>
      <c r="BG116" s="228">
        <v>0</v>
      </c>
      <c r="BH116" s="229">
        <v>-0.91669999999999996</v>
      </c>
      <c r="BI116" s="228">
        <v>146</v>
      </c>
      <c r="BJ116" s="228">
        <v>162</v>
      </c>
      <c r="BK116" s="228">
        <v>-16</v>
      </c>
      <c r="BL116" s="229">
        <v>-9.7600000000000006E-2</v>
      </c>
      <c r="BM116" s="228">
        <v>80</v>
      </c>
      <c r="BN116" s="228">
        <v>75</v>
      </c>
      <c r="BO116" s="228">
        <v>5</v>
      </c>
      <c r="BP116" s="229">
        <v>6.7900000000000002E-2</v>
      </c>
      <c r="BQ116" s="228">
        <v>300</v>
      </c>
      <c r="BR116" s="228">
        <v>325</v>
      </c>
      <c r="BS116" s="228">
        <v>-25</v>
      </c>
      <c r="BT116" s="229">
        <v>-7.6899999999999996E-2</v>
      </c>
      <c r="BU116" s="230">
        <v>744898</v>
      </c>
      <c r="BV116" s="230">
        <v>699913</v>
      </c>
      <c r="BW116" s="230">
        <v>44985</v>
      </c>
      <c r="BX116" s="229">
        <v>6.4299999999999996E-2</v>
      </c>
      <c r="BY116" s="228">
        <v>854</v>
      </c>
      <c r="BZ116" s="228">
        <v>846</v>
      </c>
      <c r="CA116" s="228">
        <v>7</v>
      </c>
      <c r="CB116" s="229">
        <v>8.3000000000000001E-3</v>
      </c>
      <c r="CC116" s="228">
        <v>829</v>
      </c>
      <c r="CD116" s="228">
        <v>823</v>
      </c>
      <c r="CE116" s="228">
        <v>6</v>
      </c>
      <c r="CF116" s="229">
        <v>7.6E-3</v>
      </c>
      <c r="CG116" s="228">
        <v>21</v>
      </c>
      <c r="CH116" s="228">
        <v>20</v>
      </c>
      <c r="CI116" s="228">
        <v>1</v>
      </c>
      <c r="CJ116" s="229">
        <v>3.8899999999999997E-2</v>
      </c>
      <c r="CK116" s="228">
        <v>3</v>
      </c>
      <c r="CL116" s="228">
        <v>3</v>
      </c>
      <c r="CM116" s="228">
        <v>0</v>
      </c>
      <c r="CN116" s="229">
        <v>0</v>
      </c>
      <c r="CO116" s="228">
        <v>249</v>
      </c>
      <c r="CP116" s="228">
        <v>219</v>
      </c>
      <c r="CQ116" s="228">
        <v>30</v>
      </c>
      <c r="CR116" s="229">
        <v>0.1366</v>
      </c>
      <c r="CS116" s="228">
        <v>221</v>
      </c>
      <c r="CT116" s="228">
        <v>208</v>
      </c>
      <c r="CU116" s="228">
        <v>13</v>
      </c>
      <c r="CV116" s="229">
        <v>6.25E-2</v>
      </c>
      <c r="CW116" s="230">
        <v>1323</v>
      </c>
      <c r="CX116" s="230">
        <v>1273</v>
      </c>
      <c r="CY116" s="228">
        <v>50</v>
      </c>
      <c r="CZ116" s="229">
        <v>3.9199999999999999E-2</v>
      </c>
      <c r="DA116" s="228">
        <v>43.15</v>
      </c>
      <c r="DB116" s="228">
        <v>44.48</v>
      </c>
      <c r="DC116" s="228">
        <v>-1.33</v>
      </c>
      <c r="DD116" s="228">
        <v>-1.33</v>
      </c>
      <c r="DE116" s="228">
        <v>44.97</v>
      </c>
      <c r="DF116" s="228">
        <v>45.05</v>
      </c>
      <c r="DG116" s="228">
        <v>-1.82</v>
      </c>
      <c r="DH116" s="228">
        <v>-0.08</v>
      </c>
      <c r="DI116" s="228">
        <v>42.12</v>
      </c>
      <c r="DJ116" s="228">
        <v>43.59</v>
      </c>
      <c r="DK116" s="228">
        <v>-1.47</v>
      </c>
      <c r="DL116" s="228">
        <v>-1.47</v>
      </c>
      <c r="DM116" s="228">
        <v>45.03</v>
      </c>
      <c r="DN116" s="228">
        <v>46.41</v>
      </c>
      <c r="DO116" s="228">
        <v>-1.38</v>
      </c>
      <c r="DP116" s="228">
        <v>-1.38</v>
      </c>
      <c r="DQ116" s="228">
        <v>0.89</v>
      </c>
      <c r="DR116" s="228">
        <v>0.95</v>
      </c>
      <c r="DS116" s="228">
        <v>-0.06</v>
      </c>
      <c r="DT116" s="229">
        <v>-6.3200000000000006E-2</v>
      </c>
      <c r="DU116" s="231">
        <v>1000</v>
      </c>
      <c r="DV116" s="228">
        <v>870</v>
      </c>
      <c r="DW116" s="228">
        <v>0.55000000000000004</v>
      </c>
      <c r="DX116" s="228">
        <v>0.46</v>
      </c>
      <c r="DY116" s="228">
        <v>0.09</v>
      </c>
      <c r="DZ116" s="229">
        <v>0.19570000000000001</v>
      </c>
      <c r="EA116" s="229">
        <v>2.8199999999999999E-2</v>
      </c>
      <c r="EB116" s="230">
        <v>267300</v>
      </c>
      <c r="EC116" s="229">
        <v>5.5999999999999999E-3</v>
      </c>
      <c r="ED116" s="229">
        <v>2.8199999999999999E-2</v>
      </c>
      <c r="EE116" s="228">
        <v>5.72</v>
      </c>
      <c r="EF116" s="229">
        <v>6.4999999999999997E-3</v>
      </c>
      <c r="EG116" s="230">
        <v>351783</v>
      </c>
      <c r="EH116" s="230">
        <v>271006</v>
      </c>
      <c r="EI116" s="229">
        <v>0.29809999999999998</v>
      </c>
      <c r="EJ116" s="229">
        <v>0.4723</v>
      </c>
      <c r="EK116" s="228">
        <v>160.37</v>
      </c>
      <c r="EL116" s="228">
        <v>82.19</v>
      </c>
      <c r="EM116" s="228">
        <v>74.13</v>
      </c>
      <c r="EN116" s="228">
        <v>33</v>
      </c>
      <c r="EO116" s="228">
        <v>316.69</v>
      </c>
      <c r="EP116" s="228">
        <v>346.6</v>
      </c>
      <c r="EQ116" s="228">
        <v>-29.91</v>
      </c>
      <c r="ER116" s="229">
        <v>-8.6300000000000002E-2</v>
      </c>
      <c r="ES116" s="228">
        <v>284.67</v>
      </c>
      <c r="ET116" s="228">
        <v>236.26</v>
      </c>
      <c r="EU116" s="228">
        <v>853.68</v>
      </c>
      <c r="EV116" s="231">
        <v>42126960</v>
      </c>
      <c r="EW116" s="231">
        <v>1374.61</v>
      </c>
      <c r="EX116" s="231">
        <v>1332.91</v>
      </c>
      <c r="EY116" s="228">
        <v>41.7</v>
      </c>
      <c r="EZ116" s="229">
        <v>3.1300000000000001E-2</v>
      </c>
      <c r="FA116" s="229">
        <v>0.36059999999999998</v>
      </c>
      <c r="FB116" s="227" t="s">
        <v>567</v>
      </c>
      <c r="FC116">
        <f t="shared" si="1"/>
        <v>25</v>
      </c>
    </row>
    <row r="117" spans="1:159" ht="17.25" hidden="1" thickBot="1" x14ac:dyDescent="0.3">
      <c r="A117" s="226">
        <v>46093</v>
      </c>
      <c r="B117" s="227" t="s">
        <v>184</v>
      </c>
      <c r="C117" s="227" t="s">
        <v>249</v>
      </c>
      <c r="D117" s="228">
        <v>175</v>
      </c>
      <c r="E117" s="228">
        <v>18</v>
      </c>
      <c r="F117" s="231">
        <v>3730.9</v>
      </c>
      <c r="G117" s="231">
        <v>3843.2</v>
      </c>
      <c r="H117" s="228">
        <v>-112.3</v>
      </c>
      <c r="I117" s="229">
        <v>-2.92E-2</v>
      </c>
      <c r="J117" s="231">
        <v>3719.5</v>
      </c>
      <c r="K117" s="231">
        <v>3838.8</v>
      </c>
      <c r="L117" s="228">
        <v>-119.3</v>
      </c>
      <c r="M117" s="229">
        <v>-3.1099999999999999E-2</v>
      </c>
      <c r="N117" s="231">
        <v>3730.9</v>
      </c>
      <c r="O117" s="231">
        <v>3843.2</v>
      </c>
      <c r="P117" s="228">
        <v>-112.3</v>
      </c>
      <c r="Q117" s="229">
        <v>-2.92E-2</v>
      </c>
      <c r="R117" s="231">
        <v>3754.8</v>
      </c>
      <c r="S117" s="231">
        <v>3868.8</v>
      </c>
      <c r="T117" s="228">
        <v>-114</v>
      </c>
      <c r="U117" s="229">
        <v>-2.9499999999999998E-2</v>
      </c>
      <c r="V117" s="231">
        <v>3775.4</v>
      </c>
      <c r="W117" s="231">
        <v>3890</v>
      </c>
      <c r="X117" s="228">
        <v>-114.6</v>
      </c>
      <c r="Y117" s="229">
        <v>-2.9499999999999998E-2</v>
      </c>
      <c r="Z117" s="228">
        <v>11.4</v>
      </c>
      <c r="AA117" s="228">
        <v>4.4000000000000004</v>
      </c>
      <c r="AB117" s="228">
        <v>7</v>
      </c>
      <c r="AC117" s="229">
        <v>3.0999999999999999E-3</v>
      </c>
      <c r="AD117" s="228">
        <v>11.4</v>
      </c>
      <c r="AE117" s="228">
        <v>4.4000000000000004</v>
      </c>
      <c r="AF117" s="228">
        <v>7</v>
      </c>
      <c r="AG117" s="229">
        <v>3.0999999999999999E-3</v>
      </c>
      <c r="AH117" s="228">
        <v>35.299999999999997</v>
      </c>
      <c r="AI117" s="228">
        <v>30</v>
      </c>
      <c r="AJ117" s="228">
        <v>5.3</v>
      </c>
      <c r="AK117" s="229">
        <v>9.4999999999999998E-3</v>
      </c>
      <c r="AL117" s="228">
        <v>55.9</v>
      </c>
      <c r="AM117" s="228">
        <v>51.2</v>
      </c>
      <c r="AN117" s="228">
        <v>4.7</v>
      </c>
      <c r="AO117" s="229">
        <v>1.4999999999999999E-2</v>
      </c>
      <c r="AP117" s="231">
        <v>3769.12</v>
      </c>
      <c r="AQ117" s="231">
        <v>3798.72</v>
      </c>
      <c r="AR117" s="228">
        <v>0</v>
      </c>
      <c r="AS117" s="230">
        <v>1266</v>
      </c>
      <c r="AT117" s="228">
        <v>705</v>
      </c>
      <c r="AU117" s="228">
        <v>561</v>
      </c>
      <c r="AV117" s="229">
        <v>0.79569999999999996</v>
      </c>
      <c r="AW117" s="230">
        <v>1106</v>
      </c>
      <c r="AX117" s="228">
        <v>645</v>
      </c>
      <c r="AY117" s="228">
        <v>460</v>
      </c>
      <c r="AZ117" s="229">
        <v>0.71289999999999998</v>
      </c>
      <c r="BA117" s="228">
        <v>136</v>
      </c>
      <c r="BB117" s="228">
        <v>50</v>
      </c>
      <c r="BC117" s="228">
        <v>86</v>
      </c>
      <c r="BD117" s="229">
        <v>1.7178</v>
      </c>
      <c r="BE117" s="228">
        <v>24</v>
      </c>
      <c r="BF117" s="228">
        <v>9</v>
      </c>
      <c r="BG117" s="228">
        <v>15</v>
      </c>
      <c r="BH117" s="229">
        <v>1.5556000000000001</v>
      </c>
      <c r="BI117" s="230">
        <v>4315</v>
      </c>
      <c r="BJ117" s="230">
        <v>2271</v>
      </c>
      <c r="BK117" s="230">
        <v>2044</v>
      </c>
      <c r="BL117" s="229">
        <v>0.90010000000000001</v>
      </c>
      <c r="BM117" s="230">
        <v>2614</v>
      </c>
      <c r="BN117" s="230">
        <v>1450</v>
      </c>
      <c r="BO117" s="230">
        <v>1164</v>
      </c>
      <c r="BP117" s="229">
        <v>0.80310000000000004</v>
      </c>
      <c r="BQ117" s="230">
        <v>8195</v>
      </c>
      <c r="BR117" s="230">
        <v>4425</v>
      </c>
      <c r="BS117" s="230">
        <v>3769</v>
      </c>
      <c r="BT117" s="229">
        <v>0.85170000000000001</v>
      </c>
      <c r="BU117" s="230">
        <v>4627352</v>
      </c>
      <c r="BV117" s="230">
        <v>2167192</v>
      </c>
      <c r="BW117" s="230">
        <v>2460160</v>
      </c>
      <c r="BX117" s="229">
        <v>1.1352</v>
      </c>
      <c r="BY117" s="230">
        <v>5446</v>
      </c>
      <c r="BZ117" s="230">
        <v>5206</v>
      </c>
      <c r="CA117" s="228">
        <v>239</v>
      </c>
      <c r="CB117" s="229">
        <v>4.5999999999999999E-2</v>
      </c>
      <c r="CC117" s="230">
        <v>5080</v>
      </c>
      <c r="CD117" s="230">
        <v>4899</v>
      </c>
      <c r="CE117" s="228">
        <v>181</v>
      </c>
      <c r="CF117" s="229">
        <v>3.6999999999999998E-2</v>
      </c>
      <c r="CG117" s="228">
        <v>319</v>
      </c>
      <c r="CH117" s="228">
        <v>270</v>
      </c>
      <c r="CI117" s="228">
        <v>49</v>
      </c>
      <c r="CJ117" s="229">
        <v>0.1802</v>
      </c>
      <c r="CK117" s="228">
        <v>47</v>
      </c>
      <c r="CL117" s="228">
        <v>38</v>
      </c>
      <c r="CM117" s="228">
        <v>9</v>
      </c>
      <c r="CN117" s="229">
        <v>0.25169999999999998</v>
      </c>
      <c r="CO117" s="230">
        <v>4629</v>
      </c>
      <c r="CP117" s="230">
        <v>4272</v>
      </c>
      <c r="CQ117" s="228">
        <v>357</v>
      </c>
      <c r="CR117" s="229">
        <v>8.3599999999999994E-2</v>
      </c>
      <c r="CS117" s="230">
        <v>2419</v>
      </c>
      <c r="CT117" s="230">
        <v>2217</v>
      </c>
      <c r="CU117" s="228">
        <v>202</v>
      </c>
      <c r="CV117" s="229">
        <v>9.1200000000000003E-2</v>
      </c>
      <c r="CW117" s="230">
        <v>12494</v>
      </c>
      <c r="CX117" s="230">
        <v>11695</v>
      </c>
      <c r="CY117" s="228">
        <v>799</v>
      </c>
      <c r="CZ117" s="229">
        <v>6.83E-2</v>
      </c>
      <c r="DA117" s="228">
        <v>34.090000000000003</v>
      </c>
      <c r="DB117" s="228">
        <v>30.66</v>
      </c>
      <c r="DC117" s="228">
        <v>3.43</v>
      </c>
      <c r="DD117" s="228">
        <v>3.43</v>
      </c>
      <c r="DE117" s="228">
        <v>28.8</v>
      </c>
      <c r="DF117" s="228">
        <v>28.55</v>
      </c>
      <c r="DG117" s="228">
        <v>5.29</v>
      </c>
      <c r="DH117" s="228">
        <v>0.25</v>
      </c>
      <c r="DI117" s="228">
        <v>32.71</v>
      </c>
      <c r="DJ117" s="228">
        <v>29.24</v>
      </c>
      <c r="DK117" s="228">
        <v>3.47</v>
      </c>
      <c r="DL117" s="228">
        <v>3.47</v>
      </c>
      <c r="DM117" s="228">
        <v>36.380000000000003</v>
      </c>
      <c r="DN117" s="228">
        <v>32.880000000000003</v>
      </c>
      <c r="DO117" s="228">
        <v>3.5</v>
      </c>
      <c r="DP117" s="228">
        <v>3.5</v>
      </c>
      <c r="DQ117" s="228">
        <v>0.52</v>
      </c>
      <c r="DR117" s="228">
        <v>0.52</v>
      </c>
      <c r="DS117" s="228">
        <v>0</v>
      </c>
      <c r="DT117" s="229">
        <v>0</v>
      </c>
      <c r="DU117" s="231">
        <v>4000</v>
      </c>
      <c r="DV117" s="231">
        <v>3800</v>
      </c>
      <c r="DW117" s="228">
        <v>0.61</v>
      </c>
      <c r="DX117" s="228">
        <v>0.64</v>
      </c>
      <c r="DY117" s="228">
        <v>-0.03</v>
      </c>
      <c r="DZ117" s="229">
        <v>-4.6899999999999997E-2</v>
      </c>
      <c r="EA117" s="229">
        <v>6.7100000000000007E-2</v>
      </c>
      <c r="EB117" s="230">
        <v>824250</v>
      </c>
      <c r="EC117" s="229">
        <v>6.4000000000000003E-3</v>
      </c>
      <c r="ED117" s="229">
        <v>6.7100000000000007E-2</v>
      </c>
      <c r="EE117" s="228">
        <v>29.6</v>
      </c>
      <c r="EF117" s="229">
        <v>7.9000000000000008E-3</v>
      </c>
      <c r="EG117" s="230">
        <v>2462108</v>
      </c>
      <c r="EH117" s="230">
        <v>1259195</v>
      </c>
      <c r="EI117" s="229">
        <v>0.95530000000000004</v>
      </c>
      <c r="EJ117" s="229">
        <v>0.53210000000000002</v>
      </c>
      <c r="EK117" s="231">
        <v>4653.34</v>
      </c>
      <c r="EL117" s="231">
        <v>2621.42</v>
      </c>
      <c r="EM117" s="231">
        <v>1280.25</v>
      </c>
      <c r="EN117" s="228">
        <v>212.36</v>
      </c>
      <c r="EO117" s="231">
        <v>8555.02</v>
      </c>
      <c r="EP117" s="231">
        <v>4694.05</v>
      </c>
      <c r="EQ117" s="231">
        <v>3860.97</v>
      </c>
      <c r="ER117" s="229">
        <v>0.82250000000000001</v>
      </c>
      <c r="ES117" s="231">
        <v>5094.82</v>
      </c>
      <c r="ET117" s="231">
        <v>2506.11</v>
      </c>
      <c r="EU117" s="231">
        <v>5448.31</v>
      </c>
      <c r="EV117" s="231">
        <v>136109374</v>
      </c>
      <c r="EW117" s="231">
        <v>13049.24</v>
      </c>
      <c r="EX117" s="231">
        <v>12425.65</v>
      </c>
      <c r="EY117" s="228">
        <v>623.59</v>
      </c>
      <c r="EZ117" s="229">
        <v>5.0200000000000002E-2</v>
      </c>
      <c r="FA117" s="229">
        <v>0.246</v>
      </c>
      <c r="FB117" s="227" t="s">
        <v>567</v>
      </c>
      <c r="FC117">
        <f t="shared" si="1"/>
        <v>366</v>
      </c>
    </row>
    <row r="118" spans="1:159" ht="17.25" hidden="1" thickBot="1" x14ac:dyDescent="0.3">
      <c r="A118" s="226">
        <v>46093</v>
      </c>
      <c r="B118" s="227" t="s">
        <v>175</v>
      </c>
      <c r="C118" s="227" t="s">
        <v>565</v>
      </c>
      <c r="D118" s="228">
        <v>2250</v>
      </c>
      <c r="E118" s="228">
        <v>18</v>
      </c>
      <c r="F118" s="228">
        <v>265.45</v>
      </c>
      <c r="G118" s="228">
        <v>265.55</v>
      </c>
      <c r="H118" s="228">
        <v>-0.1</v>
      </c>
      <c r="I118" s="229">
        <v>-4.0000000000000002E-4</v>
      </c>
      <c r="J118" s="228">
        <v>265.5</v>
      </c>
      <c r="K118" s="228">
        <v>266.64999999999998</v>
      </c>
      <c r="L118" s="228">
        <v>-1.1499999999999999</v>
      </c>
      <c r="M118" s="229">
        <v>-4.3E-3</v>
      </c>
      <c r="N118" s="228">
        <v>265.45</v>
      </c>
      <c r="O118" s="228">
        <v>265.55</v>
      </c>
      <c r="P118" s="228">
        <v>-0.1</v>
      </c>
      <c r="Q118" s="229">
        <v>-4.0000000000000002E-4</v>
      </c>
      <c r="R118" s="228">
        <v>264.64999999999998</v>
      </c>
      <c r="S118" s="228">
        <v>265.14999999999998</v>
      </c>
      <c r="T118" s="228">
        <v>-0.5</v>
      </c>
      <c r="U118" s="229">
        <v>-1.9E-3</v>
      </c>
      <c r="V118" s="228">
        <v>264</v>
      </c>
      <c r="W118" s="228">
        <v>265.64999999999998</v>
      </c>
      <c r="X118" s="228">
        <v>-1.65</v>
      </c>
      <c r="Y118" s="229">
        <v>-6.1999999999999998E-3</v>
      </c>
      <c r="Z118" s="228">
        <v>-0.05</v>
      </c>
      <c r="AA118" s="228">
        <v>-1.1000000000000001</v>
      </c>
      <c r="AB118" s="228">
        <v>1.05</v>
      </c>
      <c r="AC118" s="229">
        <v>-2.0000000000000001E-4</v>
      </c>
      <c r="AD118" s="228">
        <v>-0.05</v>
      </c>
      <c r="AE118" s="228">
        <v>-1.1000000000000001</v>
      </c>
      <c r="AF118" s="228">
        <v>1.05</v>
      </c>
      <c r="AG118" s="229">
        <v>-2.0000000000000001E-4</v>
      </c>
      <c r="AH118" s="228">
        <v>-0.85</v>
      </c>
      <c r="AI118" s="228">
        <v>-1.5</v>
      </c>
      <c r="AJ118" s="228">
        <v>0.65</v>
      </c>
      <c r="AK118" s="229">
        <v>-3.2000000000000002E-3</v>
      </c>
      <c r="AL118" s="228">
        <v>-1.5</v>
      </c>
      <c r="AM118" s="228">
        <v>-1</v>
      </c>
      <c r="AN118" s="228">
        <v>-0.5</v>
      </c>
      <c r="AO118" s="229">
        <v>-5.5999999999999999E-3</v>
      </c>
      <c r="AP118" s="228">
        <v>265.66000000000003</v>
      </c>
      <c r="AQ118" s="228">
        <v>264.91000000000003</v>
      </c>
      <c r="AR118" s="228">
        <v>0</v>
      </c>
      <c r="AS118" s="228">
        <v>302</v>
      </c>
      <c r="AT118" s="228">
        <v>213</v>
      </c>
      <c r="AU118" s="228">
        <v>89</v>
      </c>
      <c r="AV118" s="229">
        <v>0.41889999999999999</v>
      </c>
      <c r="AW118" s="228">
        <v>268</v>
      </c>
      <c r="AX118" s="228">
        <v>182</v>
      </c>
      <c r="AY118" s="228">
        <v>86</v>
      </c>
      <c r="AZ118" s="229">
        <v>0.47549999999999998</v>
      </c>
      <c r="BA118" s="228">
        <v>32</v>
      </c>
      <c r="BB118" s="228">
        <v>30</v>
      </c>
      <c r="BC118" s="228">
        <v>2</v>
      </c>
      <c r="BD118" s="229">
        <v>8.1799999999999998E-2</v>
      </c>
      <c r="BE118" s="228">
        <v>2</v>
      </c>
      <c r="BF118" s="228">
        <v>2</v>
      </c>
      <c r="BG118" s="228">
        <v>0</v>
      </c>
      <c r="BH118" s="229">
        <v>0.29630000000000001</v>
      </c>
      <c r="BI118" s="228">
        <v>616</v>
      </c>
      <c r="BJ118" s="228">
        <v>616</v>
      </c>
      <c r="BK118" s="228">
        <v>1</v>
      </c>
      <c r="BL118" s="229">
        <v>1E-3</v>
      </c>
      <c r="BM118" s="228">
        <v>214</v>
      </c>
      <c r="BN118" s="228">
        <v>189</v>
      </c>
      <c r="BO118" s="228">
        <v>25</v>
      </c>
      <c r="BP118" s="229">
        <v>0.1323</v>
      </c>
      <c r="BQ118" s="230">
        <v>1133</v>
      </c>
      <c r="BR118" s="230">
        <v>1018</v>
      </c>
      <c r="BS118" s="228">
        <v>115</v>
      </c>
      <c r="BT118" s="229">
        <v>0.1129</v>
      </c>
      <c r="BU118" s="230">
        <v>3913118</v>
      </c>
      <c r="BV118" s="230">
        <v>2533081</v>
      </c>
      <c r="BW118" s="230">
        <v>1380037</v>
      </c>
      <c r="BX118" s="229">
        <v>0.54479999999999995</v>
      </c>
      <c r="BY118" s="230">
        <v>1608</v>
      </c>
      <c r="BZ118" s="230">
        <v>1637</v>
      </c>
      <c r="CA118" s="228">
        <v>-29</v>
      </c>
      <c r="CB118" s="229">
        <v>-1.78E-2</v>
      </c>
      <c r="CC118" s="230">
        <v>1481</v>
      </c>
      <c r="CD118" s="230">
        <v>1508</v>
      </c>
      <c r="CE118" s="228">
        <v>-27</v>
      </c>
      <c r="CF118" s="229">
        <v>-1.77E-2</v>
      </c>
      <c r="CG118" s="228">
        <v>116</v>
      </c>
      <c r="CH118" s="228">
        <v>119</v>
      </c>
      <c r="CI118" s="228">
        <v>-3</v>
      </c>
      <c r="CJ118" s="229">
        <v>-2.7099999999999999E-2</v>
      </c>
      <c r="CK118" s="228">
        <v>11</v>
      </c>
      <c r="CL118" s="228">
        <v>10</v>
      </c>
      <c r="CM118" s="228">
        <v>1</v>
      </c>
      <c r="CN118" s="229">
        <v>7.0199999999999999E-2</v>
      </c>
      <c r="CO118" s="230">
        <v>1056</v>
      </c>
      <c r="CP118" s="230">
        <v>1062</v>
      </c>
      <c r="CQ118" s="228">
        <v>-7</v>
      </c>
      <c r="CR118" s="229">
        <v>-6.1999999999999998E-3</v>
      </c>
      <c r="CS118" s="228">
        <v>536</v>
      </c>
      <c r="CT118" s="228">
        <v>532</v>
      </c>
      <c r="CU118" s="228">
        <v>3</v>
      </c>
      <c r="CV118" s="229">
        <v>6.3E-3</v>
      </c>
      <c r="CW118" s="230">
        <v>3199</v>
      </c>
      <c r="CX118" s="230">
        <v>3232</v>
      </c>
      <c r="CY118" s="228">
        <v>-32</v>
      </c>
      <c r="CZ118" s="229">
        <v>-0.01</v>
      </c>
      <c r="DA118" s="228">
        <v>40.64</v>
      </c>
      <c r="DB118" s="228">
        <v>41.87</v>
      </c>
      <c r="DC118" s="228">
        <v>-1.23</v>
      </c>
      <c r="DD118" s="228">
        <v>-1.23</v>
      </c>
      <c r="DE118" s="228">
        <v>38.659999999999997</v>
      </c>
      <c r="DF118" s="228">
        <v>38.76</v>
      </c>
      <c r="DG118" s="228">
        <v>1.98</v>
      </c>
      <c r="DH118" s="228">
        <v>-0.1</v>
      </c>
      <c r="DI118" s="228">
        <v>40.67</v>
      </c>
      <c r="DJ118" s="228">
        <v>42.38</v>
      </c>
      <c r="DK118" s="228">
        <v>-1.71</v>
      </c>
      <c r="DL118" s="228">
        <v>-1.71</v>
      </c>
      <c r="DM118" s="228">
        <v>40.549999999999997</v>
      </c>
      <c r="DN118" s="228">
        <v>40.18</v>
      </c>
      <c r="DO118" s="228">
        <v>0.37</v>
      </c>
      <c r="DP118" s="228">
        <v>0.37</v>
      </c>
      <c r="DQ118" s="228">
        <v>0.51</v>
      </c>
      <c r="DR118" s="228">
        <v>0.5</v>
      </c>
      <c r="DS118" s="228">
        <v>0.01</v>
      </c>
      <c r="DT118" s="229">
        <v>0.02</v>
      </c>
      <c r="DU118" s="228">
        <v>320</v>
      </c>
      <c r="DV118" s="228">
        <v>300</v>
      </c>
      <c r="DW118" s="228">
        <v>0.35</v>
      </c>
      <c r="DX118" s="228">
        <v>0.31</v>
      </c>
      <c r="DY118" s="228">
        <v>0.04</v>
      </c>
      <c r="DZ118" s="229">
        <v>0.129</v>
      </c>
      <c r="EA118" s="229">
        <v>7.8799999999999995E-2</v>
      </c>
      <c r="EB118" s="230">
        <v>4869000</v>
      </c>
      <c r="EC118" s="229">
        <v>-3.0000000000000001E-3</v>
      </c>
      <c r="ED118" s="229">
        <v>7.8799999999999995E-2</v>
      </c>
      <c r="EE118" s="228">
        <v>-0.75</v>
      </c>
      <c r="EF118" s="229">
        <v>-2.8E-3</v>
      </c>
      <c r="EG118" s="230">
        <v>1456067</v>
      </c>
      <c r="EH118" s="230">
        <v>1169007</v>
      </c>
      <c r="EI118" s="229">
        <v>0.24560000000000001</v>
      </c>
      <c r="EJ118" s="229">
        <v>0.37209999999999999</v>
      </c>
      <c r="EK118" s="228">
        <v>683.05</v>
      </c>
      <c r="EL118" s="228">
        <v>214.1</v>
      </c>
      <c r="EM118" s="228">
        <v>302.58999999999997</v>
      </c>
      <c r="EN118" s="228">
        <v>42.84</v>
      </c>
      <c r="EO118" s="231">
        <v>1199.75</v>
      </c>
      <c r="EP118" s="231">
        <v>1110.74</v>
      </c>
      <c r="EQ118" s="228">
        <v>89.01</v>
      </c>
      <c r="ER118" s="229">
        <v>8.0100000000000005E-2</v>
      </c>
      <c r="ES118" s="231">
        <v>1212.55</v>
      </c>
      <c r="ET118" s="228">
        <v>558.62</v>
      </c>
      <c r="EU118" s="231">
        <v>1607.72</v>
      </c>
      <c r="EV118" s="231">
        <v>127100972</v>
      </c>
      <c r="EW118" s="231">
        <v>3378.89</v>
      </c>
      <c r="EX118" s="231">
        <v>3414.14</v>
      </c>
      <c r="EY118" s="228">
        <v>-35.25</v>
      </c>
      <c r="EZ118" s="229">
        <v>-1.03E-2</v>
      </c>
      <c r="FA118" s="229">
        <v>0.94830000000000003</v>
      </c>
      <c r="FB118" s="227" t="s">
        <v>568</v>
      </c>
      <c r="FC118">
        <f t="shared" si="1"/>
        <v>127</v>
      </c>
    </row>
    <row r="119" spans="1:159" ht="17.25" hidden="1" thickBot="1" x14ac:dyDescent="0.3">
      <c r="A119" s="226">
        <v>46093</v>
      </c>
      <c r="B119" s="227" t="s">
        <v>221</v>
      </c>
      <c r="C119" s="227" t="s">
        <v>693</v>
      </c>
      <c r="D119" s="228">
        <v>150</v>
      </c>
      <c r="E119" s="228">
        <v>18</v>
      </c>
      <c r="F119" s="231">
        <v>4287.6000000000004</v>
      </c>
      <c r="G119" s="231">
        <v>4239</v>
      </c>
      <c r="H119" s="228">
        <v>48.6</v>
      </c>
      <c r="I119" s="229">
        <v>1.15E-2</v>
      </c>
      <c r="J119" s="231">
        <v>4323.6000000000004</v>
      </c>
      <c r="K119" s="231">
        <v>4262.7</v>
      </c>
      <c r="L119" s="228">
        <v>60.9</v>
      </c>
      <c r="M119" s="229">
        <v>1.43E-2</v>
      </c>
      <c r="N119" s="231">
        <v>4287.6000000000004</v>
      </c>
      <c r="O119" s="231">
        <v>4239</v>
      </c>
      <c r="P119" s="228">
        <v>48.6</v>
      </c>
      <c r="Q119" s="229">
        <v>1.15E-2</v>
      </c>
      <c r="R119" s="231">
        <v>4277.8</v>
      </c>
      <c r="S119" s="231">
        <v>4231.2</v>
      </c>
      <c r="T119" s="228">
        <v>46.6</v>
      </c>
      <c r="U119" s="229">
        <v>1.0999999999999999E-2</v>
      </c>
      <c r="V119" s="231">
        <v>4260</v>
      </c>
      <c r="W119" s="231">
        <v>4271</v>
      </c>
      <c r="X119" s="228">
        <v>-11</v>
      </c>
      <c r="Y119" s="229">
        <v>-2.5999999999999999E-3</v>
      </c>
      <c r="Z119" s="228">
        <v>-36</v>
      </c>
      <c r="AA119" s="228">
        <v>-23.7</v>
      </c>
      <c r="AB119" s="228">
        <v>-12.3</v>
      </c>
      <c r="AC119" s="229">
        <v>-8.3000000000000001E-3</v>
      </c>
      <c r="AD119" s="228">
        <v>-36</v>
      </c>
      <c r="AE119" s="228">
        <v>-23.7</v>
      </c>
      <c r="AF119" s="228">
        <v>-12.3</v>
      </c>
      <c r="AG119" s="229">
        <v>-8.3000000000000001E-3</v>
      </c>
      <c r="AH119" s="228">
        <v>-45.8</v>
      </c>
      <c r="AI119" s="228">
        <v>-31.5</v>
      </c>
      <c r="AJ119" s="228">
        <v>-14.3</v>
      </c>
      <c r="AK119" s="229">
        <v>-1.06E-2</v>
      </c>
      <c r="AL119" s="228">
        <v>-63.6</v>
      </c>
      <c r="AM119" s="228">
        <v>8.3000000000000007</v>
      </c>
      <c r="AN119" s="228">
        <v>-71.900000000000006</v>
      </c>
      <c r="AO119" s="229">
        <v>-1.47E-2</v>
      </c>
      <c r="AP119" s="231">
        <v>4285.7299999999996</v>
      </c>
      <c r="AQ119" s="231">
        <v>4283.1400000000003</v>
      </c>
      <c r="AR119" s="228">
        <v>0</v>
      </c>
      <c r="AS119" s="228">
        <v>230</v>
      </c>
      <c r="AT119" s="228">
        <v>156</v>
      </c>
      <c r="AU119" s="228">
        <v>74</v>
      </c>
      <c r="AV119" s="229">
        <v>0.47</v>
      </c>
      <c r="AW119" s="228">
        <v>177</v>
      </c>
      <c r="AX119" s="228">
        <v>142</v>
      </c>
      <c r="AY119" s="228">
        <v>35</v>
      </c>
      <c r="AZ119" s="229">
        <v>0.24340000000000001</v>
      </c>
      <c r="BA119" s="228">
        <v>51</v>
      </c>
      <c r="BB119" s="228">
        <v>14</v>
      </c>
      <c r="BC119" s="228">
        <v>37</v>
      </c>
      <c r="BD119" s="229">
        <v>2.75</v>
      </c>
      <c r="BE119" s="228">
        <v>2</v>
      </c>
      <c r="BF119" s="228">
        <v>1</v>
      </c>
      <c r="BG119" s="228">
        <v>1</v>
      </c>
      <c r="BH119" s="229">
        <v>2.2000000000000002</v>
      </c>
      <c r="BI119" s="228">
        <v>430</v>
      </c>
      <c r="BJ119" s="228">
        <v>385</v>
      </c>
      <c r="BK119" s="228">
        <v>45</v>
      </c>
      <c r="BL119" s="229">
        <v>0.1173</v>
      </c>
      <c r="BM119" s="228">
        <v>177</v>
      </c>
      <c r="BN119" s="228">
        <v>158</v>
      </c>
      <c r="BO119" s="228">
        <v>19</v>
      </c>
      <c r="BP119" s="229">
        <v>0.1236</v>
      </c>
      <c r="BQ119" s="228">
        <v>837</v>
      </c>
      <c r="BR119" s="228">
        <v>699</v>
      </c>
      <c r="BS119" s="228">
        <v>138</v>
      </c>
      <c r="BT119" s="229">
        <v>0.1976</v>
      </c>
      <c r="BU119" s="230">
        <v>229386</v>
      </c>
      <c r="BV119" s="230">
        <v>186094</v>
      </c>
      <c r="BW119" s="230">
        <v>43292</v>
      </c>
      <c r="BX119" s="229">
        <v>0.2326</v>
      </c>
      <c r="BY119" s="230">
        <v>1513</v>
      </c>
      <c r="BZ119" s="230">
        <v>1451</v>
      </c>
      <c r="CA119" s="228">
        <v>62</v>
      </c>
      <c r="CB119" s="229">
        <v>4.2900000000000001E-2</v>
      </c>
      <c r="CC119" s="230">
        <v>1427</v>
      </c>
      <c r="CD119" s="230">
        <v>1401</v>
      </c>
      <c r="CE119" s="228">
        <v>26</v>
      </c>
      <c r="CF119" s="229">
        <v>1.89E-2</v>
      </c>
      <c r="CG119" s="228">
        <v>82</v>
      </c>
      <c r="CH119" s="228">
        <v>47</v>
      </c>
      <c r="CI119" s="228">
        <v>35</v>
      </c>
      <c r="CJ119" s="229">
        <v>0.74550000000000005</v>
      </c>
      <c r="CK119" s="228">
        <v>4</v>
      </c>
      <c r="CL119" s="228">
        <v>3</v>
      </c>
      <c r="CM119" s="228">
        <v>1</v>
      </c>
      <c r="CN119" s="229">
        <v>0.28000000000000003</v>
      </c>
      <c r="CO119" s="228">
        <v>585</v>
      </c>
      <c r="CP119" s="228">
        <v>611</v>
      </c>
      <c r="CQ119" s="228">
        <v>-26</v>
      </c>
      <c r="CR119" s="229">
        <v>-4.2000000000000003E-2</v>
      </c>
      <c r="CS119" s="228">
        <v>385</v>
      </c>
      <c r="CT119" s="228">
        <v>377</v>
      </c>
      <c r="CU119" s="228">
        <v>8</v>
      </c>
      <c r="CV119" s="229">
        <v>2.0500000000000001E-2</v>
      </c>
      <c r="CW119" s="230">
        <v>2483</v>
      </c>
      <c r="CX119" s="230">
        <v>2439</v>
      </c>
      <c r="CY119" s="228">
        <v>44</v>
      </c>
      <c r="CZ119" s="229">
        <v>1.8200000000000001E-2</v>
      </c>
      <c r="DA119" s="228">
        <v>35.15</v>
      </c>
      <c r="DB119" s="228">
        <v>37.04</v>
      </c>
      <c r="DC119" s="228">
        <v>-1.89</v>
      </c>
      <c r="DD119" s="228">
        <v>-1.89</v>
      </c>
      <c r="DE119" s="228">
        <v>34.409999999999997</v>
      </c>
      <c r="DF119" s="228">
        <v>34.46</v>
      </c>
      <c r="DG119" s="228">
        <v>0.74</v>
      </c>
      <c r="DH119" s="228">
        <v>-0.05</v>
      </c>
      <c r="DI119" s="228">
        <v>34.64</v>
      </c>
      <c r="DJ119" s="228">
        <v>36.79</v>
      </c>
      <c r="DK119" s="228">
        <v>-2.15</v>
      </c>
      <c r="DL119" s="228">
        <v>-2.15</v>
      </c>
      <c r="DM119" s="228">
        <v>36.4</v>
      </c>
      <c r="DN119" s="228">
        <v>37.659999999999997</v>
      </c>
      <c r="DO119" s="228">
        <v>-1.26</v>
      </c>
      <c r="DP119" s="228">
        <v>-1.26</v>
      </c>
      <c r="DQ119" s="228">
        <v>0.66</v>
      </c>
      <c r="DR119" s="228">
        <v>0.62</v>
      </c>
      <c r="DS119" s="228">
        <v>0.04</v>
      </c>
      <c r="DT119" s="229">
        <v>6.4500000000000002E-2</v>
      </c>
      <c r="DU119" s="231">
        <v>5000</v>
      </c>
      <c r="DV119" s="231">
        <v>4300</v>
      </c>
      <c r="DW119" s="228">
        <v>0.41</v>
      </c>
      <c r="DX119" s="228">
        <v>0.41</v>
      </c>
      <c r="DY119" s="228">
        <v>0</v>
      </c>
      <c r="DZ119" s="229">
        <v>0</v>
      </c>
      <c r="EA119" s="229">
        <v>5.67E-2</v>
      </c>
      <c r="EB119" s="230">
        <v>116550</v>
      </c>
      <c r="EC119" s="229">
        <v>-2.3E-3</v>
      </c>
      <c r="ED119" s="229">
        <v>5.67E-2</v>
      </c>
      <c r="EE119" s="228">
        <v>-2.59</v>
      </c>
      <c r="EF119" s="229">
        <v>-5.9999999999999995E-4</v>
      </c>
      <c r="EG119" s="230">
        <v>106993</v>
      </c>
      <c r="EH119" s="230">
        <v>99488</v>
      </c>
      <c r="EI119" s="229">
        <v>7.5399999999999995E-2</v>
      </c>
      <c r="EJ119" s="229">
        <v>0.46639999999999998</v>
      </c>
      <c r="EK119" s="228">
        <v>460.81</v>
      </c>
      <c r="EL119" s="228">
        <v>178.13</v>
      </c>
      <c r="EM119" s="228">
        <v>229.78</v>
      </c>
      <c r="EN119" s="228">
        <v>25.93</v>
      </c>
      <c r="EO119" s="228">
        <v>868.71</v>
      </c>
      <c r="EP119" s="228">
        <v>726.11</v>
      </c>
      <c r="EQ119" s="228">
        <v>142.6</v>
      </c>
      <c r="ER119" s="229">
        <v>0.19639999999999999</v>
      </c>
      <c r="ES119" s="228">
        <v>668.61</v>
      </c>
      <c r="ET119" s="228">
        <v>400.41</v>
      </c>
      <c r="EU119" s="231">
        <v>1512.9</v>
      </c>
      <c r="EV119" s="231">
        <v>9672091</v>
      </c>
      <c r="EW119" s="231">
        <v>2581.92</v>
      </c>
      <c r="EX119" s="231">
        <v>2527.04</v>
      </c>
      <c r="EY119" s="228">
        <v>54.88</v>
      </c>
      <c r="EZ119" s="229">
        <v>2.1700000000000001E-2</v>
      </c>
      <c r="FA119" s="229">
        <v>0.59870000000000001</v>
      </c>
      <c r="FB119" s="227" t="s">
        <v>555</v>
      </c>
      <c r="FC119">
        <f t="shared" si="1"/>
        <v>86</v>
      </c>
    </row>
    <row r="120" spans="1:159" ht="17.25" hidden="1" thickBot="1" x14ac:dyDescent="0.3">
      <c r="A120" s="226">
        <v>46093</v>
      </c>
      <c r="B120" s="227" t="s">
        <v>170</v>
      </c>
      <c r="C120" s="227" t="s">
        <v>250</v>
      </c>
      <c r="D120" s="228">
        <v>425</v>
      </c>
      <c r="E120" s="228">
        <v>18</v>
      </c>
      <c r="F120" s="231">
        <v>2359</v>
      </c>
      <c r="G120" s="231">
        <v>2348.8000000000002</v>
      </c>
      <c r="H120" s="228">
        <v>10.199999999999999</v>
      </c>
      <c r="I120" s="229">
        <v>4.3E-3</v>
      </c>
      <c r="J120" s="231">
        <v>2357.3000000000002</v>
      </c>
      <c r="K120" s="231">
        <v>2344.6</v>
      </c>
      <c r="L120" s="228">
        <v>12.7</v>
      </c>
      <c r="M120" s="229">
        <v>5.4000000000000003E-3</v>
      </c>
      <c r="N120" s="231">
        <v>2359</v>
      </c>
      <c r="O120" s="231">
        <v>2348.8000000000002</v>
      </c>
      <c r="P120" s="228">
        <v>10.199999999999999</v>
      </c>
      <c r="Q120" s="229">
        <v>4.3E-3</v>
      </c>
      <c r="R120" s="231">
        <v>2373.4</v>
      </c>
      <c r="S120" s="231">
        <v>2363.1999999999998</v>
      </c>
      <c r="T120" s="228">
        <v>10.199999999999999</v>
      </c>
      <c r="U120" s="229">
        <v>4.3E-3</v>
      </c>
      <c r="V120" s="231">
        <v>2384.1</v>
      </c>
      <c r="W120" s="231">
        <v>2376.1</v>
      </c>
      <c r="X120" s="228">
        <v>8</v>
      </c>
      <c r="Y120" s="229">
        <v>3.3999999999999998E-3</v>
      </c>
      <c r="Z120" s="228">
        <v>1.7</v>
      </c>
      <c r="AA120" s="228">
        <v>4.2</v>
      </c>
      <c r="AB120" s="228">
        <v>-2.5</v>
      </c>
      <c r="AC120" s="229">
        <v>6.9999999999999999E-4</v>
      </c>
      <c r="AD120" s="228">
        <v>1.7</v>
      </c>
      <c r="AE120" s="228">
        <v>4.2</v>
      </c>
      <c r="AF120" s="228">
        <v>-2.5</v>
      </c>
      <c r="AG120" s="229">
        <v>6.9999999999999999E-4</v>
      </c>
      <c r="AH120" s="228">
        <v>16.100000000000001</v>
      </c>
      <c r="AI120" s="228">
        <v>18.600000000000001</v>
      </c>
      <c r="AJ120" s="228">
        <v>-2.5</v>
      </c>
      <c r="AK120" s="229">
        <v>6.7999999999999996E-3</v>
      </c>
      <c r="AL120" s="228">
        <v>26.8</v>
      </c>
      <c r="AM120" s="228">
        <v>31.5</v>
      </c>
      <c r="AN120" s="228">
        <v>-4.7</v>
      </c>
      <c r="AO120" s="229">
        <v>1.14E-2</v>
      </c>
      <c r="AP120" s="231">
        <v>2342.94</v>
      </c>
      <c r="AQ120" s="231">
        <v>2348.66</v>
      </c>
      <c r="AR120" s="228">
        <v>0</v>
      </c>
      <c r="AS120" s="228">
        <v>315</v>
      </c>
      <c r="AT120" s="228">
        <v>447</v>
      </c>
      <c r="AU120" s="228">
        <v>-132</v>
      </c>
      <c r="AV120" s="229">
        <v>-0.29620000000000002</v>
      </c>
      <c r="AW120" s="228">
        <v>296</v>
      </c>
      <c r="AX120" s="228">
        <v>421</v>
      </c>
      <c r="AY120" s="228">
        <v>-125</v>
      </c>
      <c r="AZ120" s="229">
        <v>-0.29649999999999999</v>
      </c>
      <c r="BA120" s="228">
        <v>15</v>
      </c>
      <c r="BB120" s="228">
        <v>21</v>
      </c>
      <c r="BC120" s="228">
        <v>-6</v>
      </c>
      <c r="BD120" s="229">
        <v>-0.30049999999999999</v>
      </c>
      <c r="BE120" s="228">
        <v>3</v>
      </c>
      <c r="BF120" s="228">
        <v>4</v>
      </c>
      <c r="BG120" s="228">
        <v>-1</v>
      </c>
      <c r="BH120" s="229">
        <v>-0.24390000000000001</v>
      </c>
      <c r="BI120" s="230">
        <v>1030</v>
      </c>
      <c r="BJ120" s="230">
        <v>2098</v>
      </c>
      <c r="BK120" s="230">
        <v>-1069</v>
      </c>
      <c r="BL120" s="229">
        <v>-0.50939999999999996</v>
      </c>
      <c r="BM120" s="228">
        <v>541</v>
      </c>
      <c r="BN120" s="228">
        <v>658</v>
      </c>
      <c r="BO120" s="228">
        <v>-117</v>
      </c>
      <c r="BP120" s="229">
        <v>-0.17829999999999999</v>
      </c>
      <c r="BQ120" s="230">
        <v>1885</v>
      </c>
      <c r="BR120" s="230">
        <v>3204</v>
      </c>
      <c r="BS120" s="230">
        <v>-1319</v>
      </c>
      <c r="BT120" s="229">
        <v>-0.41160000000000002</v>
      </c>
      <c r="BU120" s="230">
        <v>883414</v>
      </c>
      <c r="BV120" s="230">
        <v>1004072</v>
      </c>
      <c r="BW120" s="230">
        <v>-120658</v>
      </c>
      <c r="BX120" s="229">
        <v>-0.1202</v>
      </c>
      <c r="BY120" s="230">
        <v>1767</v>
      </c>
      <c r="BZ120" s="230">
        <v>1723</v>
      </c>
      <c r="CA120" s="228">
        <v>44</v>
      </c>
      <c r="CB120" s="229">
        <v>2.5700000000000001E-2</v>
      </c>
      <c r="CC120" s="230">
        <v>1712</v>
      </c>
      <c r="CD120" s="230">
        <v>1671</v>
      </c>
      <c r="CE120" s="228">
        <v>41</v>
      </c>
      <c r="CF120" s="229">
        <v>2.47E-2</v>
      </c>
      <c r="CG120" s="228">
        <v>50</v>
      </c>
      <c r="CH120" s="228">
        <v>47</v>
      </c>
      <c r="CI120" s="228">
        <v>3</v>
      </c>
      <c r="CJ120" s="229">
        <v>6.2399999999999997E-2</v>
      </c>
      <c r="CK120" s="228">
        <v>5</v>
      </c>
      <c r="CL120" s="228">
        <v>5</v>
      </c>
      <c r="CM120" s="228">
        <v>0</v>
      </c>
      <c r="CN120" s="229">
        <v>4.2599999999999999E-2</v>
      </c>
      <c r="CO120" s="228">
        <v>849</v>
      </c>
      <c r="CP120" s="228">
        <v>842</v>
      </c>
      <c r="CQ120" s="228">
        <v>7</v>
      </c>
      <c r="CR120" s="229">
        <v>8.0000000000000002E-3</v>
      </c>
      <c r="CS120" s="228">
        <v>506</v>
      </c>
      <c r="CT120" s="228">
        <v>478</v>
      </c>
      <c r="CU120" s="228">
        <v>28</v>
      </c>
      <c r="CV120" s="229">
        <v>5.96E-2</v>
      </c>
      <c r="CW120" s="230">
        <v>3122</v>
      </c>
      <c r="CX120" s="230">
        <v>3043</v>
      </c>
      <c r="CY120" s="228">
        <v>80</v>
      </c>
      <c r="CZ120" s="229">
        <v>2.6100000000000002E-2</v>
      </c>
      <c r="DA120" s="228">
        <v>26.54</v>
      </c>
      <c r="DB120" s="228">
        <v>26.07</v>
      </c>
      <c r="DC120" s="228">
        <v>0.47</v>
      </c>
      <c r="DD120" s="228">
        <v>0.47</v>
      </c>
      <c r="DE120" s="228">
        <v>28.36</v>
      </c>
      <c r="DF120" s="228">
        <v>28.42</v>
      </c>
      <c r="DG120" s="228">
        <v>-1.82</v>
      </c>
      <c r="DH120" s="228">
        <v>-0.06</v>
      </c>
      <c r="DI120" s="228">
        <v>25.09</v>
      </c>
      <c r="DJ120" s="228">
        <v>25.61</v>
      </c>
      <c r="DK120" s="228">
        <v>-0.52</v>
      </c>
      <c r="DL120" s="228">
        <v>-0.52</v>
      </c>
      <c r="DM120" s="228">
        <v>29.31</v>
      </c>
      <c r="DN120" s="228">
        <v>27.53</v>
      </c>
      <c r="DO120" s="228">
        <v>1.78</v>
      </c>
      <c r="DP120" s="228">
        <v>1.78</v>
      </c>
      <c r="DQ120" s="228">
        <v>0.6</v>
      </c>
      <c r="DR120" s="228">
        <v>0.56999999999999995</v>
      </c>
      <c r="DS120" s="228">
        <v>0.03</v>
      </c>
      <c r="DT120" s="229">
        <v>5.2600000000000001E-2</v>
      </c>
      <c r="DU120" s="231">
        <v>2400</v>
      </c>
      <c r="DV120" s="231">
        <v>2260</v>
      </c>
      <c r="DW120" s="228">
        <v>0.53</v>
      </c>
      <c r="DX120" s="228">
        <v>0.31</v>
      </c>
      <c r="DY120" s="228">
        <v>0.22</v>
      </c>
      <c r="DZ120" s="229">
        <v>0.7097</v>
      </c>
      <c r="EA120" s="229">
        <v>3.0800000000000001E-2</v>
      </c>
      <c r="EB120" s="230">
        <v>217600</v>
      </c>
      <c r="EC120" s="229">
        <v>6.1000000000000004E-3</v>
      </c>
      <c r="ED120" s="229">
        <v>3.0800000000000001E-2</v>
      </c>
      <c r="EE120" s="228">
        <v>5.72</v>
      </c>
      <c r="EF120" s="229">
        <v>2.3999999999999998E-3</v>
      </c>
      <c r="EG120" s="230">
        <v>548310</v>
      </c>
      <c r="EH120" s="230">
        <v>531163</v>
      </c>
      <c r="EI120" s="229">
        <v>3.2300000000000002E-2</v>
      </c>
      <c r="EJ120" s="229">
        <v>0.62070000000000003</v>
      </c>
      <c r="EK120" s="231">
        <v>1078.43</v>
      </c>
      <c r="EL120" s="228">
        <v>523.64</v>
      </c>
      <c r="EM120" s="228">
        <v>312.42</v>
      </c>
      <c r="EN120" s="228">
        <v>39.56</v>
      </c>
      <c r="EO120" s="231">
        <v>1914.5</v>
      </c>
      <c r="EP120" s="231">
        <v>3278.05</v>
      </c>
      <c r="EQ120" s="231">
        <v>-1363.55</v>
      </c>
      <c r="ER120" s="229">
        <v>-0.41599999999999998</v>
      </c>
      <c r="ES120" s="228">
        <v>874.68</v>
      </c>
      <c r="ET120" s="228">
        <v>481.77</v>
      </c>
      <c r="EU120" s="231">
        <v>1767.29</v>
      </c>
      <c r="EV120" s="231">
        <v>36381777</v>
      </c>
      <c r="EW120" s="231">
        <v>3123.74</v>
      </c>
      <c r="EX120" s="231">
        <v>3037.59</v>
      </c>
      <c r="EY120" s="228">
        <v>86.15</v>
      </c>
      <c r="EZ120" s="229">
        <v>2.8400000000000002E-2</v>
      </c>
      <c r="FA120" s="229">
        <v>0.36380000000000001</v>
      </c>
      <c r="FB120" s="227" t="s">
        <v>555</v>
      </c>
      <c r="FC120">
        <f t="shared" si="1"/>
        <v>55</v>
      </c>
    </row>
    <row r="121" spans="1:159" ht="17.25" hidden="1" thickBot="1" x14ac:dyDescent="0.3">
      <c r="A121" s="226">
        <v>46093</v>
      </c>
      <c r="B121" s="227" t="s">
        <v>162</v>
      </c>
      <c r="C121" s="227" t="s">
        <v>251</v>
      </c>
      <c r="D121" s="228">
        <v>200</v>
      </c>
      <c r="E121" s="228">
        <v>18</v>
      </c>
      <c r="F121" s="231">
        <v>3043.3</v>
      </c>
      <c r="G121" s="231">
        <v>3174.6</v>
      </c>
      <c r="H121" s="228">
        <v>-131.30000000000001</v>
      </c>
      <c r="I121" s="229">
        <v>-4.1399999999999999E-2</v>
      </c>
      <c r="J121" s="231">
        <v>3031.2</v>
      </c>
      <c r="K121" s="231">
        <v>3168.2</v>
      </c>
      <c r="L121" s="228">
        <v>-137</v>
      </c>
      <c r="M121" s="229">
        <v>-4.3200000000000002E-2</v>
      </c>
      <c r="N121" s="231">
        <v>3043.3</v>
      </c>
      <c r="O121" s="231">
        <v>3174.6</v>
      </c>
      <c r="P121" s="228">
        <v>-131.30000000000001</v>
      </c>
      <c r="Q121" s="229">
        <v>-4.1399999999999999E-2</v>
      </c>
      <c r="R121" s="231">
        <v>3060.7</v>
      </c>
      <c r="S121" s="231">
        <v>3197.3</v>
      </c>
      <c r="T121" s="228">
        <v>-136.6</v>
      </c>
      <c r="U121" s="229">
        <v>-4.2700000000000002E-2</v>
      </c>
      <c r="V121" s="231">
        <v>3074.4</v>
      </c>
      <c r="W121" s="231">
        <v>3213.9</v>
      </c>
      <c r="X121" s="228">
        <v>-139.5</v>
      </c>
      <c r="Y121" s="229">
        <v>-4.3400000000000001E-2</v>
      </c>
      <c r="Z121" s="228">
        <v>12.1</v>
      </c>
      <c r="AA121" s="228">
        <v>6.4</v>
      </c>
      <c r="AB121" s="228">
        <v>5.7</v>
      </c>
      <c r="AC121" s="229">
        <v>4.0000000000000001E-3</v>
      </c>
      <c r="AD121" s="228">
        <v>12.1</v>
      </c>
      <c r="AE121" s="228">
        <v>6.4</v>
      </c>
      <c r="AF121" s="228">
        <v>5.7</v>
      </c>
      <c r="AG121" s="229">
        <v>4.0000000000000001E-3</v>
      </c>
      <c r="AH121" s="228">
        <v>29.5</v>
      </c>
      <c r="AI121" s="228">
        <v>29.1</v>
      </c>
      <c r="AJ121" s="228">
        <v>0.4</v>
      </c>
      <c r="AK121" s="229">
        <v>9.7000000000000003E-3</v>
      </c>
      <c r="AL121" s="228">
        <v>43.2</v>
      </c>
      <c r="AM121" s="228">
        <v>45.7</v>
      </c>
      <c r="AN121" s="228">
        <v>-2.5</v>
      </c>
      <c r="AO121" s="229">
        <v>1.43E-2</v>
      </c>
      <c r="AP121" s="231">
        <v>3070.26</v>
      </c>
      <c r="AQ121" s="231">
        <v>3089.92</v>
      </c>
      <c r="AR121" s="228">
        <v>0</v>
      </c>
      <c r="AS121" s="230">
        <v>1150</v>
      </c>
      <c r="AT121" s="228">
        <v>665</v>
      </c>
      <c r="AU121" s="228">
        <v>486</v>
      </c>
      <c r="AV121" s="229">
        <v>0.73119999999999996</v>
      </c>
      <c r="AW121" s="230">
        <v>1000</v>
      </c>
      <c r="AX121" s="228">
        <v>599</v>
      </c>
      <c r="AY121" s="228">
        <v>401</v>
      </c>
      <c r="AZ121" s="229">
        <v>0.66910000000000003</v>
      </c>
      <c r="BA121" s="228">
        <v>107</v>
      </c>
      <c r="BB121" s="228">
        <v>54</v>
      </c>
      <c r="BC121" s="228">
        <v>53</v>
      </c>
      <c r="BD121" s="229">
        <v>0.98760000000000003</v>
      </c>
      <c r="BE121" s="228">
        <v>44</v>
      </c>
      <c r="BF121" s="228">
        <v>12</v>
      </c>
      <c r="BG121" s="228">
        <v>32</v>
      </c>
      <c r="BH121" s="229">
        <v>2.7292000000000001</v>
      </c>
      <c r="BI121" s="230">
        <v>3258</v>
      </c>
      <c r="BJ121" s="230">
        <v>2042</v>
      </c>
      <c r="BK121" s="230">
        <v>1216</v>
      </c>
      <c r="BL121" s="229">
        <v>0.59540000000000004</v>
      </c>
      <c r="BM121" s="230">
        <v>2678</v>
      </c>
      <c r="BN121" s="230">
        <v>1697</v>
      </c>
      <c r="BO121" s="228">
        <v>982</v>
      </c>
      <c r="BP121" s="229">
        <v>0.57840000000000003</v>
      </c>
      <c r="BQ121" s="230">
        <v>7087</v>
      </c>
      <c r="BR121" s="230">
        <v>4404</v>
      </c>
      <c r="BS121" s="230">
        <v>2683</v>
      </c>
      <c r="BT121" s="229">
        <v>0.60929999999999995</v>
      </c>
      <c r="BU121" s="230">
        <v>7405606</v>
      </c>
      <c r="BV121" s="230">
        <v>4680042</v>
      </c>
      <c r="BW121" s="230">
        <v>2725564</v>
      </c>
      <c r="BX121" s="229">
        <v>0.58240000000000003</v>
      </c>
      <c r="BY121" s="230">
        <v>5674</v>
      </c>
      <c r="BZ121" s="230">
        <v>5432</v>
      </c>
      <c r="CA121" s="228">
        <v>242</v>
      </c>
      <c r="CB121" s="229">
        <v>4.4600000000000001E-2</v>
      </c>
      <c r="CC121" s="230">
        <v>5435</v>
      </c>
      <c r="CD121" s="230">
        <v>5265</v>
      </c>
      <c r="CE121" s="228">
        <v>170</v>
      </c>
      <c r="CF121" s="229">
        <v>3.2300000000000002E-2</v>
      </c>
      <c r="CG121" s="228">
        <v>181</v>
      </c>
      <c r="CH121" s="228">
        <v>138</v>
      </c>
      <c r="CI121" s="228">
        <v>43</v>
      </c>
      <c r="CJ121" s="229">
        <v>0.31119999999999998</v>
      </c>
      <c r="CK121" s="228">
        <v>58</v>
      </c>
      <c r="CL121" s="228">
        <v>29</v>
      </c>
      <c r="CM121" s="228">
        <v>29</v>
      </c>
      <c r="CN121" s="229">
        <v>1.0042</v>
      </c>
      <c r="CO121" s="230">
        <v>1992</v>
      </c>
      <c r="CP121" s="230">
        <v>1696</v>
      </c>
      <c r="CQ121" s="228">
        <v>296</v>
      </c>
      <c r="CR121" s="229">
        <v>0.17460000000000001</v>
      </c>
      <c r="CS121" s="230">
        <v>1140</v>
      </c>
      <c r="CT121" s="230">
        <v>1064</v>
      </c>
      <c r="CU121" s="228">
        <v>76</v>
      </c>
      <c r="CV121" s="229">
        <v>7.17E-2</v>
      </c>
      <c r="CW121" s="230">
        <v>8806</v>
      </c>
      <c r="CX121" s="230">
        <v>8192</v>
      </c>
      <c r="CY121" s="228">
        <v>614</v>
      </c>
      <c r="CZ121" s="229">
        <v>7.4999999999999997E-2</v>
      </c>
      <c r="DA121" s="228">
        <v>38.72</v>
      </c>
      <c r="DB121" s="228">
        <v>34.700000000000003</v>
      </c>
      <c r="DC121" s="228">
        <v>4.0199999999999996</v>
      </c>
      <c r="DD121" s="228">
        <v>4.0199999999999996</v>
      </c>
      <c r="DE121" s="228">
        <v>32.82</v>
      </c>
      <c r="DF121" s="228">
        <v>32.36</v>
      </c>
      <c r="DG121" s="228">
        <v>5.9</v>
      </c>
      <c r="DH121" s="228">
        <v>0.46</v>
      </c>
      <c r="DI121" s="228">
        <v>38.19</v>
      </c>
      <c r="DJ121" s="228">
        <v>33.950000000000003</v>
      </c>
      <c r="DK121" s="228">
        <v>4.24</v>
      </c>
      <c r="DL121" s="228">
        <v>4.24</v>
      </c>
      <c r="DM121" s="228">
        <v>39.36</v>
      </c>
      <c r="DN121" s="228">
        <v>35.6</v>
      </c>
      <c r="DO121" s="228">
        <v>3.76</v>
      </c>
      <c r="DP121" s="228">
        <v>3.76</v>
      </c>
      <c r="DQ121" s="228">
        <v>0.56999999999999995</v>
      </c>
      <c r="DR121" s="228">
        <v>0.63</v>
      </c>
      <c r="DS121" s="228">
        <v>-0.06</v>
      </c>
      <c r="DT121" s="229">
        <v>-9.5200000000000007E-2</v>
      </c>
      <c r="DU121" s="231">
        <v>3500</v>
      </c>
      <c r="DV121" s="231">
        <v>3400</v>
      </c>
      <c r="DW121" s="228">
        <v>0.82</v>
      </c>
      <c r="DX121" s="228">
        <v>0.83</v>
      </c>
      <c r="DY121" s="228">
        <v>-0.01</v>
      </c>
      <c r="DZ121" s="229">
        <v>-1.2E-2</v>
      </c>
      <c r="EA121" s="229">
        <v>4.2200000000000001E-2</v>
      </c>
      <c r="EB121" s="230">
        <v>549400</v>
      </c>
      <c r="EC121" s="229">
        <v>5.7000000000000002E-3</v>
      </c>
      <c r="ED121" s="229">
        <v>4.2200000000000001E-2</v>
      </c>
      <c r="EE121" s="228">
        <v>19.66</v>
      </c>
      <c r="EF121" s="229">
        <v>6.4000000000000003E-3</v>
      </c>
      <c r="EG121" s="230">
        <v>4892877</v>
      </c>
      <c r="EH121" s="230">
        <v>3169477</v>
      </c>
      <c r="EI121" s="229">
        <v>0.54369999999999996</v>
      </c>
      <c r="EJ121" s="229">
        <v>0.66069999999999995</v>
      </c>
      <c r="EK121" s="231">
        <v>3573.79</v>
      </c>
      <c r="EL121" s="231">
        <v>2704.98</v>
      </c>
      <c r="EM121" s="231">
        <v>1161.77</v>
      </c>
      <c r="EN121" s="228">
        <v>114.38</v>
      </c>
      <c r="EO121" s="231">
        <v>7440.54</v>
      </c>
      <c r="EP121" s="231">
        <v>4790.8</v>
      </c>
      <c r="EQ121" s="231">
        <v>2649.73</v>
      </c>
      <c r="ER121" s="229">
        <v>0.55310000000000004</v>
      </c>
      <c r="ES121" s="231">
        <v>2304.98</v>
      </c>
      <c r="ET121" s="231">
        <v>1218.53</v>
      </c>
      <c r="EU121" s="231">
        <v>5675.68</v>
      </c>
      <c r="EV121" s="231">
        <v>95452027</v>
      </c>
      <c r="EW121" s="231">
        <v>9199.18</v>
      </c>
      <c r="EX121" s="231">
        <v>8813.2900000000009</v>
      </c>
      <c r="EY121" s="228">
        <v>385.89</v>
      </c>
      <c r="EZ121" s="229">
        <v>4.3799999999999999E-2</v>
      </c>
      <c r="FA121" s="229">
        <v>0.30309999999999998</v>
      </c>
      <c r="FB121" s="227" t="s">
        <v>567</v>
      </c>
      <c r="FC121">
        <f t="shared" si="1"/>
        <v>239</v>
      </c>
    </row>
    <row r="122" spans="1:159" ht="17.25" hidden="1" thickBot="1" x14ac:dyDescent="0.3">
      <c r="A122" s="226">
        <v>46093</v>
      </c>
      <c r="B122" s="227" t="s">
        <v>175</v>
      </c>
      <c r="C122" s="227" t="s">
        <v>253</v>
      </c>
      <c r="D122" s="228">
        <v>3000</v>
      </c>
      <c r="E122" s="228">
        <v>18</v>
      </c>
      <c r="F122" s="228">
        <v>256.39999999999998</v>
      </c>
      <c r="G122" s="228">
        <v>258.2</v>
      </c>
      <c r="H122" s="228">
        <v>-1.8</v>
      </c>
      <c r="I122" s="229">
        <v>-7.0000000000000001E-3</v>
      </c>
      <c r="J122" s="228">
        <v>255.55</v>
      </c>
      <c r="K122" s="228">
        <v>258</v>
      </c>
      <c r="L122" s="228">
        <v>-2.4500000000000002</v>
      </c>
      <c r="M122" s="229">
        <v>-9.4999999999999998E-3</v>
      </c>
      <c r="N122" s="228">
        <v>256.39999999999998</v>
      </c>
      <c r="O122" s="228">
        <v>258.2</v>
      </c>
      <c r="P122" s="228">
        <v>-1.8</v>
      </c>
      <c r="Q122" s="229">
        <v>-7.0000000000000001E-3</v>
      </c>
      <c r="R122" s="228">
        <v>257.85000000000002</v>
      </c>
      <c r="S122" s="228">
        <v>260.10000000000002</v>
      </c>
      <c r="T122" s="228">
        <v>-2.25</v>
      </c>
      <c r="U122" s="229">
        <v>-8.6999999999999994E-3</v>
      </c>
      <c r="V122" s="228">
        <v>257.75</v>
      </c>
      <c r="W122" s="228">
        <v>261</v>
      </c>
      <c r="X122" s="228">
        <v>-3.25</v>
      </c>
      <c r="Y122" s="229">
        <v>-1.2500000000000001E-2</v>
      </c>
      <c r="Z122" s="228">
        <v>0.85</v>
      </c>
      <c r="AA122" s="228">
        <v>0.2</v>
      </c>
      <c r="AB122" s="228">
        <v>0.65</v>
      </c>
      <c r="AC122" s="229">
        <v>3.3E-3</v>
      </c>
      <c r="AD122" s="228">
        <v>0.85</v>
      </c>
      <c r="AE122" s="228">
        <v>0.2</v>
      </c>
      <c r="AF122" s="228">
        <v>0.65</v>
      </c>
      <c r="AG122" s="229">
        <v>3.3E-3</v>
      </c>
      <c r="AH122" s="228">
        <v>2.2999999999999998</v>
      </c>
      <c r="AI122" s="228">
        <v>2.1</v>
      </c>
      <c r="AJ122" s="228">
        <v>0.2</v>
      </c>
      <c r="AK122" s="229">
        <v>8.9999999999999993E-3</v>
      </c>
      <c r="AL122" s="228">
        <v>2.2000000000000002</v>
      </c>
      <c r="AM122" s="228">
        <v>3</v>
      </c>
      <c r="AN122" s="228">
        <v>-0.8</v>
      </c>
      <c r="AO122" s="229">
        <v>8.6E-3</v>
      </c>
      <c r="AP122" s="228">
        <v>257.04000000000002</v>
      </c>
      <c r="AQ122" s="228">
        <v>258.62</v>
      </c>
      <c r="AR122" s="228">
        <v>0</v>
      </c>
      <c r="AS122" s="228">
        <v>214</v>
      </c>
      <c r="AT122" s="228">
        <v>232</v>
      </c>
      <c r="AU122" s="228">
        <v>-19</v>
      </c>
      <c r="AV122" s="229">
        <v>-7.9899999999999999E-2</v>
      </c>
      <c r="AW122" s="228">
        <v>205</v>
      </c>
      <c r="AX122" s="228">
        <v>225</v>
      </c>
      <c r="AY122" s="228">
        <v>-20</v>
      </c>
      <c r="AZ122" s="229">
        <v>-8.7599999999999997E-2</v>
      </c>
      <c r="BA122" s="228">
        <v>8</v>
      </c>
      <c r="BB122" s="228">
        <v>7</v>
      </c>
      <c r="BC122" s="228">
        <v>1</v>
      </c>
      <c r="BD122" s="229">
        <v>0.17580000000000001</v>
      </c>
      <c r="BE122" s="228">
        <v>0</v>
      </c>
      <c r="BF122" s="228">
        <v>0</v>
      </c>
      <c r="BG122" s="228">
        <v>0</v>
      </c>
      <c r="BH122" s="229">
        <v>-0.25</v>
      </c>
      <c r="BI122" s="228">
        <v>195</v>
      </c>
      <c r="BJ122" s="228">
        <v>299</v>
      </c>
      <c r="BK122" s="228">
        <v>-104</v>
      </c>
      <c r="BL122" s="229">
        <v>-0.34789999999999999</v>
      </c>
      <c r="BM122" s="228">
        <v>91</v>
      </c>
      <c r="BN122" s="228">
        <v>176</v>
      </c>
      <c r="BO122" s="228">
        <v>-85</v>
      </c>
      <c r="BP122" s="229">
        <v>-0.48270000000000002</v>
      </c>
      <c r="BQ122" s="228">
        <v>500</v>
      </c>
      <c r="BR122" s="228">
        <v>707</v>
      </c>
      <c r="BS122" s="228">
        <v>-207</v>
      </c>
      <c r="BT122" s="229">
        <v>-0.29339999999999999</v>
      </c>
      <c r="BU122" s="230">
        <v>5182200</v>
      </c>
      <c r="BV122" s="230">
        <v>5098179</v>
      </c>
      <c r="BW122" s="230">
        <v>84021</v>
      </c>
      <c r="BX122" s="229">
        <v>1.6500000000000001E-2</v>
      </c>
      <c r="BY122" s="230">
        <v>1477</v>
      </c>
      <c r="BZ122" s="230">
        <v>1430</v>
      </c>
      <c r="CA122" s="228">
        <v>47</v>
      </c>
      <c r="CB122" s="229">
        <v>3.2599999999999997E-2</v>
      </c>
      <c r="CC122" s="230">
        <v>1427</v>
      </c>
      <c r="CD122" s="230">
        <v>1381</v>
      </c>
      <c r="CE122" s="228">
        <v>46</v>
      </c>
      <c r="CF122" s="229">
        <v>3.3399999999999999E-2</v>
      </c>
      <c r="CG122" s="228">
        <v>48</v>
      </c>
      <c r="CH122" s="228">
        <v>47</v>
      </c>
      <c r="CI122" s="228">
        <v>0</v>
      </c>
      <c r="CJ122" s="229">
        <v>9.7000000000000003E-3</v>
      </c>
      <c r="CK122" s="228">
        <v>2</v>
      </c>
      <c r="CL122" s="228">
        <v>2</v>
      </c>
      <c r="CM122" s="228">
        <v>0</v>
      </c>
      <c r="CN122" s="229">
        <v>3.6999999999999998E-2</v>
      </c>
      <c r="CO122" s="228">
        <v>613</v>
      </c>
      <c r="CP122" s="228">
        <v>586</v>
      </c>
      <c r="CQ122" s="228">
        <v>27</v>
      </c>
      <c r="CR122" s="229">
        <v>4.6199999999999998E-2</v>
      </c>
      <c r="CS122" s="228">
        <v>532</v>
      </c>
      <c r="CT122" s="228">
        <v>523</v>
      </c>
      <c r="CU122" s="228">
        <v>8</v>
      </c>
      <c r="CV122" s="229">
        <v>1.6199999999999999E-2</v>
      </c>
      <c r="CW122" s="230">
        <v>2621</v>
      </c>
      <c r="CX122" s="230">
        <v>2539</v>
      </c>
      <c r="CY122" s="228">
        <v>82</v>
      </c>
      <c r="CZ122" s="229">
        <v>3.2399999999999998E-2</v>
      </c>
      <c r="DA122" s="228">
        <v>40.03</v>
      </c>
      <c r="DB122" s="228">
        <v>41.24</v>
      </c>
      <c r="DC122" s="228">
        <v>-1.21</v>
      </c>
      <c r="DD122" s="228">
        <v>-1.21</v>
      </c>
      <c r="DE122" s="228">
        <v>42.38</v>
      </c>
      <c r="DF122" s="228">
        <v>42.46</v>
      </c>
      <c r="DG122" s="228">
        <v>-2.35</v>
      </c>
      <c r="DH122" s="228">
        <v>-0.08</v>
      </c>
      <c r="DI122" s="228">
        <v>40.299999999999997</v>
      </c>
      <c r="DJ122" s="228">
        <v>42.4</v>
      </c>
      <c r="DK122" s="228">
        <v>-2.1</v>
      </c>
      <c r="DL122" s="228">
        <v>-2.1</v>
      </c>
      <c r="DM122" s="228">
        <v>39.450000000000003</v>
      </c>
      <c r="DN122" s="228">
        <v>39.26</v>
      </c>
      <c r="DO122" s="228">
        <v>0.19</v>
      </c>
      <c r="DP122" s="228">
        <v>0.19</v>
      </c>
      <c r="DQ122" s="228">
        <v>0.87</v>
      </c>
      <c r="DR122" s="228">
        <v>0.89</v>
      </c>
      <c r="DS122" s="228">
        <v>-0.02</v>
      </c>
      <c r="DT122" s="229">
        <v>-2.2499999999999999E-2</v>
      </c>
      <c r="DU122" s="228">
        <v>270</v>
      </c>
      <c r="DV122" s="228">
        <v>240</v>
      </c>
      <c r="DW122" s="228">
        <v>0.47</v>
      </c>
      <c r="DX122" s="228">
        <v>0.59</v>
      </c>
      <c r="DY122" s="228">
        <v>-0.12</v>
      </c>
      <c r="DZ122" s="229">
        <v>-0.2034</v>
      </c>
      <c r="EA122" s="229">
        <v>3.39E-2</v>
      </c>
      <c r="EB122" s="230">
        <v>1929000</v>
      </c>
      <c r="EC122" s="229">
        <v>5.7000000000000002E-3</v>
      </c>
      <c r="ED122" s="229">
        <v>3.39E-2</v>
      </c>
      <c r="EE122" s="228">
        <v>1.58</v>
      </c>
      <c r="EF122" s="229">
        <v>6.1000000000000004E-3</v>
      </c>
      <c r="EG122" s="230">
        <v>2413823</v>
      </c>
      <c r="EH122" s="230">
        <v>2373766</v>
      </c>
      <c r="EI122" s="229">
        <v>1.6899999999999998E-2</v>
      </c>
      <c r="EJ122" s="229">
        <v>0.46579999999999999</v>
      </c>
      <c r="EK122" s="228">
        <v>213.74</v>
      </c>
      <c r="EL122" s="228">
        <v>91.76</v>
      </c>
      <c r="EM122" s="228">
        <v>214.12</v>
      </c>
      <c r="EN122" s="228">
        <v>32.67</v>
      </c>
      <c r="EO122" s="228">
        <v>519.62</v>
      </c>
      <c r="EP122" s="228">
        <v>751.54</v>
      </c>
      <c r="EQ122" s="228">
        <v>-231.92</v>
      </c>
      <c r="ER122" s="229">
        <v>-0.30859999999999999</v>
      </c>
      <c r="ES122" s="228">
        <v>697.32</v>
      </c>
      <c r="ET122" s="228">
        <v>545.96</v>
      </c>
      <c r="EU122" s="231">
        <v>1476.99</v>
      </c>
      <c r="EV122" s="231">
        <v>82205057</v>
      </c>
      <c r="EW122" s="231">
        <v>2720.27</v>
      </c>
      <c r="EX122" s="231">
        <v>2648.73</v>
      </c>
      <c r="EY122" s="228">
        <v>71.540000000000006</v>
      </c>
      <c r="EZ122" s="229">
        <v>2.7E-2</v>
      </c>
      <c r="FA122" s="229">
        <v>1.2437</v>
      </c>
      <c r="FB122" s="227" t="s">
        <v>567</v>
      </c>
      <c r="FC122">
        <f t="shared" si="1"/>
        <v>50</v>
      </c>
    </row>
    <row r="123" spans="1:159" ht="17.25" hidden="1" thickBot="1" x14ac:dyDescent="0.3">
      <c r="A123" s="226">
        <v>46093</v>
      </c>
      <c r="B123" s="227" t="s">
        <v>170</v>
      </c>
      <c r="C123" s="227" t="s">
        <v>671</v>
      </c>
      <c r="D123" s="228">
        <v>225</v>
      </c>
      <c r="E123" s="228">
        <v>18</v>
      </c>
      <c r="F123" s="231">
        <v>2216.9</v>
      </c>
      <c r="G123" s="231">
        <v>2243.1999999999998</v>
      </c>
      <c r="H123" s="228">
        <v>-26.3</v>
      </c>
      <c r="I123" s="229">
        <v>-1.17E-2</v>
      </c>
      <c r="J123" s="231">
        <v>2207.9</v>
      </c>
      <c r="K123" s="231">
        <v>2243.8000000000002</v>
      </c>
      <c r="L123" s="228">
        <v>-35.9</v>
      </c>
      <c r="M123" s="229">
        <v>-1.6E-2</v>
      </c>
      <c r="N123" s="231">
        <v>2216.9</v>
      </c>
      <c r="O123" s="231">
        <v>2243.1999999999998</v>
      </c>
      <c r="P123" s="228">
        <v>-26.3</v>
      </c>
      <c r="Q123" s="229">
        <v>-1.17E-2</v>
      </c>
      <c r="R123" s="231">
        <v>2224.6999999999998</v>
      </c>
      <c r="S123" s="231">
        <v>2250.1999999999998</v>
      </c>
      <c r="T123" s="228">
        <v>-25.5</v>
      </c>
      <c r="U123" s="229">
        <v>-1.1299999999999999E-2</v>
      </c>
      <c r="V123" s="231">
        <v>2219</v>
      </c>
      <c r="W123" s="231">
        <v>2272.5</v>
      </c>
      <c r="X123" s="228">
        <v>-53.5</v>
      </c>
      <c r="Y123" s="229">
        <v>-2.35E-2</v>
      </c>
      <c r="Z123" s="228">
        <v>9</v>
      </c>
      <c r="AA123" s="228">
        <v>-0.6</v>
      </c>
      <c r="AB123" s="228">
        <v>9.6</v>
      </c>
      <c r="AC123" s="229">
        <v>4.1000000000000003E-3</v>
      </c>
      <c r="AD123" s="228">
        <v>9</v>
      </c>
      <c r="AE123" s="228">
        <v>-0.6</v>
      </c>
      <c r="AF123" s="228">
        <v>9.6</v>
      </c>
      <c r="AG123" s="229">
        <v>4.1000000000000003E-3</v>
      </c>
      <c r="AH123" s="228">
        <v>16.8</v>
      </c>
      <c r="AI123" s="228">
        <v>6.4</v>
      </c>
      <c r="AJ123" s="228">
        <v>10.4</v>
      </c>
      <c r="AK123" s="229">
        <v>7.6E-3</v>
      </c>
      <c r="AL123" s="228">
        <v>11.1</v>
      </c>
      <c r="AM123" s="228">
        <v>28.7</v>
      </c>
      <c r="AN123" s="228">
        <v>-17.600000000000001</v>
      </c>
      <c r="AO123" s="229">
        <v>5.0000000000000001E-3</v>
      </c>
      <c r="AP123" s="231">
        <v>2220.75</v>
      </c>
      <c r="AQ123" s="231">
        <v>2226.16</v>
      </c>
      <c r="AR123" s="228">
        <v>0</v>
      </c>
      <c r="AS123" s="228">
        <v>87</v>
      </c>
      <c r="AT123" s="228">
        <v>77</v>
      </c>
      <c r="AU123" s="228">
        <v>10</v>
      </c>
      <c r="AV123" s="229">
        <v>0.13420000000000001</v>
      </c>
      <c r="AW123" s="228">
        <v>81</v>
      </c>
      <c r="AX123" s="228">
        <v>72</v>
      </c>
      <c r="AY123" s="228">
        <v>9</v>
      </c>
      <c r="AZ123" s="229">
        <v>0.1202</v>
      </c>
      <c r="BA123" s="228">
        <v>5</v>
      </c>
      <c r="BB123" s="228">
        <v>4</v>
      </c>
      <c r="BC123" s="228">
        <v>1</v>
      </c>
      <c r="BD123" s="229">
        <v>0.2651</v>
      </c>
      <c r="BE123" s="228">
        <v>1</v>
      </c>
      <c r="BF123" s="228">
        <v>0</v>
      </c>
      <c r="BG123" s="228">
        <v>0</v>
      </c>
      <c r="BH123" s="229">
        <v>2</v>
      </c>
      <c r="BI123" s="228">
        <v>185</v>
      </c>
      <c r="BJ123" s="228">
        <v>345</v>
      </c>
      <c r="BK123" s="228">
        <v>-160</v>
      </c>
      <c r="BL123" s="229">
        <v>-0.4627</v>
      </c>
      <c r="BM123" s="228">
        <v>51</v>
      </c>
      <c r="BN123" s="228">
        <v>62</v>
      </c>
      <c r="BO123" s="228">
        <v>-11</v>
      </c>
      <c r="BP123" s="229">
        <v>-0.17219999999999999</v>
      </c>
      <c r="BQ123" s="228">
        <v>323</v>
      </c>
      <c r="BR123" s="228">
        <v>483</v>
      </c>
      <c r="BS123" s="228">
        <v>-160</v>
      </c>
      <c r="BT123" s="229">
        <v>-0.33100000000000002</v>
      </c>
      <c r="BU123" s="230">
        <v>313632</v>
      </c>
      <c r="BV123" s="230">
        <v>430837</v>
      </c>
      <c r="BW123" s="230">
        <v>-117205</v>
      </c>
      <c r="BX123" s="229">
        <v>-0.27200000000000002</v>
      </c>
      <c r="BY123" s="228">
        <v>593</v>
      </c>
      <c r="BZ123" s="228">
        <v>591</v>
      </c>
      <c r="CA123" s="228">
        <v>2</v>
      </c>
      <c r="CB123" s="229">
        <v>3.3999999999999998E-3</v>
      </c>
      <c r="CC123" s="228">
        <v>577</v>
      </c>
      <c r="CD123" s="228">
        <v>575</v>
      </c>
      <c r="CE123" s="228">
        <v>2</v>
      </c>
      <c r="CF123" s="229">
        <v>4.1000000000000003E-3</v>
      </c>
      <c r="CG123" s="228">
        <v>14</v>
      </c>
      <c r="CH123" s="228">
        <v>14</v>
      </c>
      <c r="CI123" s="228">
        <v>0</v>
      </c>
      <c r="CJ123" s="229">
        <v>-2.47E-2</v>
      </c>
      <c r="CK123" s="228">
        <v>2</v>
      </c>
      <c r="CL123" s="228">
        <v>2</v>
      </c>
      <c r="CM123" s="228">
        <v>0</v>
      </c>
      <c r="CN123" s="229">
        <v>0</v>
      </c>
      <c r="CO123" s="228">
        <v>257</v>
      </c>
      <c r="CP123" s="228">
        <v>253</v>
      </c>
      <c r="CQ123" s="228">
        <v>4</v>
      </c>
      <c r="CR123" s="229">
        <v>1.7000000000000001E-2</v>
      </c>
      <c r="CS123" s="228">
        <v>126</v>
      </c>
      <c r="CT123" s="228">
        <v>132</v>
      </c>
      <c r="CU123" s="228">
        <v>-6</v>
      </c>
      <c r="CV123" s="229">
        <v>-4.6800000000000001E-2</v>
      </c>
      <c r="CW123" s="228">
        <v>976</v>
      </c>
      <c r="CX123" s="228">
        <v>976</v>
      </c>
      <c r="CY123" s="228">
        <v>0</v>
      </c>
      <c r="CZ123" s="229">
        <v>1E-4</v>
      </c>
      <c r="DA123" s="228">
        <v>32.11</v>
      </c>
      <c r="DB123" s="228">
        <v>33.06</v>
      </c>
      <c r="DC123" s="228">
        <v>-0.95</v>
      </c>
      <c r="DD123" s="228">
        <v>-0.95</v>
      </c>
      <c r="DE123" s="228">
        <v>33.42</v>
      </c>
      <c r="DF123" s="228">
        <v>33.43</v>
      </c>
      <c r="DG123" s="228">
        <v>-1.31</v>
      </c>
      <c r="DH123" s="228">
        <v>-0.01</v>
      </c>
      <c r="DI123" s="228">
        <v>32.299999999999997</v>
      </c>
      <c r="DJ123" s="228">
        <v>32.86</v>
      </c>
      <c r="DK123" s="228">
        <v>-0.56000000000000005</v>
      </c>
      <c r="DL123" s="228">
        <v>-0.56000000000000005</v>
      </c>
      <c r="DM123" s="228">
        <v>31.41</v>
      </c>
      <c r="DN123" s="228">
        <v>34.200000000000003</v>
      </c>
      <c r="DO123" s="228">
        <v>-2.79</v>
      </c>
      <c r="DP123" s="228">
        <v>-2.79</v>
      </c>
      <c r="DQ123" s="228">
        <v>0.49</v>
      </c>
      <c r="DR123" s="228">
        <v>0.52</v>
      </c>
      <c r="DS123" s="228">
        <v>-0.03</v>
      </c>
      <c r="DT123" s="229">
        <v>-5.7700000000000001E-2</v>
      </c>
      <c r="DU123" s="231">
        <v>2400</v>
      </c>
      <c r="DV123" s="231">
        <v>2100</v>
      </c>
      <c r="DW123" s="228">
        <v>0.28000000000000003</v>
      </c>
      <c r="DX123" s="228">
        <v>0.18</v>
      </c>
      <c r="DY123" s="228">
        <v>0.1</v>
      </c>
      <c r="DZ123" s="229">
        <v>0.55559999999999998</v>
      </c>
      <c r="EA123" s="229">
        <v>2.6100000000000002E-2</v>
      </c>
      <c r="EB123" s="230">
        <v>71325</v>
      </c>
      <c r="EC123" s="229">
        <v>3.5000000000000001E-3</v>
      </c>
      <c r="ED123" s="229">
        <v>2.6100000000000002E-2</v>
      </c>
      <c r="EE123" s="228">
        <v>5.41</v>
      </c>
      <c r="EF123" s="229">
        <v>2.3999999999999998E-3</v>
      </c>
      <c r="EG123" s="230">
        <v>160780</v>
      </c>
      <c r="EH123" s="230">
        <v>259604</v>
      </c>
      <c r="EI123" s="229">
        <v>-0.38069999999999998</v>
      </c>
      <c r="EJ123" s="229">
        <v>0.51259999999999994</v>
      </c>
      <c r="EK123" s="228">
        <v>197.33</v>
      </c>
      <c r="EL123" s="228">
        <v>50.5</v>
      </c>
      <c r="EM123" s="228">
        <v>87.01</v>
      </c>
      <c r="EN123" s="228">
        <v>34.08</v>
      </c>
      <c r="EO123" s="228">
        <v>334.84</v>
      </c>
      <c r="EP123" s="228">
        <v>506.47</v>
      </c>
      <c r="EQ123" s="228">
        <v>-171.63</v>
      </c>
      <c r="ER123" s="229">
        <v>-0.33889999999999998</v>
      </c>
      <c r="ES123" s="228">
        <v>269.45</v>
      </c>
      <c r="ET123" s="228">
        <v>121.25</v>
      </c>
      <c r="EU123" s="228">
        <v>592.58000000000004</v>
      </c>
      <c r="EV123" s="231">
        <v>16919681</v>
      </c>
      <c r="EW123" s="228">
        <v>983.27</v>
      </c>
      <c r="EX123" s="228">
        <v>989.15</v>
      </c>
      <c r="EY123" s="228">
        <v>-5.88</v>
      </c>
      <c r="EZ123" s="229">
        <v>-5.8999999999999999E-3</v>
      </c>
      <c r="FA123" s="229">
        <v>0.2601</v>
      </c>
      <c r="FB123" s="227" t="s">
        <v>567</v>
      </c>
      <c r="FC123">
        <f t="shared" si="1"/>
        <v>16</v>
      </c>
    </row>
    <row r="124" spans="1:159" ht="17.25" hidden="1" thickBot="1" x14ac:dyDescent="0.3">
      <c r="A124" s="226">
        <v>46093</v>
      </c>
      <c r="B124" s="227" t="s">
        <v>168</v>
      </c>
      <c r="C124" s="227" t="s">
        <v>254</v>
      </c>
      <c r="D124" s="228">
        <v>1200</v>
      </c>
      <c r="E124" s="228">
        <v>18</v>
      </c>
      <c r="F124" s="228">
        <v>756</v>
      </c>
      <c r="G124" s="228">
        <v>764.1</v>
      </c>
      <c r="H124" s="228">
        <v>-8.1</v>
      </c>
      <c r="I124" s="229">
        <v>-1.06E-2</v>
      </c>
      <c r="J124" s="228">
        <v>757.15</v>
      </c>
      <c r="K124" s="228">
        <v>761.6</v>
      </c>
      <c r="L124" s="228">
        <v>-4.45</v>
      </c>
      <c r="M124" s="229">
        <v>-5.7999999999999996E-3</v>
      </c>
      <c r="N124" s="228">
        <v>756</v>
      </c>
      <c r="O124" s="228">
        <v>764.1</v>
      </c>
      <c r="P124" s="228">
        <v>-8.1</v>
      </c>
      <c r="Q124" s="229">
        <v>-1.06E-2</v>
      </c>
      <c r="R124" s="228">
        <v>759</v>
      </c>
      <c r="S124" s="228">
        <v>767.65</v>
      </c>
      <c r="T124" s="228">
        <v>-8.65</v>
      </c>
      <c r="U124" s="229">
        <v>-1.1299999999999999E-2</v>
      </c>
      <c r="V124" s="228">
        <v>763</v>
      </c>
      <c r="W124" s="228">
        <v>770.75</v>
      </c>
      <c r="X124" s="228">
        <v>-7.75</v>
      </c>
      <c r="Y124" s="229">
        <v>-1.01E-2</v>
      </c>
      <c r="Z124" s="228">
        <v>-1.1499999999999999</v>
      </c>
      <c r="AA124" s="228">
        <v>2.5</v>
      </c>
      <c r="AB124" s="228">
        <v>-3.65</v>
      </c>
      <c r="AC124" s="229">
        <v>-1.5E-3</v>
      </c>
      <c r="AD124" s="228">
        <v>-1.1499999999999999</v>
      </c>
      <c r="AE124" s="228">
        <v>2.5</v>
      </c>
      <c r="AF124" s="228">
        <v>-3.65</v>
      </c>
      <c r="AG124" s="229">
        <v>-1.5E-3</v>
      </c>
      <c r="AH124" s="228">
        <v>1.85</v>
      </c>
      <c r="AI124" s="228">
        <v>6.05</v>
      </c>
      <c r="AJ124" s="228">
        <v>-4.2</v>
      </c>
      <c r="AK124" s="229">
        <v>2.3999999999999998E-3</v>
      </c>
      <c r="AL124" s="228">
        <v>5.85</v>
      </c>
      <c r="AM124" s="228">
        <v>9.15</v>
      </c>
      <c r="AN124" s="228">
        <v>-3.3</v>
      </c>
      <c r="AO124" s="229">
        <v>7.7000000000000002E-3</v>
      </c>
      <c r="AP124" s="228">
        <v>756.26</v>
      </c>
      <c r="AQ124" s="228">
        <v>759.14</v>
      </c>
      <c r="AR124" s="228">
        <v>0</v>
      </c>
      <c r="AS124" s="228">
        <v>745</v>
      </c>
      <c r="AT124" s="228">
        <v>255</v>
      </c>
      <c r="AU124" s="228">
        <v>490</v>
      </c>
      <c r="AV124" s="229">
        <v>1.9189000000000001</v>
      </c>
      <c r="AW124" s="228">
        <v>669</v>
      </c>
      <c r="AX124" s="228">
        <v>251</v>
      </c>
      <c r="AY124" s="228">
        <v>417</v>
      </c>
      <c r="AZ124" s="229">
        <v>1.6626000000000001</v>
      </c>
      <c r="BA124" s="228">
        <v>76</v>
      </c>
      <c r="BB124" s="228">
        <v>4</v>
      </c>
      <c r="BC124" s="228">
        <v>72</v>
      </c>
      <c r="BD124" s="229">
        <v>18.904800000000002</v>
      </c>
      <c r="BE124" s="228">
        <v>0</v>
      </c>
      <c r="BF124" s="228">
        <v>0</v>
      </c>
      <c r="BG124" s="228">
        <v>0</v>
      </c>
      <c r="BH124" s="229">
        <v>0.66669999999999996</v>
      </c>
      <c r="BI124" s="230">
        <v>1323</v>
      </c>
      <c r="BJ124" s="228">
        <v>400</v>
      </c>
      <c r="BK124" s="228">
        <v>923</v>
      </c>
      <c r="BL124" s="229">
        <v>2.3100999999999998</v>
      </c>
      <c r="BM124" s="230">
        <v>1311</v>
      </c>
      <c r="BN124" s="228">
        <v>443</v>
      </c>
      <c r="BO124" s="228">
        <v>868</v>
      </c>
      <c r="BP124" s="229">
        <v>1.9595</v>
      </c>
      <c r="BQ124" s="230">
        <v>3379</v>
      </c>
      <c r="BR124" s="230">
        <v>1098</v>
      </c>
      <c r="BS124" s="230">
        <v>2281</v>
      </c>
      <c r="BT124" s="229">
        <v>2.0777000000000001</v>
      </c>
      <c r="BU124" s="230">
        <v>4422388</v>
      </c>
      <c r="BV124" s="230">
        <v>1056033</v>
      </c>
      <c r="BW124" s="230">
        <v>3366355</v>
      </c>
      <c r="BX124" s="229">
        <v>3.1877</v>
      </c>
      <c r="BY124" s="230">
        <v>1913</v>
      </c>
      <c r="BZ124" s="230">
        <v>1959</v>
      </c>
      <c r="CA124" s="228">
        <v>-45</v>
      </c>
      <c r="CB124" s="229">
        <v>-2.3099999999999999E-2</v>
      </c>
      <c r="CC124" s="230">
        <v>1900</v>
      </c>
      <c r="CD124" s="230">
        <v>1951</v>
      </c>
      <c r="CE124" s="228">
        <v>-51</v>
      </c>
      <c r="CF124" s="229">
        <v>-2.63E-2</v>
      </c>
      <c r="CG124" s="228">
        <v>12</v>
      </c>
      <c r="CH124" s="228">
        <v>7</v>
      </c>
      <c r="CI124" s="228">
        <v>6</v>
      </c>
      <c r="CJ124" s="229">
        <v>0.88890000000000002</v>
      </c>
      <c r="CK124" s="228">
        <v>1</v>
      </c>
      <c r="CL124" s="228">
        <v>1</v>
      </c>
      <c r="CM124" s="228">
        <v>0</v>
      </c>
      <c r="CN124" s="229">
        <v>0.16669999999999999</v>
      </c>
      <c r="CO124" s="228">
        <v>441</v>
      </c>
      <c r="CP124" s="228">
        <v>401</v>
      </c>
      <c r="CQ124" s="228">
        <v>40</v>
      </c>
      <c r="CR124" s="229">
        <v>9.9900000000000003E-2</v>
      </c>
      <c r="CS124" s="228">
        <v>259</v>
      </c>
      <c r="CT124" s="228">
        <v>231</v>
      </c>
      <c r="CU124" s="228">
        <v>28</v>
      </c>
      <c r="CV124" s="229">
        <v>0.1201</v>
      </c>
      <c r="CW124" s="230">
        <v>2614</v>
      </c>
      <c r="CX124" s="230">
        <v>2591</v>
      </c>
      <c r="CY124" s="228">
        <v>23</v>
      </c>
      <c r="CZ124" s="229">
        <v>8.6999999999999994E-3</v>
      </c>
      <c r="DA124" s="228">
        <v>25</v>
      </c>
      <c r="DB124" s="228">
        <v>24.39</v>
      </c>
      <c r="DC124" s="228">
        <v>0.61</v>
      </c>
      <c r="DD124" s="228">
        <v>0.61</v>
      </c>
      <c r="DE124" s="228">
        <v>24.57</v>
      </c>
      <c r="DF124" s="228">
        <v>24.62</v>
      </c>
      <c r="DG124" s="228">
        <v>0.43</v>
      </c>
      <c r="DH124" s="228">
        <v>-0.05</v>
      </c>
      <c r="DI124" s="228">
        <v>24.75</v>
      </c>
      <c r="DJ124" s="228">
        <v>23.73</v>
      </c>
      <c r="DK124" s="228">
        <v>1.02</v>
      </c>
      <c r="DL124" s="228">
        <v>1.02</v>
      </c>
      <c r="DM124" s="228">
        <v>25.26</v>
      </c>
      <c r="DN124" s="228">
        <v>24.99</v>
      </c>
      <c r="DO124" s="228">
        <v>0.27</v>
      </c>
      <c r="DP124" s="228">
        <v>0.27</v>
      </c>
      <c r="DQ124" s="228">
        <v>0.59</v>
      </c>
      <c r="DR124" s="228">
        <v>0.57999999999999996</v>
      </c>
      <c r="DS124" s="228">
        <v>0.01</v>
      </c>
      <c r="DT124" s="229">
        <v>1.72E-2</v>
      </c>
      <c r="DU124" s="228">
        <v>860</v>
      </c>
      <c r="DV124" s="228">
        <v>750</v>
      </c>
      <c r="DW124" s="228">
        <v>0.99</v>
      </c>
      <c r="DX124" s="228">
        <v>1.1100000000000001</v>
      </c>
      <c r="DY124" s="228">
        <v>-0.12</v>
      </c>
      <c r="DZ124" s="229">
        <v>-0.1081</v>
      </c>
      <c r="EA124" s="229">
        <v>7.1000000000000004E-3</v>
      </c>
      <c r="EB124" s="230">
        <v>100800</v>
      </c>
      <c r="EC124" s="229">
        <v>4.0000000000000001E-3</v>
      </c>
      <c r="ED124" s="229">
        <v>7.1000000000000004E-3</v>
      </c>
      <c r="EE124" s="228">
        <v>2.88</v>
      </c>
      <c r="EF124" s="229">
        <v>3.8E-3</v>
      </c>
      <c r="EG124" s="230">
        <v>1668687</v>
      </c>
      <c r="EH124" s="230">
        <v>614167</v>
      </c>
      <c r="EI124" s="229">
        <v>1.7170000000000001</v>
      </c>
      <c r="EJ124" s="229">
        <v>0.37730000000000002</v>
      </c>
      <c r="EK124" s="231">
        <v>1367.37</v>
      </c>
      <c r="EL124" s="231">
        <v>1334.54</v>
      </c>
      <c r="EM124" s="228">
        <v>745.45</v>
      </c>
      <c r="EN124" s="228">
        <v>20.75</v>
      </c>
      <c r="EO124" s="231">
        <v>3447.36</v>
      </c>
      <c r="EP124" s="231">
        <v>1141.77</v>
      </c>
      <c r="EQ124" s="231">
        <v>2305.58</v>
      </c>
      <c r="ER124" s="229">
        <v>2.0192999999999999</v>
      </c>
      <c r="ES124" s="228">
        <v>475.36</v>
      </c>
      <c r="ET124" s="228">
        <v>257.69</v>
      </c>
      <c r="EU124" s="231">
        <v>1913.53</v>
      </c>
      <c r="EV124" s="231">
        <v>79442217</v>
      </c>
      <c r="EW124" s="231">
        <v>2646.58</v>
      </c>
      <c r="EX124" s="231">
        <v>2647.64</v>
      </c>
      <c r="EY124" s="228">
        <v>-1.06</v>
      </c>
      <c r="EZ124" s="229">
        <v>-4.0000000000000002E-4</v>
      </c>
      <c r="FA124" s="229">
        <v>0.43519999999999998</v>
      </c>
      <c r="FB124" s="227" t="s">
        <v>568</v>
      </c>
      <c r="FC124">
        <f t="shared" si="1"/>
        <v>13</v>
      </c>
    </row>
    <row r="125" spans="1:159" ht="17.25" hidden="1" thickBot="1" x14ac:dyDescent="0.3">
      <c r="A125" s="226">
        <v>46093</v>
      </c>
      <c r="B125" s="227" t="s">
        <v>162</v>
      </c>
      <c r="C125" s="227" t="s">
        <v>255</v>
      </c>
      <c r="D125" s="228">
        <v>50</v>
      </c>
      <c r="E125" s="228">
        <v>18</v>
      </c>
      <c r="F125" s="231">
        <v>13059</v>
      </c>
      <c r="G125" s="231">
        <v>13509</v>
      </c>
      <c r="H125" s="228">
        <v>-450</v>
      </c>
      <c r="I125" s="229">
        <v>-3.3300000000000003E-2</v>
      </c>
      <c r="J125" s="231">
        <v>13011</v>
      </c>
      <c r="K125" s="231">
        <v>13497</v>
      </c>
      <c r="L125" s="228">
        <v>-486</v>
      </c>
      <c r="M125" s="229">
        <v>-3.5999999999999997E-2</v>
      </c>
      <c r="N125" s="231">
        <v>13059</v>
      </c>
      <c r="O125" s="231">
        <v>13509</v>
      </c>
      <c r="P125" s="228">
        <v>-450</v>
      </c>
      <c r="Q125" s="229">
        <v>-3.3300000000000003E-2</v>
      </c>
      <c r="R125" s="231">
        <v>13138</v>
      </c>
      <c r="S125" s="231">
        <v>13597</v>
      </c>
      <c r="T125" s="228">
        <v>-459</v>
      </c>
      <c r="U125" s="229">
        <v>-3.3799999999999997E-2</v>
      </c>
      <c r="V125" s="231">
        <v>13190</v>
      </c>
      <c r="W125" s="231">
        <v>13659</v>
      </c>
      <c r="X125" s="228">
        <v>-469</v>
      </c>
      <c r="Y125" s="229">
        <v>-3.4299999999999997E-2</v>
      </c>
      <c r="Z125" s="228">
        <v>48</v>
      </c>
      <c r="AA125" s="228">
        <v>12</v>
      </c>
      <c r="AB125" s="228">
        <v>36</v>
      </c>
      <c r="AC125" s="229">
        <v>3.7000000000000002E-3</v>
      </c>
      <c r="AD125" s="228">
        <v>48</v>
      </c>
      <c r="AE125" s="228">
        <v>12</v>
      </c>
      <c r="AF125" s="228">
        <v>36</v>
      </c>
      <c r="AG125" s="229">
        <v>3.7000000000000002E-3</v>
      </c>
      <c r="AH125" s="228">
        <v>127</v>
      </c>
      <c r="AI125" s="228">
        <v>100</v>
      </c>
      <c r="AJ125" s="228">
        <v>27</v>
      </c>
      <c r="AK125" s="229">
        <v>9.7999999999999997E-3</v>
      </c>
      <c r="AL125" s="228">
        <v>179</v>
      </c>
      <c r="AM125" s="228">
        <v>162</v>
      </c>
      <c r="AN125" s="228">
        <v>17</v>
      </c>
      <c r="AO125" s="229">
        <v>1.38E-2</v>
      </c>
      <c r="AP125" s="231">
        <v>13197.08</v>
      </c>
      <c r="AQ125" s="231">
        <v>13277.53</v>
      </c>
      <c r="AR125" s="228">
        <v>0</v>
      </c>
      <c r="AS125" s="228">
        <v>956</v>
      </c>
      <c r="AT125" s="228">
        <v>655</v>
      </c>
      <c r="AU125" s="228">
        <v>301</v>
      </c>
      <c r="AV125" s="229">
        <v>0.45989999999999998</v>
      </c>
      <c r="AW125" s="228">
        <v>878</v>
      </c>
      <c r="AX125" s="228">
        <v>606</v>
      </c>
      <c r="AY125" s="228">
        <v>272</v>
      </c>
      <c r="AZ125" s="229">
        <v>0.45</v>
      </c>
      <c r="BA125" s="228">
        <v>70</v>
      </c>
      <c r="BB125" s="228">
        <v>44</v>
      </c>
      <c r="BC125" s="228">
        <v>27</v>
      </c>
      <c r="BD125" s="229">
        <v>0.61229999999999996</v>
      </c>
      <c r="BE125" s="228">
        <v>7</v>
      </c>
      <c r="BF125" s="228">
        <v>5</v>
      </c>
      <c r="BG125" s="228">
        <v>2</v>
      </c>
      <c r="BH125" s="229">
        <v>0.34520000000000001</v>
      </c>
      <c r="BI125" s="230">
        <v>5052</v>
      </c>
      <c r="BJ125" s="230">
        <v>3575</v>
      </c>
      <c r="BK125" s="230">
        <v>1477</v>
      </c>
      <c r="BL125" s="229">
        <v>0.41320000000000001</v>
      </c>
      <c r="BM125" s="230">
        <v>3588</v>
      </c>
      <c r="BN125" s="230">
        <v>2838</v>
      </c>
      <c r="BO125" s="228">
        <v>750</v>
      </c>
      <c r="BP125" s="229">
        <v>0.26440000000000002</v>
      </c>
      <c r="BQ125" s="230">
        <v>9596</v>
      </c>
      <c r="BR125" s="230">
        <v>7067</v>
      </c>
      <c r="BS125" s="230">
        <v>2528</v>
      </c>
      <c r="BT125" s="229">
        <v>0.35780000000000001</v>
      </c>
      <c r="BU125" s="230">
        <v>668239</v>
      </c>
      <c r="BV125" s="230">
        <v>412095</v>
      </c>
      <c r="BW125" s="230">
        <v>256144</v>
      </c>
      <c r="BX125" s="229">
        <v>0.62160000000000004</v>
      </c>
      <c r="BY125" s="230">
        <v>3725</v>
      </c>
      <c r="BZ125" s="230">
        <v>3635</v>
      </c>
      <c r="CA125" s="228">
        <v>90</v>
      </c>
      <c r="CB125" s="229">
        <v>2.4899999999999999E-2</v>
      </c>
      <c r="CC125" s="230">
        <v>3600</v>
      </c>
      <c r="CD125" s="230">
        <v>3532</v>
      </c>
      <c r="CE125" s="228">
        <v>68</v>
      </c>
      <c r="CF125" s="229">
        <v>1.9300000000000001E-2</v>
      </c>
      <c r="CG125" s="228">
        <v>109</v>
      </c>
      <c r="CH125" s="228">
        <v>87</v>
      </c>
      <c r="CI125" s="228">
        <v>21</v>
      </c>
      <c r="CJ125" s="229">
        <v>0.24679999999999999</v>
      </c>
      <c r="CK125" s="228">
        <v>17</v>
      </c>
      <c r="CL125" s="228">
        <v>16</v>
      </c>
      <c r="CM125" s="228">
        <v>1</v>
      </c>
      <c r="CN125" s="229">
        <v>6.2199999999999998E-2</v>
      </c>
      <c r="CO125" s="230">
        <v>3567</v>
      </c>
      <c r="CP125" s="230">
        <v>3105</v>
      </c>
      <c r="CQ125" s="228">
        <v>462</v>
      </c>
      <c r="CR125" s="229">
        <v>0.1489</v>
      </c>
      <c r="CS125" s="230">
        <v>1404</v>
      </c>
      <c r="CT125" s="230">
        <v>1305</v>
      </c>
      <c r="CU125" s="228">
        <v>99</v>
      </c>
      <c r="CV125" s="229">
        <v>7.6200000000000004E-2</v>
      </c>
      <c r="CW125" s="230">
        <v>8696</v>
      </c>
      <c r="CX125" s="230">
        <v>8044</v>
      </c>
      <c r="CY125" s="228">
        <v>652</v>
      </c>
      <c r="CZ125" s="229">
        <v>8.1100000000000005E-2</v>
      </c>
      <c r="DA125" s="228">
        <v>34.229999999999997</v>
      </c>
      <c r="DB125" s="228">
        <v>31.23</v>
      </c>
      <c r="DC125" s="228">
        <v>3</v>
      </c>
      <c r="DD125" s="228">
        <v>3</v>
      </c>
      <c r="DE125" s="228">
        <v>26.85</v>
      </c>
      <c r="DF125" s="228">
        <v>26.46</v>
      </c>
      <c r="DG125" s="228">
        <v>7.38</v>
      </c>
      <c r="DH125" s="228">
        <v>0.39</v>
      </c>
      <c r="DI125" s="228">
        <v>33.76</v>
      </c>
      <c r="DJ125" s="228">
        <v>30.28</v>
      </c>
      <c r="DK125" s="228">
        <v>3.48</v>
      </c>
      <c r="DL125" s="228">
        <v>3.48</v>
      </c>
      <c r="DM125" s="228">
        <v>34.880000000000003</v>
      </c>
      <c r="DN125" s="228">
        <v>32.43</v>
      </c>
      <c r="DO125" s="228">
        <v>2.4500000000000002</v>
      </c>
      <c r="DP125" s="228">
        <v>2.4500000000000002</v>
      </c>
      <c r="DQ125" s="228">
        <v>0.39</v>
      </c>
      <c r="DR125" s="228">
        <v>0.42</v>
      </c>
      <c r="DS125" s="228">
        <v>-0.03</v>
      </c>
      <c r="DT125" s="229">
        <v>-7.1400000000000005E-2</v>
      </c>
      <c r="DU125" s="231">
        <v>15000</v>
      </c>
      <c r="DV125" s="231">
        <v>13000</v>
      </c>
      <c r="DW125" s="228">
        <v>0.71</v>
      </c>
      <c r="DX125" s="228">
        <v>0.79</v>
      </c>
      <c r="DY125" s="228">
        <v>-0.08</v>
      </c>
      <c r="DZ125" s="229">
        <v>-0.1013</v>
      </c>
      <c r="EA125" s="229">
        <v>3.3599999999999998E-2</v>
      </c>
      <c r="EB125" s="230">
        <v>78700</v>
      </c>
      <c r="EC125" s="229">
        <v>6.0000000000000001E-3</v>
      </c>
      <c r="ED125" s="229">
        <v>3.3599999999999998E-2</v>
      </c>
      <c r="EE125" s="228">
        <v>80.45</v>
      </c>
      <c r="EF125" s="229">
        <v>6.1000000000000004E-3</v>
      </c>
      <c r="EG125" s="230">
        <v>409914</v>
      </c>
      <c r="EH125" s="230">
        <v>195369</v>
      </c>
      <c r="EI125" s="229">
        <v>1.0982000000000001</v>
      </c>
      <c r="EJ125" s="229">
        <v>0.61339999999999995</v>
      </c>
      <c r="EK125" s="231">
        <v>5520.3</v>
      </c>
      <c r="EL125" s="231">
        <v>3631.61</v>
      </c>
      <c r="EM125" s="228">
        <v>966.34</v>
      </c>
      <c r="EN125" s="228">
        <v>94.38</v>
      </c>
      <c r="EO125" s="231">
        <v>10118.25</v>
      </c>
      <c r="EP125" s="231">
        <v>7587.4</v>
      </c>
      <c r="EQ125" s="231">
        <v>2530.85</v>
      </c>
      <c r="ER125" s="229">
        <v>0.33360000000000001</v>
      </c>
      <c r="ES125" s="231">
        <v>4025.51</v>
      </c>
      <c r="ET125" s="231">
        <v>1463.63</v>
      </c>
      <c r="EU125" s="231">
        <v>3726.17</v>
      </c>
      <c r="EV125" s="231">
        <v>17687048</v>
      </c>
      <c r="EW125" s="231">
        <v>9215.2999999999993</v>
      </c>
      <c r="EX125" s="231">
        <v>8674.19</v>
      </c>
      <c r="EY125" s="228">
        <v>541.11</v>
      </c>
      <c r="EZ125" s="229">
        <v>6.2399999999999997E-2</v>
      </c>
      <c r="FA125" s="229">
        <v>0.3765</v>
      </c>
      <c r="FB125" s="227" t="s">
        <v>567</v>
      </c>
      <c r="FC125">
        <f t="shared" si="1"/>
        <v>125</v>
      </c>
    </row>
    <row r="126" spans="1:159" ht="17.25" hidden="1" thickBot="1" x14ac:dyDescent="0.3">
      <c r="A126" s="226">
        <v>46093</v>
      </c>
      <c r="B126" s="227" t="s">
        <v>170</v>
      </c>
      <c r="C126" s="227" t="s">
        <v>603</v>
      </c>
      <c r="D126" s="228">
        <v>525</v>
      </c>
      <c r="E126" s="228">
        <v>18</v>
      </c>
      <c r="F126" s="231">
        <v>1022.7</v>
      </c>
      <c r="G126" s="231">
        <v>1033.2</v>
      </c>
      <c r="H126" s="228">
        <v>-10.5</v>
      </c>
      <c r="I126" s="229">
        <v>-1.0200000000000001E-2</v>
      </c>
      <c r="J126" s="231">
        <v>1020.4</v>
      </c>
      <c r="K126" s="231">
        <v>1032.2</v>
      </c>
      <c r="L126" s="228">
        <v>-11.8</v>
      </c>
      <c r="M126" s="229">
        <v>-1.14E-2</v>
      </c>
      <c r="N126" s="231">
        <v>1022.7</v>
      </c>
      <c r="O126" s="231">
        <v>1033.2</v>
      </c>
      <c r="P126" s="228">
        <v>-10.5</v>
      </c>
      <c r="Q126" s="229">
        <v>-1.0200000000000001E-2</v>
      </c>
      <c r="R126" s="231">
        <v>1029.2</v>
      </c>
      <c r="S126" s="231">
        <v>1040.4000000000001</v>
      </c>
      <c r="T126" s="228">
        <v>-11.2</v>
      </c>
      <c r="U126" s="229">
        <v>-1.0800000000000001E-2</v>
      </c>
      <c r="V126" s="231">
        <v>1034.3</v>
      </c>
      <c r="W126" s="231">
        <v>1044.0999999999999</v>
      </c>
      <c r="X126" s="228">
        <v>-9.8000000000000007</v>
      </c>
      <c r="Y126" s="229">
        <v>-9.4000000000000004E-3</v>
      </c>
      <c r="Z126" s="228">
        <v>2.2999999999999998</v>
      </c>
      <c r="AA126" s="228">
        <v>1</v>
      </c>
      <c r="AB126" s="228">
        <v>1.3</v>
      </c>
      <c r="AC126" s="229">
        <v>2.3E-3</v>
      </c>
      <c r="AD126" s="228">
        <v>2.2999999999999998</v>
      </c>
      <c r="AE126" s="228">
        <v>1</v>
      </c>
      <c r="AF126" s="228">
        <v>1.3</v>
      </c>
      <c r="AG126" s="229">
        <v>2.3E-3</v>
      </c>
      <c r="AH126" s="228">
        <v>8.8000000000000007</v>
      </c>
      <c r="AI126" s="228">
        <v>8.1999999999999993</v>
      </c>
      <c r="AJ126" s="228">
        <v>0.6</v>
      </c>
      <c r="AK126" s="229">
        <v>8.6E-3</v>
      </c>
      <c r="AL126" s="228">
        <v>13.9</v>
      </c>
      <c r="AM126" s="228">
        <v>11.9</v>
      </c>
      <c r="AN126" s="228">
        <v>2</v>
      </c>
      <c r="AO126" s="229">
        <v>1.3599999999999999E-2</v>
      </c>
      <c r="AP126" s="231">
        <v>1022.85</v>
      </c>
      <c r="AQ126" s="231">
        <v>1030.25</v>
      </c>
      <c r="AR126" s="228">
        <v>0</v>
      </c>
      <c r="AS126" s="228">
        <v>165</v>
      </c>
      <c r="AT126" s="228">
        <v>138</v>
      </c>
      <c r="AU126" s="228">
        <v>27</v>
      </c>
      <c r="AV126" s="229">
        <v>0.19420000000000001</v>
      </c>
      <c r="AW126" s="228">
        <v>157</v>
      </c>
      <c r="AX126" s="228">
        <v>131</v>
      </c>
      <c r="AY126" s="228">
        <v>26</v>
      </c>
      <c r="AZ126" s="229">
        <v>0.19789999999999999</v>
      </c>
      <c r="BA126" s="228">
        <v>8</v>
      </c>
      <c r="BB126" s="228">
        <v>7</v>
      </c>
      <c r="BC126" s="228">
        <v>0</v>
      </c>
      <c r="BD126" s="229">
        <v>6.0199999999999997E-2</v>
      </c>
      <c r="BE126" s="228">
        <v>1</v>
      </c>
      <c r="BF126" s="228">
        <v>0</v>
      </c>
      <c r="BG126" s="228">
        <v>0</v>
      </c>
      <c r="BH126" s="229">
        <v>4.5</v>
      </c>
      <c r="BI126" s="228">
        <v>286</v>
      </c>
      <c r="BJ126" s="228">
        <v>292</v>
      </c>
      <c r="BK126" s="228">
        <v>-6</v>
      </c>
      <c r="BL126" s="229">
        <v>-2.0899999999999998E-2</v>
      </c>
      <c r="BM126" s="228">
        <v>210</v>
      </c>
      <c r="BN126" s="228">
        <v>241</v>
      </c>
      <c r="BO126" s="228">
        <v>-31</v>
      </c>
      <c r="BP126" s="229">
        <v>-0.13020000000000001</v>
      </c>
      <c r="BQ126" s="228">
        <v>661</v>
      </c>
      <c r="BR126" s="228">
        <v>671</v>
      </c>
      <c r="BS126" s="228">
        <v>-11</v>
      </c>
      <c r="BT126" s="229">
        <v>-1.5900000000000001E-2</v>
      </c>
      <c r="BU126" s="230">
        <v>5772624</v>
      </c>
      <c r="BV126" s="230">
        <v>2239035</v>
      </c>
      <c r="BW126" s="230">
        <v>3533589</v>
      </c>
      <c r="BX126" s="229">
        <v>1.5782</v>
      </c>
      <c r="BY126" s="230">
        <v>1380</v>
      </c>
      <c r="BZ126" s="230">
        <v>1394</v>
      </c>
      <c r="CA126" s="228">
        <v>-14</v>
      </c>
      <c r="CB126" s="229">
        <v>-9.9000000000000008E-3</v>
      </c>
      <c r="CC126" s="230">
        <v>1357</v>
      </c>
      <c r="CD126" s="230">
        <v>1373</v>
      </c>
      <c r="CE126" s="228">
        <v>-16</v>
      </c>
      <c r="CF126" s="229">
        <v>-1.17E-2</v>
      </c>
      <c r="CG126" s="228">
        <v>20</v>
      </c>
      <c r="CH126" s="228">
        <v>19</v>
      </c>
      <c r="CI126" s="228">
        <v>2</v>
      </c>
      <c r="CJ126" s="229">
        <v>0.1043</v>
      </c>
      <c r="CK126" s="228">
        <v>3</v>
      </c>
      <c r="CL126" s="228">
        <v>2</v>
      </c>
      <c r="CM126" s="228">
        <v>0</v>
      </c>
      <c r="CN126" s="229">
        <v>0.1905</v>
      </c>
      <c r="CO126" s="228">
        <v>272</v>
      </c>
      <c r="CP126" s="228">
        <v>261</v>
      </c>
      <c r="CQ126" s="228">
        <v>11</v>
      </c>
      <c r="CR126" s="229">
        <v>4.3200000000000002E-2</v>
      </c>
      <c r="CS126" s="228">
        <v>234</v>
      </c>
      <c r="CT126" s="228">
        <v>227</v>
      </c>
      <c r="CU126" s="228">
        <v>7</v>
      </c>
      <c r="CV126" s="229">
        <v>3.1E-2</v>
      </c>
      <c r="CW126" s="230">
        <v>1886</v>
      </c>
      <c r="CX126" s="230">
        <v>1881</v>
      </c>
      <c r="CY126" s="228">
        <v>5</v>
      </c>
      <c r="CZ126" s="229">
        <v>2.3999999999999998E-3</v>
      </c>
      <c r="DA126" s="228">
        <v>30.66</v>
      </c>
      <c r="DB126" s="228">
        <v>31.3</v>
      </c>
      <c r="DC126" s="228">
        <v>-0.64</v>
      </c>
      <c r="DD126" s="228">
        <v>-0.64</v>
      </c>
      <c r="DE126" s="228">
        <v>36.869999999999997</v>
      </c>
      <c r="DF126" s="228">
        <v>36.93</v>
      </c>
      <c r="DG126" s="228">
        <v>-6.21</v>
      </c>
      <c r="DH126" s="228">
        <v>-0.06</v>
      </c>
      <c r="DI126" s="228">
        <v>29.87</v>
      </c>
      <c r="DJ126" s="228">
        <v>30.53</v>
      </c>
      <c r="DK126" s="228">
        <v>-0.66</v>
      </c>
      <c r="DL126" s="228">
        <v>-0.66</v>
      </c>
      <c r="DM126" s="228">
        <v>31.74</v>
      </c>
      <c r="DN126" s="228">
        <v>32.24</v>
      </c>
      <c r="DO126" s="228">
        <v>-0.5</v>
      </c>
      <c r="DP126" s="228">
        <v>-0.5</v>
      </c>
      <c r="DQ126" s="228">
        <v>0.86</v>
      </c>
      <c r="DR126" s="228">
        <v>0.87</v>
      </c>
      <c r="DS126" s="228">
        <v>-0.01</v>
      </c>
      <c r="DT126" s="229">
        <v>-1.15E-2</v>
      </c>
      <c r="DU126" s="231">
        <v>1100</v>
      </c>
      <c r="DV126" s="231">
        <v>1020</v>
      </c>
      <c r="DW126" s="228">
        <v>0.73</v>
      </c>
      <c r="DX126" s="228">
        <v>0.82</v>
      </c>
      <c r="DY126" s="228">
        <v>-0.09</v>
      </c>
      <c r="DZ126" s="229">
        <v>-0.10979999999999999</v>
      </c>
      <c r="EA126" s="229">
        <v>1.6799999999999999E-2</v>
      </c>
      <c r="EB126" s="230">
        <v>203175</v>
      </c>
      <c r="EC126" s="229">
        <v>6.4000000000000003E-3</v>
      </c>
      <c r="ED126" s="229">
        <v>1.6799999999999999E-2</v>
      </c>
      <c r="EE126" s="228">
        <v>7.4</v>
      </c>
      <c r="EF126" s="229">
        <v>7.1999999999999998E-3</v>
      </c>
      <c r="EG126" s="230">
        <v>4242335</v>
      </c>
      <c r="EH126" s="230">
        <v>1460181</v>
      </c>
      <c r="EI126" s="229">
        <v>1.9053</v>
      </c>
      <c r="EJ126" s="229">
        <v>0.7349</v>
      </c>
      <c r="EK126" s="228">
        <v>302.93</v>
      </c>
      <c r="EL126" s="228">
        <v>212.53</v>
      </c>
      <c r="EM126" s="228">
        <v>164.86</v>
      </c>
      <c r="EN126" s="228">
        <v>31.18</v>
      </c>
      <c r="EO126" s="228">
        <v>680.32</v>
      </c>
      <c r="EP126" s="228">
        <v>696.28</v>
      </c>
      <c r="EQ126" s="228">
        <v>-15.96</v>
      </c>
      <c r="ER126" s="229">
        <v>-2.29E-2</v>
      </c>
      <c r="ES126" s="228">
        <v>294.32</v>
      </c>
      <c r="ET126" s="228">
        <v>238.15</v>
      </c>
      <c r="EU126" s="231">
        <v>1379.93</v>
      </c>
      <c r="EV126" s="231">
        <v>111218809</v>
      </c>
      <c r="EW126" s="231">
        <v>1912.41</v>
      </c>
      <c r="EX126" s="231">
        <v>1922.39</v>
      </c>
      <c r="EY126" s="228">
        <v>-9.98</v>
      </c>
      <c r="EZ126" s="229">
        <v>-5.1999999999999998E-3</v>
      </c>
      <c r="FA126" s="229">
        <v>0.1658</v>
      </c>
      <c r="FB126" s="227" t="s">
        <v>568</v>
      </c>
      <c r="FC126">
        <f t="shared" si="1"/>
        <v>23</v>
      </c>
    </row>
    <row r="127" spans="1:159" ht="17.25" hidden="1" thickBot="1" x14ac:dyDescent="0.3">
      <c r="A127" s="226">
        <v>46093</v>
      </c>
      <c r="B127" s="227" t="s">
        <v>215</v>
      </c>
      <c r="C127" s="227" t="s">
        <v>672</v>
      </c>
      <c r="D127" s="228">
        <v>200</v>
      </c>
      <c r="E127" s="228">
        <v>18</v>
      </c>
      <c r="F127" s="231">
        <v>2460.1999999999998</v>
      </c>
      <c r="G127" s="231">
        <v>2437.8000000000002</v>
      </c>
      <c r="H127" s="228">
        <v>22.4</v>
      </c>
      <c r="I127" s="229">
        <v>9.1999999999999998E-3</v>
      </c>
      <c r="J127" s="231">
        <v>2443.3000000000002</v>
      </c>
      <c r="K127" s="231">
        <v>2436.1</v>
      </c>
      <c r="L127" s="228">
        <v>7.2</v>
      </c>
      <c r="M127" s="229">
        <v>3.0000000000000001E-3</v>
      </c>
      <c r="N127" s="231">
        <v>2460.1999999999998</v>
      </c>
      <c r="O127" s="231">
        <v>2437.8000000000002</v>
      </c>
      <c r="P127" s="228">
        <v>22.4</v>
      </c>
      <c r="Q127" s="229">
        <v>9.1999999999999998E-3</v>
      </c>
      <c r="R127" s="231">
        <v>2467.4</v>
      </c>
      <c r="S127" s="231">
        <v>2453.5</v>
      </c>
      <c r="T127" s="228">
        <v>13.9</v>
      </c>
      <c r="U127" s="229">
        <v>5.7000000000000002E-3</v>
      </c>
      <c r="V127" s="231">
        <v>2485.8000000000002</v>
      </c>
      <c r="W127" s="231">
        <v>2464</v>
      </c>
      <c r="X127" s="228">
        <v>21.8</v>
      </c>
      <c r="Y127" s="229">
        <v>8.8000000000000005E-3</v>
      </c>
      <c r="Z127" s="228">
        <v>16.899999999999999</v>
      </c>
      <c r="AA127" s="228">
        <v>1.7</v>
      </c>
      <c r="AB127" s="228">
        <v>15.2</v>
      </c>
      <c r="AC127" s="229">
        <v>6.8999999999999999E-3</v>
      </c>
      <c r="AD127" s="228">
        <v>16.899999999999999</v>
      </c>
      <c r="AE127" s="228">
        <v>1.7</v>
      </c>
      <c r="AF127" s="228">
        <v>15.2</v>
      </c>
      <c r="AG127" s="229">
        <v>6.8999999999999999E-3</v>
      </c>
      <c r="AH127" s="228">
        <v>24.1</v>
      </c>
      <c r="AI127" s="228">
        <v>17.399999999999999</v>
      </c>
      <c r="AJ127" s="228">
        <v>6.7</v>
      </c>
      <c r="AK127" s="229">
        <v>9.9000000000000008E-3</v>
      </c>
      <c r="AL127" s="228">
        <v>42.5</v>
      </c>
      <c r="AM127" s="228">
        <v>27.9</v>
      </c>
      <c r="AN127" s="228">
        <v>14.6</v>
      </c>
      <c r="AO127" s="229">
        <v>1.7399999999999999E-2</v>
      </c>
      <c r="AP127" s="231">
        <v>2439.0300000000002</v>
      </c>
      <c r="AQ127" s="231">
        <v>2433.59</v>
      </c>
      <c r="AR127" s="228">
        <v>0</v>
      </c>
      <c r="AS127" s="228">
        <v>609</v>
      </c>
      <c r="AT127" s="228">
        <v>384</v>
      </c>
      <c r="AU127" s="228">
        <v>224</v>
      </c>
      <c r="AV127" s="229">
        <v>0.5837</v>
      </c>
      <c r="AW127" s="228">
        <v>455</v>
      </c>
      <c r="AX127" s="228">
        <v>345</v>
      </c>
      <c r="AY127" s="228">
        <v>110</v>
      </c>
      <c r="AZ127" s="229">
        <v>0.31929999999999997</v>
      </c>
      <c r="BA127" s="228">
        <v>149</v>
      </c>
      <c r="BB127" s="228">
        <v>36</v>
      </c>
      <c r="BC127" s="228">
        <v>113</v>
      </c>
      <c r="BD127" s="229">
        <v>3.1153</v>
      </c>
      <c r="BE127" s="228">
        <v>5</v>
      </c>
      <c r="BF127" s="228">
        <v>3</v>
      </c>
      <c r="BG127" s="228">
        <v>1</v>
      </c>
      <c r="BH127" s="229">
        <v>0.38569999999999999</v>
      </c>
      <c r="BI127" s="230">
        <v>1704</v>
      </c>
      <c r="BJ127" s="230">
        <v>2352</v>
      </c>
      <c r="BK127" s="228">
        <v>-648</v>
      </c>
      <c r="BL127" s="229">
        <v>-0.27550000000000002</v>
      </c>
      <c r="BM127" s="228">
        <v>733</v>
      </c>
      <c r="BN127" s="228">
        <v>855</v>
      </c>
      <c r="BO127" s="228">
        <v>-122</v>
      </c>
      <c r="BP127" s="229">
        <v>-0.14269999999999999</v>
      </c>
      <c r="BQ127" s="230">
        <v>3046</v>
      </c>
      <c r="BR127" s="230">
        <v>3592</v>
      </c>
      <c r="BS127" s="228">
        <v>-546</v>
      </c>
      <c r="BT127" s="229">
        <v>-0.152</v>
      </c>
      <c r="BU127" s="230">
        <v>2550512</v>
      </c>
      <c r="BV127" s="230">
        <v>2731737</v>
      </c>
      <c r="BW127" s="230">
        <v>-181225</v>
      </c>
      <c r="BX127" s="229">
        <v>-6.6299999999999998E-2</v>
      </c>
      <c r="BY127" s="230">
        <v>1266</v>
      </c>
      <c r="BZ127" s="230">
        <v>1167</v>
      </c>
      <c r="CA127" s="228">
        <v>99</v>
      </c>
      <c r="CB127" s="229">
        <v>8.5000000000000006E-2</v>
      </c>
      <c r="CC127" s="230">
        <v>1058</v>
      </c>
      <c r="CD127" s="228">
        <v>982</v>
      </c>
      <c r="CE127" s="228">
        <v>75</v>
      </c>
      <c r="CF127" s="229">
        <v>7.6600000000000001E-2</v>
      </c>
      <c r="CG127" s="228">
        <v>145</v>
      </c>
      <c r="CH127" s="228">
        <v>122</v>
      </c>
      <c r="CI127" s="228">
        <v>23</v>
      </c>
      <c r="CJ127" s="229">
        <v>0.19109999999999999</v>
      </c>
      <c r="CK127" s="228">
        <v>63</v>
      </c>
      <c r="CL127" s="228">
        <v>63</v>
      </c>
      <c r="CM127" s="228">
        <v>1</v>
      </c>
      <c r="CN127" s="229">
        <v>8.6E-3</v>
      </c>
      <c r="CO127" s="230">
        <v>1134</v>
      </c>
      <c r="CP127" s="230">
        <v>1172</v>
      </c>
      <c r="CQ127" s="228">
        <v>-38</v>
      </c>
      <c r="CR127" s="229">
        <v>-3.2500000000000001E-2</v>
      </c>
      <c r="CS127" s="228">
        <v>692</v>
      </c>
      <c r="CT127" s="228">
        <v>666</v>
      </c>
      <c r="CU127" s="228">
        <v>26</v>
      </c>
      <c r="CV127" s="229">
        <v>3.9E-2</v>
      </c>
      <c r="CW127" s="230">
        <v>3091</v>
      </c>
      <c r="CX127" s="230">
        <v>3004</v>
      </c>
      <c r="CY127" s="228">
        <v>87</v>
      </c>
      <c r="CZ127" s="229">
        <v>2.8899999999999999E-2</v>
      </c>
      <c r="DA127" s="228">
        <v>46.36</v>
      </c>
      <c r="DB127" s="228">
        <v>47.67</v>
      </c>
      <c r="DC127" s="228">
        <v>-1.31</v>
      </c>
      <c r="DD127" s="228">
        <v>-1.31</v>
      </c>
      <c r="DE127" s="228">
        <v>53.97</v>
      </c>
      <c r="DF127" s="228">
        <v>54.09</v>
      </c>
      <c r="DG127" s="228">
        <v>-7.61</v>
      </c>
      <c r="DH127" s="228">
        <v>-0.12</v>
      </c>
      <c r="DI127" s="228">
        <v>46.02</v>
      </c>
      <c r="DJ127" s="228">
        <v>48.01</v>
      </c>
      <c r="DK127" s="228">
        <v>-1.99</v>
      </c>
      <c r="DL127" s="228">
        <v>-1.99</v>
      </c>
      <c r="DM127" s="228">
        <v>47.14</v>
      </c>
      <c r="DN127" s="228">
        <v>46.74</v>
      </c>
      <c r="DO127" s="228">
        <v>0.4</v>
      </c>
      <c r="DP127" s="228">
        <v>0.4</v>
      </c>
      <c r="DQ127" s="228">
        <v>0.61</v>
      </c>
      <c r="DR127" s="228">
        <v>0.56999999999999995</v>
      </c>
      <c r="DS127" s="228">
        <v>0.04</v>
      </c>
      <c r="DT127" s="229">
        <v>7.0199999999999999E-2</v>
      </c>
      <c r="DU127" s="231">
        <v>2500</v>
      </c>
      <c r="DV127" s="231">
        <v>2300</v>
      </c>
      <c r="DW127" s="228">
        <v>0.43</v>
      </c>
      <c r="DX127" s="228">
        <v>0.36</v>
      </c>
      <c r="DY127" s="228">
        <v>7.0000000000000007E-2</v>
      </c>
      <c r="DZ127" s="229">
        <v>0.19439999999999999</v>
      </c>
      <c r="EA127" s="229">
        <v>0.16470000000000001</v>
      </c>
      <c r="EB127" s="230">
        <v>750600</v>
      </c>
      <c r="EC127" s="229">
        <v>2.8999999999999998E-3</v>
      </c>
      <c r="ED127" s="229">
        <v>0.16470000000000001</v>
      </c>
      <c r="EE127" s="228">
        <v>-5.44</v>
      </c>
      <c r="EF127" s="229">
        <v>-2.2000000000000001E-3</v>
      </c>
      <c r="EG127" s="230">
        <v>627437</v>
      </c>
      <c r="EH127" s="230">
        <v>596922</v>
      </c>
      <c r="EI127" s="229">
        <v>5.11E-2</v>
      </c>
      <c r="EJ127" s="229">
        <v>0.246</v>
      </c>
      <c r="EK127" s="231">
        <v>1805.73</v>
      </c>
      <c r="EL127" s="228">
        <v>717.71</v>
      </c>
      <c r="EM127" s="228">
        <v>603.08000000000004</v>
      </c>
      <c r="EN127" s="228">
        <v>179.98</v>
      </c>
      <c r="EO127" s="231">
        <v>3126.52</v>
      </c>
      <c r="EP127" s="231">
        <v>3789.79</v>
      </c>
      <c r="EQ127" s="228">
        <v>-663.27</v>
      </c>
      <c r="ER127" s="229">
        <v>-0.17499999999999999</v>
      </c>
      <c r="ES127" s="231">
        <v>1182.56</v>
      </c>
      <c r="ET127" s="228">
        <v>654.45000000000005</v>
      </c>
      <c r="EU127" s="231">
        <v>1267.25</v>
      </c>
      <c r="EV127" s="231">
        <v>11364224</v>
      </c>
      <c r="EW127" s="231">
        <v>3104.27</v>
      </c>
      <c r="EX127" s="231">
        <v>3010.9</v>
      </c>
      <c r="EY127" s="228">
        <v>93.37</v>
      </c>
      <c r="EZ127" s="229">
        <v>3.1E-2</v>
      </c>
      <c r="FA127" s="229">
        <v>1.1055999999999999</v>
      </c>
      <c r="FB127" s="227" t="s">
        <v>555</v>
      </c>
      <c r="FC127">
        <f t="shared" si="1"/>
        <v>208</v>
      </c>
    </row>
    <row r="128" spans="1:159" ht="17.25" hidden="1" thickBot="1" x14ac:dyDescent="0.3">
      <c r="A128" s="226">
        <v>46093</v>
      </c>
      <c r="B128" s="227" t="s">
        <v>175</v>
      </c>
      <c r="C128" s="227" t="s">
        <v>517</v>
      </c>
      <c r="D128" s="228">
        <v>625</v>
      </c>
      <c r="E128" s="228">
        <v>18</v>
      </c>
      <c r="F128" s="231">
        <v>2534.6999999999998</v>
      </c>
      <c r="G128" s="231">
        <v>2537.9</v>
      </c>
      <c r="H128" s="228">
        <v>-3.2</v>
      </c>
      <c r="I128" s="229">
        <v>-1.2999999999999999E-3</v>
      </c>
      <c r="J128" s="231">
        <v>2526.1</v>
      </c>
      <c r="K128" s="231">
        <v>2531.6</v>
      </c>
      <c r="L128" s="228">
        <v>-5.5</v>
      </c>
      <c r="M128" s="229">
        <v>-2.2000000000000001E-3</v>
      </c>
      <c r="N128" s="231">
        <v>2534.6999999999998</v>
      </c>
      <c r="O128" s="231">
        <v>2537.9</v>
      </c>
      <c r="P128" s="228">
        <v>-3.2</v>
      </c>
      <c r="Q128" s="229">
        <v>-1.2999999999999999E-3</v>
      </c>
      <c r="R128" s="231">
        <v>2549.6</v>
      </c>
      <c r="S128" s="231">
        <v>2554.6</v>
      </c>
      <c r="T128" s="228">
        <v>-5</v>
      </c>
      <c r="U128" s="229">
        <v>-2E-3</v>
      </c>
      <c r="V128" s="231">
        <v>2560.6999999999998</v>
      </c>
      <c r="W128" s="231">
        <v>2566.4</v>
      </c>
      <c r="X128" s="228">
        <v>-5.7</v>
      </c>
      <c r="Y128" s="229">
        <v>-2.2000000000000001E-3</v>
      </c>
      <c r="Z128" s="228">
        <v>8.6</v>
      </c>
      <c r="AA128" s="228">
        <v>6.3</v>
      </c>
      <c r="AB128" s="228">
        <v>2.2999999999999998</v>
      </c>
      <c r="AC128" s="229">
        <v>3.3999999999999998E-3</v>
      </c>
      <c r="AD128" s="228">
        <v>8.6</v>
      </c>
      <c r="AE128" s="228">
        <v>6.3</v>
      </c>
      <c r="AF128" s="228">
        <v>2.2999999999999998</v>
      </c>
      <c r="AG128" s="229">
        <v>3.3999999999999998E-3</v>
      </c>
      <c r="AH128" s="228">
        <v>23.5</v>
      </c>
      <c r="AI128" s="228">
        <v>23</v>
      </c>
      <c r="AJ128" s="228">
        <v>0.5</v>
      </c>
      <c r="AK128" s="229">
        <v>9.2999999999999992E-3</v>
      </c>
      <c r="AL128" s="228">
        <v>34.6</v>
      </c>
      <c r="AM128" s="228">
        <v>34.799999999999997</v>
      </c>
      <c r="AN128" s="228">
        <v>-0.2</v>
      </c>
      <c r="AO128" s="229">
        <v>1.37E-2</v>
      </c>
      <c r="AP128" s="231">
        <v>2516.71</v>
      </c>
      <c r="AQ128" s="231">
        <v>2526.4699999999998</v>
      </c>
      <c r="AR128" s="228">
        <v>0</v>
      </c>
      <c r="AS128" s="228">
        <v>858</v>
      </c>
      <c r="AT128" s="228">
        <v>863</v>
      </c>
      <c r="AU128" s="228">
        <v>-5</v>
      </c>
      <c r="AV128" s="229">
        <v>-5.7000000000000002E-3</v>
      </c>
      <c r="AW128" s="228">
        <v>775</v>
      </c>
      <c r="AX128" s="228">
        <v>774</v>
      </c>
      <c r="AY128" s="228">
        <v>1</v>
      </c>
      <c r="AZ128" s="229">
        <v>1.8E-3</v>
      </c>
      <c r="BA128" s="228">
        <v>77</v>
      </c>
      <c r="BB128" s="228">
        <v>72</v>
      </c>
      <c r="BC128" s="228">
        <v>5</v>
      </c>
      <c r="BD128" s="229">
        <v>6.3700000000000007E-2</v>
      </c>
      <c r="BE128" s="228">
        <v>6</v>
      </c>
      <c r="BF128" s="228">
        <v>17</v>
      </c>
      <c r="BG128" s="228">
        <v>-11</v>
      </c>
      <c r="BH128" s="229">
        <v>-0.62729999999999997</v>
      </c>
      <c r="BI128" s="230">
        <v>2055</v>
      </c>
      <c r="BJ128" s="230">
        <v>2068</v>
      </c>
      <c r="BK128" s="228">
        <v>-13</v>
      </c>
      <c r="BL128" s="229">
        <v>-6.1000000000000004E-3</v>
      </c>
      <c r="BM128" s="230">
        <v>1309</v>
      </c>
      <c r="BN128" s="230">
        <v>1383</v>
      </c>
      <c r="BO128" s="228">
        <v>-74</v>
      </c>
      <c r="BP128" s="229">
        <v>-5.3800000000000001E-2</v>
      </c>
      <c r="BQ128" s="230">
        <v>4222</v>
      </c>
      <c r="BR128" s="230">
        <v>4314</v>
      </c>
      <c r="BS128" s="228">
        <v>-92</v>
      </c>
      <c r="BT128" s="229">
        <v>-2.1299999999999999E-2</v>
      </c>
      <c r="BU128" s="230">
        <v>2599054</v>
      </c>
      <c r="BV128" s="230">
        <v>2180368</v>
      </c>
      <c r="BW128" s="230">
        <v>418686</v>
      </c>
      <c r="BX128" s="229">
        <v>0.192</v>
      </c>
      <c r="BY128" s="230">
        <v>3382</v>
      </c>
      <c r="BZ128" s="230">
        <v>3360</v>
      </c>
      <c r="CA128" s="228">
        <v>22</v>
      </c>
      <c r="CB128" s="229">
        <v>6.4999999999999997E-3</v>
      </c>
      <c r="CC128" s="230">
        <v>3178</v>
      </c>
      <c r="CD128" s="230">
        <v>3158</v>
      </c>
      <c r="CE128" s="228">
        <v>20</v>
      </c>
      <c r="CF128" s="229">
        <v>6.3E-3</v>
      </c>
      <c r="CG128" s="228">
        <v>159</v>
      </c>
      <c r="CH128" s="228">
        <v>157</v>
      </c>
      <c r="CI128" s="228">
        <v>2</v>
      </c>
      <c r="CJ128" s="229">
        <v>1.21E-2</v>
      </c>
      <c r="CK128" s="228">
        <v>46</v>
      </c>
      <c r="CL128" s="228">
        <v>46</v>
      </c>
      <c r="CM128" s="228">
        <v>0</v>
      </c>
      <c r="CN128" s="229">
        <v>-3.3999999999999998E-3</v>
      </c>
      <c r="CO128" s="230">
        <v>2042</v>
      </c>
      <c r="CP128" s="230">
        <v>2045</v>
      </c>
      <c r="CQ128" s="228">
        <v>-3</v>
      </c>
      <c r="CR128" s="229">
        <v>-1.1999999999999999E-3</v>
      </c>
      <c r="CS128" s="230">
        <v>1495</v>
      </c>
      <c r="CT128" s="230">
        <v>1513</v>
      </c>
      <c r="CU128" s="228">
        <v>-19</v>
      </c>
      <c r="CV128" s="229">
        <v>-1.2200000000000001E-2</v>
      </c>
      <c r="CW128" s="230">
        <v>6919</v>
      </c>
      <c r="CX128" s="230">
        <v>6919</v>
      </c>
      <c r="CY128" s="228">
        <v>1</v>
      </c>
      <c r="CZ128" s="229">
        <v>1E-4</v>
      </c>
      <c r="DA128" s="228">
        <v>45</v>
      </c>
      <c r="DB128" s="228">
        <v>46.81</v>
      </c>
      <c r="DC128" s="228">
        <v>-1.81</v>
      </c>
      <c r="DD128" s="228">
        <v>-1.81</v>
      </c>
      <c r="DE128" s="228">
        <v>49.5</v>
      </c>
      <c r="DF128" s="228">
        <v>49.62</v>
      </c>
      <c r="DG128" s="228">
        <v>-4.5</v>
      </c>
      <c r="DH128" s="228">
        <v>-0.12</v>
      </c>
      <c r="DI128" s="228">
        <v>44.41</v>
      </c>
      <c r="DJ128" s="228">
        <v>46.13</v>
      </c>
      <c r="DK128" s="228">
        <v>-1.72</v>
      </c>
      <c r="DL128" s="228">
        <v>-1.72</v>
      </c>
      <c r="DM128" s="228">
        <v>45.94</v>
      </c>
      <c r="DN128" s="228">
        <v>47.82</v>
      </c>
      <c r="DO128" s="228">
        <v>-1.88</v>
      </c>
      <c r="DP128" s="228">
        <v>-1.88</v>
      </c>
      <c r="DQ128" s="228">
        <v>0.73</v>
      </c>
      <c r="DR128" s="228">
        <v>0.74</v>
      </c>
      <c r="DS128" s="228">
        <v>-0.01</v>
      </c>
      <c r="DT128" s="229">
        <v>-1.35E-2</v>
      </c>
      <c r="DU128" s="231">
        <v>2500</v>
      </c>
      <c r="DV128" s="231">
        <v>2400</v>
      </c>
      <c r="DW128" s="228">
        <v>0.64</v>
      </c>
      <c r="DX128" s="228">
        <v>0.67</v>
      </c>
      <c r="DY128" s="228">
        <v>-0.03</v>
      </c>
      <c r="DZ128" s="229">
        <v>-4.48E-2</v>
      </c>
      <c r="EA128" s="229">
        <v>6.0400000000000002E-2</v>
      </c>
      <c r="EB128" s="230">
        <v>799375</v>
      </c>
      <c r="EC128" s="229">
        <v>5.8999999999999999E-3</v>
      </c>
      <c r="ED128" s="229">
        <v>6.0400000000000002E-2</v>
      </c>
      <c r="EE128" s="228">
        <v>9.76</v>
      </c>
      <c r="EF128" s="229">
        <v>3.8999999999999998E-3</v>
      </c>
      <c r="EG128" s="230">
        <v>1079396</v>
      </c>
      <c r="EH128" s="230">
        <v>915206</v>
      </c>
      <c r="EI128" s="229">
        <v>0.1794</v>
      </c>
      <c r="EJ128" s="229">
        <v>0.4153</v>
      </c>
      <c r="EK128" s="231">
        <v>2185.0100000000002</v>
      </c>
      <c r="EL128" s="231">
        <v>1296.57</v>
      </c>
      <c r="EM128" s="228">
        <v>852.73</v>
      </c>
      <c r="EN128" s="228">
        <v>78.38</v>
      </c>
      <c r="EO128" s="231">
        <v>4334.3100000000004</v>
      </c>
      <c r="EP128" s="231">
        <v>4493.42</v>
      </c>
      <c r="EQ128" s="228">
        <v>-159.11000000000001</v>
      </c>
      <c r="ER128" s="229">
        <v>-3.5400000000000001E-2</v>
      </c>
      <c r="ES128" s="231">
        <v>2116.63</v>
      </c>
      <c r="ET128" s="231">
        <v>1388.22</v>
      </c>
      <c r="EU128" s="231">
        <v>3383.33</v>
      </c>
      <c r="EV128" s="231">
        <v>38177110</v>
      </c>
      <c r="EW128" s="231">
        <v>6888.17</v>
      </c>
      <c r="EX128" s="231">
        <v>6892.53</v>
      </c>
      <c r="EY128" s="228">
        <v>-4.3600000000000003</v>
      </c>
      <c r="EZ128" s="229">
        <v>-5.9999999999999995E-4</v>
      </c>
      <c r="FA128" s="229">
        <v>0.71499999999999997</v>
      </c>
      <c r="FB128" s="227" t="s">
        <v>567</v>
      </c>
      <c r="FC128">
        <f t="shared" si="1"/>
        <v>204</v>
      </c>
    </row>
    <row r="129" spans="1:159" ht="17.25" hidden="1" thickBot="1" x14ac:dyDescent="0.3">
      <c r="A129" s="226">
        <v>46093</v>
      </c>
      <c r="B129" s="227" t="s">
        <v>175</v>
      </c>
      <c r="C129" s="227" t="s">
        <v>257</v>
      </c>
      <c r="D129" s="228">
        <v>400</v>
      </c>
      <c r="E129" s="228">
        <v>18</v>
      </c>
      <c r="F129" s="231">
        <v>1699.1</v>
      </c>
      <c r="G129" s="231">
        <v>1730.8</v>
      </c>
      <c r="H129" s="228">
        <v>-31.7</v>
      </c>
      <c r="I129" s="229">
        <v>-1.83E-2</v>
      </c>
      <c r="J129" s="231">
        <v>1696.2</v>
      </c>
      <c r="K129" s="231">
        <v>1725.5</v>
      </c>
      <c r="L129" s="228">
        <v>-29.3</v>
      </c>
      <c r="M129" s="229">
        <v>-1.7000000000000001E-2</v>
      </c>
      <c r="N129" s="231">
        <v>1699.1</v>
      </c>
      <c r="O129" s="231">
        <v>1730.8</v>
      </c>
      <c r="P129" s="228">
        <v>-31.7</v>
      </c>
      <c r="Q129" s="229">
        <v>-1.83E-2</v>
      </c>
      <c r="R129" s="231">
        <v>1707.4</v>
      </c>
      <c r="S129" s="231">
        <v>1738.8</v>
      </c>
      <c r="T129" s="228">
        <v>-31.4</v>
      </c>
      <c r="U129" s="229">
        <v>-1.8100000000000002E-2</v>
      </c>
      <c r="V129" s="231">
        <v>1720</v>
      </c>
      <c r="W129" s="231">
        <v>1762.5</v>
      </c>
      <c r="X129" s="228">
        <v>-42.5</v>
      </c>
      <c r="Y129" s="229">
        <v>-2.41E-2</v>
      </c>
      <c r="Z129" s="228">
        <v>2.9</v>
      </c>
      <c r="AA129" s="228">
        <v>5.3</v>
      </c>
      <c r="AB129" s="228">
        <v>-2.4</v>
      </c>
      <c r="AC129" s="229">
        <v>1.6999999999999999E-3</v>
      </c>
      <c r="AD129" s="228">
        <v>2.9</v>
      </c>
      <c r="AE129" s="228">
        <v>5.3</v>
      </c>
      <c r="AF129" s="228">
        <v>-2.4</v>
      </c>
      <c r="AG129" s="229">
        <v>1.6999999999999999E-3</v>
      </c>
      <c r="AH129" s="228">
        <v>11.2</v>
      </c>
      <c r="AI129" s="228">
        <v>13.3</v>
      </c>
      <c r="AJ129" s="228">
        <v>-2.1</v>
      </c>
      <c r="AK129" s="229">
        <v>6.6E-3</v>
      </c>
      <c r="AL129" s="228">
        <v>23.8</v>
      </c>
      <c r="AM129" s="228">
        <v>37</v>
      </c>
      <c r="AN129" s="228">
        <v>-13.2</v>
      </c>
      <c r="AO129" s="229">
        <v>1.4E-2</v>
      </c>
      <c r="AP129" s="231">
        <v>1698.33</v>
      </c>
      <c r="AQ129" s="231">
        <v>1704.49</v>
      </c>
      <c r="AR129" s="228">
        <v>0</v>
      </c>
      <c r="AS129" s="228">
        <v>141</v>
      </c>
      <c r="AT129" s="228">
        <v>218</v>
      </c>
      <c r="AU129" s="228">
        <v>-77</v>
      </c>
      <c r="AV129" s="229">
        <v>-0.35399999999999998</v>
      </c>
      <c r="AW129" s="228">
        <v>138</v>
      </c>
      <c r="AX129" s="228">
        <v>214</v>
      </c>
      <c r="AY129" s="228">
        <v>-76</v>
      </c>
      <c r="AZ129" s="229">
        <v>-0.3548</v>
      </c>
      <c r="BA129" s="228">
        <v>3</v>
      </c>
      <c r="BB129" s="228">
        <v>4</v>
      </c>
      <c r="BC129" s="228">
        <v>-1</v>
      </c>
      <c r="BD129" s="229">
        <v>-0.3276</v>
      </c>
      <c r="BE129" s="228">
        <v>0</v>
      </c>
      <c r="BF129" s="228">
        <v>0</v>
      </c>
      <c r="BG129" s="228">
        <v>0</v>
      </c>
      <c r="BH129" s="229">
        <v>0</v>
      </c>
      <c r="BI129" s="228">
        <v>128</v>
      </c>
      <c r="BJ129" s="228">
        <v>123</v>
      </c>
      <c r="BK129" s="228">
        <v>4</v>
      </c>
      <c r="BL129" s="229">
        <v>3.5900000000000001E-2</v>
      </c>
      <c r="BM129" s="228">
        <v>91</v>
      </c>
      <c r="BN129" s="228">
        <v>64</v>
      </c>
      <c r="BO129" s="228">
        <v>27</v>
      </c>
      <c r="BP129" s="229">
        <v>0.4234</v>
      </c>
      <c r="BQ129" s="228">
        <v>359</v>
      </c>
      <c r="BR129" s="228">
        <v>405</v>
      </c>
      <c r="BS129" s="228">
        <v>-46</v>
      </c>
      <c r="BT129" s="229">
        <v>-0.1128</v>
      </c>
      <c r="BU129" s="230">
        <v>1100898</v>
      </c>
      <c r="BV129" s="230">
        <v>924891</v>
      </c>
      <c r="BW129" s="230">
        <v>176007</v>
      </c>
      <c r="BX129" s="229">
        <v>0.1903</v>
      </c>
      <c r="BY129" s="230">
        <v>1595</v>
      </c>
      <c r="BZ129" s="230">
        <v>1578</v>
      </c>
      <c r="CA129" s="228">
        <v>17</v>
      </c>
      <c r="CB129" s="229">
        <v>1.0999999999999999E-2</v>
      </c>
      <c r="CC129" s="230">
        <v>1591</v>
      </c>
      <c r="CD129" s="230">
        <v>1574</v>
      </c>
      <c r="CE129" s="228">
        <v>17</v>
      </c>
      <c r="CF129" s="229">
        <v>1.09E-2</v>
      </c>
      <c r="CG129" s="228">
        <v>4</v>
      </c>
      <c r="CH129" s="228">
        <v>4</v>
      </c>
      <c r="CI129" s="228">
        <v>0</v>
      </c>
      <c r="CJ129" s="229">
        <v>9.4299999999999995E-2</v>
      </c>
      <c r="CK129" s="228">
        <v>0</v>
      </c>
      <c r="CL129" s="228">
        <v>0</v>
      </c>
      <c r="CM129" s="228">
        <v>0</v>
      </c>
      <c r="CN129" s="229">
        <v>-0.28570000000000001</v>
      </c>
      <c r="CO129" s="228">
        <v>158</v>
      </c>
      <c r="CP129" s="228">
        <v>161</v>
      </c>
      <c r="CQ129" s="228">
        <v>-2</v>
      </c>
      <c r="CR129" s="229">
        <v>-1.4E-2</v>
      </c>
      <c r="CS129" s="228">
        <v>145</v>
      </c>
      <c r="CT129" s="228">
        <v>137</v>
      </c>
      <c r="CU129" s="228">
        <v>8</v>
      </c>
      <c r="CV129" s="229">
        <v>5.8999999999999997E-2</v>
      </c>
      <c r="CW129" s="230">
        <v>1898</v>
      </c>
      <c r="CX129" s="230">
        <v>1875</v>
      </c>
      <c r="CY129" s="228">
        <v>23</v>
      </c>
      <c r="CZ129" s="229">
        <v>1.24E-2</v>
      </c>
      <c r="DA129" s="228">
        <v>31.56</v>
      </c>
      <c r="DB129" s="228">
        <v>31.08</v>
      </c>
      <c r="DC129" s="228">
        <v>0.48</v>
      </c>
      <c r="DD129" s="228">
        <v>0.48</v>
      </c>
      <c r="DE129" s="228">
        <v>29.6</v>
      </c>
      <c r="DF129" s="228">
        <v>29.58</v>
      </c>
      <c r="DG129" s="228">
        <v>1.96</v>
      </c>
      <c r="DH129" s="228">
        <v>0.02</v>
      </c>
      <c r="DI129" s="228">
        <v>30.08</v>
      </c>
      <c r="DJ129" s="228">
        <v>30.13</v>
      </c>
      <c r="DK129" s="228">
        <v>-0.05</v>
      </c>
      <c r="DL129" s="228">
        <v>-0.05</v>
      </c>
      <c r="DM129" s="228">
        <v>33.64</v>
      </c>
      <c r="DN129" s="228">
        <v>32.92</v>
      </c>
      <c r="DO129" s="228">
        <v>0.72</v>
      </c>
      <c r="DP129" s="228">
        <v>0.72</v>
      </c>
      <c r="DQ129" s="228">
        <v>0.92</v>
      </c>
      <c r="DR129" s="228">
        <v>0.85</v>
      </c>
      <c r="DS129" s="228">
        <v>7.0000000000000007E-2</v>
      </c>
      <c r="DT129" s="229">
        <v>8.2400000000000001E-2</v>
      </c>
      <c r="DU129" s="231">
        <v>1860</v>
      </c>
      <c r="DV129" s="231">
        <v>1700</v>
      </c>
      <c r="DW129" s="228">
        <v>0.71</v>
      </c>
      <c r="DX129" s="228">
        <v>0.52</v>
      </c>
      <c r="DY129" s="228">
        <v>0.19</v>
      </c>
      <c r="DZ129" s="229">
        <v>0.3654</v>
      </c>
      <c r="EA129" s="229">
        <v>2.7000000000000001E-3</v>
      </c>
      <c r="EB129" s="230">
        <v>24000</v>
      </c>
      <c r="EC129" s="229">
        <v>4.8999999999999998E-3</v>
      </c>
      <c r="ED129" s="229">
        <v>2.7000000000000001E-3</v>
      </c>
      <c r="EE129" s="228">
        <v>6.16</v>
      </c>
      <c r="EF129" s="229">
        <v>3.5999999999999999E-3</v>
      </c>
      <c r="EG129" s="230">
        <v>813552</v>
      </c>
      <c r="EH129" s="230">
        <v>574099</v>
      </c>
      <c r="EI129" s="229">
        <v>0.41710000000000003</v>
      </c>
      <c r="EJ129" s="229">
        <v>0.73899999999999999</v>
      </c>
      <c r="EK129" s="228">
        <v>136.88</v>
      </c>
      <c r="EL129" s="228">
        <v>88.18</v>
      </c>
      <c r="EM129" s="228">
        <v>140.69999999999999</v>
      </c>
      <c r="EN129" s="228">
        <v>32.57</v>
      </c>
      <c r="EO129" s="228">
        <v>365.76</v>
      </c>
      <c r="EP129" s="228">
        <v>419.91</v>
      </c>
      <c r="EQ129" s="228">
        <v>-54.15</v>
      </c>
      <c r="ER129" s="229">
        <v>-0.129</v>
      </c>
      <c r="ES129" s="228">
        <v>172.3</v>
      </c>
      <c r="ET129" s="228">
        <v>144.79</v>
      </c>
      <c r="EU129" s="231">
        <v>1595</v>
      </c>
      <c r="EV129" s="231">
        <v>33919851</v>
      </c>
      <c r="EW129" s="231">
        <v>1912.09</v>
      </c>
      <c r="EX129" s="231">
        <v>1919.77</v>
      </c>
      <c r="EY129" s="228">
        <v>-7.68</v>
      </c>
      <c r="EZ129" s="229">
        <v>-4.0000000000000001E-3</v>
      </c>
      <c r="FA129" s="229">
        <v>0.32940000000000003</v>
      </c>
      <c r="FB129" s="227" t="s">
        <v>567</v>
      </c>
      <c r="FC129">
        <f t="shared" si="1"/>
        <v>4</v>
      </c>
    </row>
    <row r="130" spans="1:159" ht="17.25" hidden="1" thickBot="1" x14ac:dyDescent="0.3">
      <c r="A130" s="226">
        <v>46093</v>
      </c>
      <c r="B130" s="227" t="s">
        <v>181</v>
      </c>
      <c r="C130" s="227" t="s">
        <v>563</v>
      </c>
      <c r="D130" s="228">
        <v>120</v>
      </c>
      <c r="E130" s="228">
        <v>18</v>
      </c>
      <c r="F130" s="231">
        <v>12962.8</v>
      </c>
      <c r="G130" s="231">
        <v>12963.2</v>
      </c>
      <c r="H130" s="228">
        <v>-0.4</v>
      </c>
      <c r="I130" s="229">
        <v>0</v>
      </c>
      <c r="J130" s="231">
        <v>12961.15</v>
      </c>
      <c r="K130" s="231">
        <v>12961.9</v>
      </c>
      <c r="L130" s="228">
        <v>-0.75</v>
      </c>
      <c r="M130" s="229">
        <v>-1E-4</v>
      </c>
      <c r="N130" s="231">
        <v>12962.8</v>
      </c>
      <c r="O130" s="231">
        <v>12963.2</v>
      </c>
      <c r="P130" s="228">
        <v>-0.4</v>
      </c>
      <c r="Q130" s="229">
        <v>0</v>
      </c>
      <c r="R130" s="231">
        <v>13031.85</v>
      </c>
      <c r="S130" s="231">
        <v>13037.85</v>
      </c>
      <c r="T130" s="228">
        <v>-6</v>
      </c>
      <c r="U130" s="229">
        <v>-5.0000000000000001E-4</v>
      </c>
      <c r="V130" s="231">
        <v>13102.35</v>
      </c>
      <c r="W130" s="231">
        <v>13086.45</v>
      </c>
      <c r="X130" s="228">
        <v>15.9</v>
      </c>
      <c r="Y130" s="229">
        <v>1.1999999999999999E-3</v>
      </c>
      <c r="Z130" s="228">
        <v>1.65</v>
      </c>
      <c r="AA130" s="228">
        <v>1.3</v>
      </c>
      <c r="AB130" s="228">
        <v>0.35</v>
      </c>
      <c r="AC130" s="229">
        <v>1E-4</v>
      </c>
      <c r="AD130" s="228">
        <v>1.65</v>
      </c>
      <c r="AE130" s="228">
        <v>1.3</v>
      </c>
      <c r="AF130" s="228">
        <v>0.35</v>
      </c>
      <c r="AG130" s="229">
        <v>1E-4</v>
      </c>
      <c r="AH130" s="228">
        <v>70.7</v>
      </c>
      <c r="AI130" s="228">
        <v>75.95</v>
      </c>
      <c r="AJ130" s="228">
        <v>-5.25</v>
      </c>
      <c r="AK130" s="229">
        <v>5.4999999999999997E-3</v>
      </c>
      <c r="AL130" s="228">
        <v>141.19999999999999</v>
      </c>
      <c r="AM130" s="228">
        <v>124.55</v>
      </c>
      <c r="AN130" s="228">
        <v>16.649999999999999</v>
      </c>
      <c r="AO130" s="229">
        <v>1.09E-2</v>
      </c>
      <c r="AP130" s="231">
        <v>12911.31</v>
      </c>
      <c r="AQ130" s="231">
        <v>12968.87</v>
      </c>
      <c r="AR130" s="228">
        <v>0</v>
      </c>
      <c r="AS130" s="230">
        <v>1467</v>
      </c>
      <c r="AT130" s="228">
        <v>985</v>
      </c>
      <c r="AU130" s="228">
        <v>482</v>
      </c>
      <c r="AV130" s="229">
        <v>0.4889</v>
      </c>
      <c r="AW130" s="230">
        <v>1351</v>
      </c>
      <c r="AX130" s="228">
        <v>911</v>
      </c>
      <c r="AY130" s="228">
        <v>440</v>
      </c>
      <c r="AZ130" s="229">
        <v>0.48280000000000001</v>
      </c>
      <c r="BA130" s="228">
        <v>99</v>
      </c>
      <c r="BB130" s="228">
        <v>64</v>
      </c>
      <c r="BC130" s="228">
        <v>35</v>
      </c>
      <c r="BD130" s="229">
        <v>0.55230000000000001</v>
      </c>
      <c r="BE130" s="228">
        <v>17</v>
      </c>
      <c r="BF130" s="228">
        <v>10</v>
      </c>
      <c r="BG130" s="228">
        <v>7</v>
      </c>
      <c r="BH130" s="229">
        <v>0.6462</v>
      </c>
      <c r="BI130" s="230">
        <v>15432</v>
      </c>
      <c r="BJ130" s="230">
        <v>15691</v>
      </c>
      <c r="BK130" s="228">
        <v>-259</v>
      </c>
      <c r="BL130" s="229">
        <v>-1.6500000000000001E-2</v>
      </c>
      <c r="BM130" s="230">
        <v>16230</v>
      </c>
      <c r="BN130" s="230">
        <v>16381</v>
      </c>
      <c r="BO130" s="228">
        <v>-151</v>
      </c>
      <c r="BP130" s="229">
        <v>-9.1999999999999998E-3</v>
      </c>
      <c r="BQ130" s="230">
        <v>33129</v>
      </c>
      <c r="BR130" s="230">
        <v>33057</v>
      </c>
      <c r="BS130" s="228">
        <v>72</v>
      </c>
      <c r="BT130" s="229">
        <v>2.2000000000000001E-3</v>
      </c>
      <c r="BU130" s="228">
        <v>0</v>
      </c>
      <c r="BV130" s="228">
        <v>0</v>
      </c>
      <c r="BW130" s="228">
        <v>0</v>
      </c>
      <c r="BX130" s="229">
        <v>0</v>
      </c>
      <c r="BY130" s="230">
        <v>3851</v>
      </c>
      <c r="BZ130" s="230">
        <v>3826</v>
      </c>
      <c r="CA130" s="228">
        <v>25</v>
      </c>
      <c r="CB130" s="229">
        <v>6.4000000000000003E-3</v>
      </c>
      <c r="CC130" s="230">
        <v>3662</v>
      </c>
      <c r="CD130" s="230">
        <v>3664</v>
      </c>
      <c r="CE130" s="228">
        <v>-2</v>
      </c>
      <c r="CF130" s="229">
        <v>-5.9999999999999995E-4</v>
      </c>
      <c r="CG130" s="228">
        <v>170</v>
      </c>
      <c r="CH130" s="228">
        <v>144</v>
      </c>
      <c r="CI130" s="228">
        <v>27</v>
      </c>
      <c r="CJ130" s="229">
        <v>0.18529999999999999</v>
      </c>
      <c r="CK130" s="228">
        <v>19</v>
      </c>
      <c r="CL130" s="228">
        <v>19</v>
      </c>
      <c r="CM130" s="228">
        <v>0</v>
      </c>
      <c r="CN130" s="229">
        <v>8.3999999999999995E-3</v>
      </c>
      <c r="CO130" s="230">
        <v>8412</v>
      </c>
      <c r="CP130" s="230">
        <v>8272</v>
      </c>
      <c r="CQ130" s="228">
        <v>141</v>
      </c>
      <c r="CR130" s="229">
        <v>1.7000000000000001E-2</v>
      </c>
      <c r="CS130" s="230">
        <v>8011</v>
      </c>
      <c r="CT130" s="230">
        <v>7718</v>
      </c>
      <c r="CU130" s="228">
        <v>293</v>
      </c>
      <c r="CV130" s="229">
        <v>3.7999999999999999E-2</v>
      </c>
      <c r="CW130" s="230">
        <v>20274</v>
      </c>
      <c r="CX130" s="230">
        <v>19816</v>
      </c>
      <c r="CY130" s="228">
        <v>458</v>
      </c>
      <c r="CZ130" s="229">
        <v>2.3099999999999999E-2</v>
      </c>
      <c r="DA130" s="228">
        <v>28.64</v>
      </c>
      <c r="DB130" s="228">
        <v>27.26</v>
      </c>
      <c r="DC130" s="228">
        <v>1.38</v>
      </c>
      <c r="DD130" s="228">
        <v>1.38</v>
      </c>
      <c r="DE130" s="228">
        <v>22.51</v>
      </c>
      <c r="DF130" s="228">
        <v>22.56</v>
      </c>
      <c r="DG130" s="228">
        <v>6.13</v>
      </c>
      <c r="DH130" s="228">
        <v>-0.05</v>
      </c>
      <c r="DI130" s="228">
        <v>26.38</v>
      </c>
      <c r="DJ130" s="228">
        <v>25.52</v>
      </c>
      <c r="DK130" s="228">
        <v>0.86</v>
      </c>
      <c r="DL130" s="228">
        <v>0.86</v>
      </c>
      <c r="DM130" s="228">
        <v>30.79</v>
      </c>
      <c r="DN130" s="228">
        <v>28.92</v>
      </c>
      <c r="DO130" s="228">
        <v>1.87</v>
      </c>
      <c r="DP130" s="228">
        <v>1.87</v>
      </c>
      <c r="DQ130" s="228">
        <v>0.95</v>
      </c>
      <c r="DR130" s="228">
        <v>0.93</v>
      </c>
      <c r="DS130" s="228">
        <v>0.02</v>
      </c>
      <c r="DT130" s="229">
        <v>2.1499999999999998E-2</v>
      </c>
      <c r="DU130" s="231">
        <v>13500</v>
      </c>
      <c r="DV130" s="231">
        <v>12000</v>
      </c>
      <c r="DW130" s="228">
        <v>1.05</v>
      </c>
      <c r="DX130" s="228">
        <v>1.04</v>
      </c>
      <c r="DY130" s="228">
        <v>0.01</v>
      </c>
      <c r="DZ130" s="229">
        <v>9.5999999999999992E-3</v>
      </c>
      <c r="EA130" s="229">
        <v>4.9000000000000002E-2</v>
      </c>
      <c r="EB130" s="230">
        <v>125040</v>
      </c>
      <c r="EC130" s="229">
        <v>5.3E-3</v>
      </c>
      <c r="ED130" s="229">
        <v>4.9000000000000002E-2</v>
      </c>
      <c r="EE130" s="228">
        <v>57.56</v>
      </c>
      <c r="EF130" s="229">
        <v>4.4999999999999997E-3</v>
      </c>
      <c r="EG130" s="228">
        <v>0</v>
      </c>
      <c r="EH130" s="228">
        <v>0</v>
      </c>
      <c r="EI130" s="229">
        <v>0</v>
      </c>
      <c r="EJ130" s="229">
        <v>0</v>
      </c>
      <c r="EK130" s="231">
        <v>16179.95</v>
      </c>
      <c r="EL130" s="231">
        <v>15963.91</v>
      </c>
      <c r="EM130" s="231">
        <v>1461.75</v>
      </c>
      <c r="EN130" s="228">
        <v>0</v>
      </c>
      <c r="EO130" s="231">
        <v>33605.61</v>
      </c>
      <c r="EP130" s="231">
        <v>34047</v>
      </c>
      <c r="EQ130" s="228">
        <v>-441.39</v>
      </c>
      <c r="ER130" s="229">
        <v>-1.2999999999999999E-2</v>
      </c>
      <c r="ES130" s="231">
        <v>8968.42</v>
      </c>
      <c r="ET130" s="231">
        <v>7790.26</v>
      </c>
      <c r="EU130" s="231">
        <v>3852.15</v>
      </c>
      <c r="EV130" s="228">
        <v>0</v>
      </c>
      <c r="EW130" s="231">
        <v>20610.82</v>
      </c>
      <c r="EX130" s="231">
        <v>20207.900000000001</v>
      </c>
      <c r="EY130" s="228">
        <v>402.92</v>
      </c>
      <c r="EZ130" s="229">
        <v>1.9900000000000001E-2</v>
      </c>
      <c r="FA130" s="229">
        <v>0</v>
      </c>
      <c r="FB130" s="227" t="s">
        <v>237</v>
      </c>
      <c r="FC130">
        <f t="shared" si="1"/>
        <v>189</v>
      </c>
    </row>
    <row r="131" spans="1:159" ht="17.25" hidden="1" thickBot="1" x14ac:dyDescent="0.3">
      <c r="A131" s="226">
        <v>46093</v>
      </c>
      <c r="B131" s="227" t="s">
        <v>162</v>
      </c>
      <c r="C131" s="227" t="s">
        <v>559</v>
      </c>
      <c r="D131" s="228">
        <v>6150</v>
      </c>
      <c r="E131" s="228">
        <v>18</v>
      </c>
      <c r="F131" s="228">
        <v>119.63</v>
      </c>
      <c r="G131" s="228">
        <v>121</v>
      </c>
      <c r="H131" s="228">
        <v>-1.37</v>
      </c>
      <c r="I131" s="229">
        <v>-1.1299999999999999E-2</v>
      </c>
      <c r="J131" s="228">
        <v>120.17</v>
      </c>
      <c r="K131" s="228">
        <v>121.39</v>
      </c>
      <c r="L131" s="228">
        <v>-1.22</v>
      </c>
      <c r="M131" s="229">
        <v>-1.01E-2</v>
      </c>
      <c r="N131" s="228">
        <v>119.63</v>
      </c>
      <c r="O131" s="228">
        <v>121</v>
      </c>
      <c r="P131" s="228">
        <v>-1.37</v>
      </c>
      <c r="Q131" s="229">
        <v>-1.1299999999999999E-2</v>
      </c>
      <c r="R131" s="228">
        <v>120.16</v>
      </c>
      <c r="S131" s="228">
        <v>121.65</v>
      </c>
      <c r="T131" s="228">
        <v>-1.49</v>
      </c>
      <c r="U131" s="229">
        <v>-1.2200000000000001E-2</v>
      </c>
      <c r="V131" s="228">
        <v>120.89</v>
      </c>
      <c r="W131" s="228">
        <v>122.62</v>
      </c>
      <c r="X131" s="228">
        <v>-1.73</v>
      </c>
      <c r="Y131" s="229">
        <v>-1.41E-2</v>
      </c>
      <c r="Z131" s="228">
        <v>-0.54</v>
      </c>
      <c r="AA131" s="228">
        <v>-0.39</v>
      </c>
      <c r="AB131" s="228">
        <v>-0.15</v>
      </c>
      <c r="AC131" s="229">
        <v>-4.4999999999999997E-3</v>
      </c>
      <c r="AD131" s="228">
        <v>-0.54</v>
      </c>
      <c r="AE131" s="228">
        <v>-0.39</v>
      </c>
      <c r="AF131" s="228">
        <v>-0.15</v>
      </c>
      <c r="AG131" s="229">
        <v>-4.4999999999999997E-3</v>
      </c>
      <c r="AH131" s="228">
        <v>-0.01</v>
      </c>
      <c r="AI131" s="228">
        <v>0.26</v>
      </c>
      <c r="AJ131" s="228">
        <v>-0.27</v>
      </c>
      <c r="AK131" s="229">
        <v>-1E-4</v>
      </c>
      <c r="AL131" s="228">
        <v>0.72</v>
      </c>
      <c r="AM131" s="228">
        <v>1.23</v>
      </c>
      <c r="AN131" s="228">
        <v>-0.51</v>
      </c>
      <c r="AO131" s="229">
        <v>6.0000000000000001E-3</v>
      </c>
      <c r="AP131" s="228">
        <v>118.6</v>
      </c>
      <c r="AQ131" s="228">
        <v>119.35</v>
      </c>
      <c r="AR131" s="228">
        <v>0</v>
      </c>
      <c r="AS131" s="228">
        <v>479</v>
      </c>
      <c r="AT131" s="228">
        <v>372</v>
      </c>
      <c r="AU131" s="228">
        <v>107</v>
      </c>
      <c r="AV131" s="229">
        <v>0.28689999999999999</v>
      </c>
      <c r="AW131" s="228">
        <v>429</v>
      </c>
      <c r="AX131" s="228">
        <v>341</v>
      </c>
      <c r="AY131" s="228">
        <v>87</v>
      </c>
      <c r="AZ131" s="229">
        <v>0.25569999999999998</v>
      </c>
      <c r="BA131" s="228">
        <v>44</v>
      </c>
      <c r="BB131" s="228">
        <v>24</v>
      </c>
      <c r="BC131" s="228">
        <v>21</v>
      </c>
      <c r="BD131" s="229">
        <v>0.86650000000000005</v>
      </c>
      <c r="BE131" s="228">
        <v>6</v>
      </c>
      <c r="BF131" s="228">
        <v>7</v>
      </c>
      <c r="BG131" s="228">
        <v>-1</v>
      </c>
      <c r="BH131" s="229">
        <v>-0.13</v>
      </c>
      <c r="BI131" s="228">
        <v>438</v>
      </c>
      <c r="BJ131" s="228">
        <v>419</v>
      </c>
      <c r="BK131" s="228">
        <v>19</v>
      </c>
      <c r="BL131" s="229">
        <v>4.6399999999999997E-2</v>
      </c>
      <c r="BM131" s="228">
        <v>294</v>
      </c>
      <c r="BN131" s="228">
        <v>223</v>
      </c>
      <c r="BO131" s="228">
        <v>71</v>
      </c>
      <c r="BP131" s="229">
        <v>0.31819999999999998</v>
      </c>
      <c r="BQ131" s="230">
        <v>1212</v>
      </c>
      <c r="BR131" s="230">
        <v>1014</v>
      </c>
      <c r="BS131" s="228">
        <v>197</v>
      </c>
      <c r="BT131" s="229">
        <v>0.19439999999999999</v>
      </c>
      <c r="BU131" s="230">
        <v>24551964</v>
      </c>
      <c r="BV131" s="230">
        <v>23660581</v>
      </c>
      <c r="BW131" s="230">
        <v>891383</v>
      </c>
      <c r="BX131" s="229">
        <v>3.7699999999999997E-2</v>
      </c>
      <c r="BY131" s="230">
        <v>1515</v>
      </c>
      <c r="BZ131" s="230">
        <v>1570</v>
      </c>
      <c r="CA131" s="228">
        <v>-55</v>
      </c>
      <c r="CB131" s="229">
        <v>-3.4700000000000002E-2</v>
      </c>
      <c r="CC131" s="230">
        <v>1464</v>
      </c>
      <c r="CD131" s="230">
        <v>1529</v>
      </c>
      <c r="CE131" s="228">
        <v>-66</v>
      </c>
      <c r="CF131" s="229">
        <v>-4.2900000000000001E-2</v>
      </c>
      <c r="CG131" s="228">
        <v>37</v>
      </c>
      <c r="CH131" s="228">
        <v>29</v>
      </c>
      <c r="CI131" s="228">
        <v>8</v>
      </c>
      <c r="CJ131" s="229">
        <v>0.28860000000000002</v>
      </c>
      <c r="CK131" s="228">
        <v>14</v>
      </c>
      <c r="CL131" s="228">
        <v>11</v>
      </c>
      <c r="CM131" s="228">
        <v>3</v>
      </c>
      <c r="CN131" s="229">
        <v>0.24340000000000001</v>
      </c>
      <c r="CO131" s="228">
        <v>596</v>
      </c>
      <c r="CP131" s="228">
        <v>541</v>
      </c>
      <c r="CQ131" s="228">
        <v>55</v>
      </c>
      <c r="CR131" s="229">
        <v>0.1023</v>
      </c>
      <c r="CS131" s="228">
        <v>400</v>
      </c>
      <c r="CT131" s="228">
        <v>388</v>
      </c>
      <c r="CU131" s="228">
        <v>12</v>
      </c>
      <c r="CV131" s="229">
        <v>3.0300000000000001E-2</v>
      </c>
      <c r="CW131" s="230">
        <v>2511</v>
      </c>
      <c r="CX131" s="230">
        <v>2499</v>
      </c>
      <c r="CY131" s="228">
        <v>13</v>
      </c>
      <c r="CZ131" s="229">
        <v>5.0000000000000001E-3</v>
      </c>
      <c r="DA131" s="228">
        <v>43.24</v>
      </c>
      <c r="DB131" s="228">
        <v>42</v>
      </c>
      <c r="DC131" s="228">
        <v>1.24</v>
      </c>
      <c r="DD131" s="228">
        <v>1.24</v>
      </c>
      <c r="DE131" s="228">
        <v>39.979999999999997</v>
      </c>
      <c r="DF131" s="228">
        <v>40.049999999999997</v>
      </c>
      <c r="DG131" s="228">
        <v>3.26</v>
      </c>
      <c r="DH131" s="228">
        <v>-7.0000000000000007E-2</v>
      </c>
      <c r="DI131" s="228">
        <v>41.74</v>
      </c>
      <c r="DJ131" s="228">
        <v>40.94</v>
      </c>
      <c r="DK131" s="228">
        <v>0.8</v>
      </c>
      <c r="DL131" s="228">
        <v>0.8</v>
      </c>
      <c r="DM131" s="228">
        <v>45.48</v>
      </c>
      <c r="DN131" s="228">
        <v>43.98</v>
      </c>
      <c r="DO131" s="228">
        <v>1.5</v>
      </c>
      <c r="DP131" s="228">
        <v>1.5</v>
      </c>
      <c r="DQ131" s="228">
        <v>0.67</v>
      </c>
      <c r="DR131" s="228">
        <v>0.72</v>
      </c>
      <c r="DS131" s="228">
        <v>-0.05</v>
      </c>
      <c r="DT131" s="229">
        <v>-6.9400000000000003E-2</v>
      </c>
      <c r="DU131" s="228">
        <v>130</v>
      </c>
      <c r="DV131" s="228">
        <v>110</v>
      </c>
      <c r="DW131" s="228">
        <v>0.67</v>
      </c>
      <c r="DX131" s="228">
        <v>0.53</v>
      </c>
      <c r="DY131" s="228">
        <v>0.14000000000000001</v>
      </c>
      <c r="DZ131" s="229">
        <v>0.26419999999999999</v>
      </c>
      <c r="EA131" s="229">
        <v>3.39E-2</v>
      </c>
      <c r="EB131" s="230">
        <v>3364050</v>
      </c>
      <c r="EC131" s="229">
        <v>4.4000000000000003E-3</v>
      </c>
      <c r="ED131" s="229">
        <v>3.39E-2</v>
      </c>
      <c r="EE131" s="228">
        <v>0.75</v>
      </c>
      <c r="EF131" s="229">
        <v>6.3E-3</v>
      </c>
      <c r="EG131" s="230">
        <v>10983978</v>
      </c>
      <c r="EH131" s="230">
        <v>12222812</v>
      </c>
      <c r="EI131" s="229">
        <v>-0.1014</v>
      </c>
      <c r="EJ131" s="229">
        <v>0.44740000000000002</v>
      </c>
      <c r="EK131" s="228">
        <v>471.78</v>
      </c>
      <c r="EL131" s="228">
        <v>294.41000000000003</v>
      </c>
      <c r="EM131" s="228">
        <v>475.41</v>
      </c>
      <c r="EN131" s="228">
        <v>48.02</v>
      </c>
      <c r="EO131" s="231">
        <v>1241.5899999999999</v>
      </c>
      <c r="EP131" s="231">
        <v>1067.06</v>
      </c>
      <c r="EQ131" s="228">
        <v>174.54</v>
      </c>
      <c r="ER131" s="229">
        <v>0.1636</v>
      </c>
      <c r="ES131" s="228">
        <v>662.82</v>
      </c>
      <c r="ET131" s="228">
        <v>399.57</v>
      </c>
      <c r="EU131" s="231">
        <v>1515.32</v>
      </c>
      <c r="EV131" s="231">
        <v>606151620</v>
      </c>
      <c r="EW131" s="231">
        <v>2577.71</v>
      </c>
      <c r="EX131" s="231">
        <v>2581.77</v>
      </c>
      <c r="EY131" s="228">
        <v>-4.0599999999999996</v>
      </c>
      <c r="EZ131" s="229">
        <v>-1.6000000000000001E-3</v>
      </c>
      <c r="FA131" s="229">
        <v>0.3463</v>
      </c>
      <c r="FB131" s="227" t="s">
        <v>568</v>
      </c>
      <c r="FC131">
        <f t="shared" ref="FC131:FC147" si="2">BY131-CC131</f>
        <v>51</v>
      </c>
    </row>
    <row r="132" spans="1:159" ht="17.25" hidden="1" thickBot="1" x14ac:dyDescent="0.3">
      <c r="A132" s="226">
        <v>46093</v>
      </c>
      <c r="B132" s="227" t="s">
        <v>221</v>
      </c>
      <c r="C132" s="227" t="s">
        <v>487</v>
      </c>
      <c r="D132" s="228">
        <v>275</v>
      </c>
      <c r="E132" s="228">
        <v>18</v>
      </c>
      <c r="F132" s="231">
        <v>2194</v>
      </c>
      <c r="G132" s="231">
        <v>2186.6999999999998</v>
      </c>
      <c r="H132" s="228">
        <v>7.3</v>
      </c>
      <c r="I132" s="229">
        <v>3.3E-3</v>
      </c>
      <c r="J132" s="231">
        <v>2185.1999999999998</v>
      </c>
      <c r="K132" s="231">
        <v>2184.9</v>
      </c>
      <c r="L132" s="228">
        <v>0.3</v>
      </c>
      <c r="M132" s="229">
        <v>1E-4</v>
      </c>
      <c r="N132" s="231">
        <v>2194</v>
      </c>
      <c r="O132" s="231">
        <v>2186.6999999999998</v>
      </c>
      <c r="P132" s="228">
        <v>7.3</v>
      </c>
      <c r="Q132" s="229">
        <v>3.3E-3</v>
      </c>
      <c r="R132" s="231">
        <v>2206.4</v>
      </c>
      <c r="S132" s="231">
        <v>2200.1</v>
      </c>
      <c r="T132" s="228">
        <v>6.3</v>
      </c>
      <c r="U132" s="229">
        <v>2.8999999999999998E-3</v>
      </c>
      <c r="V132" s="231">
        <v>2210</v>
      </c>
      <c r="W132" s="231">
        <v>2226.9</v>
      </c>
      <c r="X132" s="228">
        <v>-16.899999999999999</v>
      </c>
      <c r="Y132" s="229">
        <v>-7.6E-3</v>
      </c>
      <c r="Z132" s="228">
        <v>8.8000000000000007</v>
      </c>
      <c r="AA132" s="228">
        <v>1.8</v>
      </c>
      <c r="AB132" s="228">
        <v>7</v>
      </c>
      <c r="AC132" s="229">
        <v>4.0000000000000001E-3</v>
      </c>
      <c r="AD132" s="228">
        <v>8.8000000000000007</v>
      </c>
      <c r="AE132" s="228">
        <v>1.8</v>
      </c>
      <c r="AF132" s="228">
        <v>7</v>
      </c>
      <c r="AG132" s="229">
        <v>4.0000000000000001E-3</v>
      </c>
      <c r="AH132" s="228">
        <v>21.2</v>
      </c>
      <c r="AI132" s="228">
        <v>15.2</v>
      </c>
      <c r="AJ132" s="228">
        <v>6</v>
      </c>
      <c r="AK132" s="229">
        <v>9.7000000000000003E-3</v>
      </c>
      <c r="AL132" s="228">
        <v>24.8</v>
      </c>
      <c r="AM132" s="228">
        <v>42</v>
      </c>
      <c r="AN132" s="228">
        <v>-17.2</v>
      </c>
      <c r="AO132" s="229">
        <v>1.1299999999999999E-2</v>
      </c>
      <c r="AP132" s="231">
        <v>2193.9499999999998</v>
      </c>
      <c r="AQ132" s="231">
        <v>2202.8000000000002</v>
      </c>
      <c r="AR132" s="228">
        <v>0</v>
      </c>
      <c r="AS132" s="228">
        <v>123</v>
      </c>
      <c r="AT132" s="228">
        <v>127</v>
      </c>
      <c r="AU132" s="228">
        <v>-4</v>
      </c>
      <c r="AV132" s="229">
        <v>-3.09E-2</v>
      </c>
      <c r="AW132" s="228">
        <v>118</v>
      </c>
      <c r="AX132" s="228">
        <v>121</v>
      </c>
      <c r="AY132" s="228">
        <v>-3</v>
      </c>
      <c r="AZ132" s="229">
        <v>-2.4E-2</v>
      </c>
      <c r="BA132" s="228">
        <v>5</v>
      </c>
      <c r="BB132" s="228">
        <v>6</v>
      </c>
      <c r="BC132" s="228">
        <v>-1</v>
      </c>
      <c r="BD132" s="229">
        <v>-0.1263</v>
      </c>
      <c r="BE132" s="228">
        <v>0</v>
      </c>
      <c r="BF132" s="228">
        <v>0</v>
      </c>
      <c r="BG132" s="228">
        <v>0</v>
      </c>
      <c r="BH132" s="229">
        <v>-0.83330000000000004</v>
      </c>
      <c r="BI132" s="228">
        <v>272</v>
      </c>
      <c r="BJ132" s="228">
        <v>112</v>
      </c>
      <c r="BK132" s="228">
        <v>161</v>
      </c>
      <c r="BL132" s="229">
        <v>1.4376</v>
      </c>
      <c r="BM132" s="228">
        <v>150</v>
      </c>
      <c r="BN132" s="228">
        <v>107</v>
      </c>
      <c r="BO132" s="228">
        <v>43</v>
      </c>
      <c r="BP132" s="229">
        <v>0.40379999999999999</v>
      </c>
      <c r="BQ132" s="228">
        <v>545</v>
      </c>
      <c r="BR132" s="228">
        <v>345</v>
      </c>
      <c r="BS132" s="228">
        <v>200</v>
      </c>
      <c r="BT132" s="229">
        <v>0.57830000000000004</v>
      </c>
      <c r="BU132" s="230">
        <v>427689</v>
      </c>
      <c r="BV132" s="230">
        <v>361808</v>
      </c>
      <c r="BW132" s="230">
        <v>65881</v>
      </c>
      <c r="BX132" s="229">
        <v>0.18210000000000001</v>
      </c>
      <c r="BY132" s="230">
        <v>1204</v>
      </c>
      <c r="BZ132" s="230">
        <v>1205</v>
      </c>
      <c r="CA132" s="228">
        <v>-1</v>
      </c>
      <c r="CB132" s="229">
        <v>-1.1999999999999999E-3</v>
      </c>
      <c r="CC132" s="230">
        <v>1173</v>
      </c>
      <c r="CD132" s="230">
        <v>1175</v>
      </c>
      <c r="CE132" s="228">
        <v>-1</v>
      </c>
      <c r="CF132" s="229">
        <v>-1E-3</v>
      </c>
      <c r="CG132" s="228">
        <v>28</v>
      </c>
      <c r="CH132" s="228">
        <v>28</v>
      </c>
      <c r="CI132" s="228">
        <v>0</v>
      </c>
      <c r="CJ132" s="229">
        <v>-1.29E-2</v>
      </c>
      <c r="CK132" s="228">
        <v>2</v>
      </c>
      <c r="CL132" s="228">
        <v>2</v>
      </c>
      <c r="CM132" s="228">
        <v>0</v>
      </c>
      <c r="CN132" s="229">
        <v>2.5600000000000001E-2</v>
      </c>
      <c r="CO132" s="228">
        <v>319</v>
      </c>
      <c r="CP132" s="228">
        <v>287</v>
      </c>
      <c r="CQ132" s="228">
        <v>32</v>
      </c>
      <c r="CR132" s="229">
        <v>0.1114</v>
      </c>
      <c r="CS132" s="228">
        <v>175</v>
      </c>
      <c r="CT132" s="228">
        <v>181</v>
      </c>
      <c r="CU132" s="228">
        <v>-6</v>
      </c>
      <c r="CV132" s="229">
        <v>-3.3000000000000002E-2</v>
      </c>
      <c r="CW132" s="230">
        <v>1698</v>
      </c>
      <c r="CX132" s="230">
        <v>1673</v>
      </c>
      <c r="CY132" s="228">
        <v>25</v>
      </c>
      <c r="CZ132" s="229">
        <v>1.47E-2</v>
      </c>
      <c r="DA132" s="228">
        <v>39.340000000000003</v>
      </c>
      <c r="DB132" s="228">
        <v>42.03</v>
      </c>
      <c r="DC132" s="228">
        <v>-2.69</v>
      </c>
      <c r="DD132" s="228">
        <v>-2.69</v>
      </c>
      <c r="DE132" s="228">
        <v>35.15</v>
      </c>
      <c r="DF132" s="228">
        <v>35.24</v>
      </c>
      <c r="DG132" s="228">
        <v>4.1900000000000004</v>
      </c>
      <c r="DH132" s="228">
        <v>-0.09</v>
      </c>
      <c r="DI132" s="228">
        <v>38</v>
      </c>
      <c r="DJ132" s="228">
        <v>39.17</v>
      </c>
      <c r="DK132" s="228">
        <v>-1.17</v>
      </c>
      <c r="DL132" s="228">
        <v>-1.17</v>
      </c>
      <c r="DM132" s="228">
        <v>41.78</v>
      </c>
      <c r="DN132" s="228">
        <v>45.03</v>
      </c>
      <c r="DO132" s="228">
        <v>-3.25</v>
      </c>
      <c r="DP132" s="228">
        <v>-3.25</v>
      </c>
      <c r="DQ132" s="228">
        <v>0.55000000000000004</v>
      </c>
      <c r="DR132" s="228">
        <v>0.63</v>
      </c>
      <c r="DS132" s="228">
        <v>-0.08</v>
      </c>
      <c r="DT132" s="229">
        <v>-0.127</v>
      </c>
      <c r="DU132" s="231">
        <v>2500</v>
      </c>
      <c r="DV132" s="231">
        <v>2200</v>
      </c>
      <c r="DW132" s="228">
        <v>0.55000000000000004</v>
      </c>
      <c r="DX132" s="228">
        <v>0.96</v>
      </c>
      <c r="DY132" s="228">
        <v>-0.41</v>
      </c>
      <c r="DZ132" s="229">
        <v>-0.42709999999999998</v>
      </c>
      <c r="EA132" s="229">
        <v>2.5000000000000001E-2</v>
      </c>
      <c r="EB132" s="230">
        <v>138600</v>
      </c>
      <c r="EC132" s="229">
        <v>5.7000000000000002E-3</v>
      </c>
      <c r="ED132" s="229">
        <v>2.5000000000000001E-2</v>
      </c>
      <c r="EE132" s="228">
        <v>8.85</v>
      </c>
      <c r="EF132" s="229">
        <v>4.0000000000000001E-3</v>
      </c>
      <c r="EG132" s="230">
        <v>267694</v>
      </c>
      <c r="EH132" s="230">
        <v>170689</v>
      </c>
      <c r="EI132" s="229">
        <v>0.56830000000000003</v>
      </c>
      <c r="EJ132" s="229">
        <v>0.62590000000000001</v>
      </c>
      <c r="EK132" s="228">
        <v>295.98</v>
      </c>
      <c r="EL132" s="228">
        <v>143.66999999999999</v>
      </c>
      <c r="EM132" s="228">
        <v>123.1</v>
      </c>
      <c r="EN132" s="228">
        <v>36.020000000000003</v>
      </c>
      <c r="EO132" s="228">
        <v>562.76</v>
      </c>
      <c r="EP132" s="228">
        <v>350.56</v>
      </c>
      <c r="EQ132" s="228">
        <v>212.2</v>
      </c>
      <c r="ER132" s="229">
        <v>0.60529999999999995</v>
      </c>
      <c r="ES132" s="228">
        <v>353.8</v>
      </c>
      <c r="ET132" s="228">
        <v>175.11</v>
      </c>
      <c r="EU132" s="231">
        <v>1203.74</v>
      </c>
      <c r="EV132" s="231">
        <v>17093933</v>
      </c>
      <c r="EW132" s="231">
        <v>1732.65</v>
      </c>
      <c r="EX132" s="231">
        <v>1700.87</v>
      </c>
      <c r="EY132" s="228">
        <v>31.78</v>
      </c>
      <c r="EZ132" s="229">
        <v>1.8700000000000001E-2</v>
      </c>
      <c r="FA132" s="229">
        <v>0.4526</v>
      </c>
      <c r="FB132" s="227" t="s">
        <v>556</v>
      </c>
      <c r="FC132">
        <f t="shared" si="2"/>
        <v>31</v>
      </c>
    </row>
    <row r="133" spans="1:159" ht="17.25" hidden="1" thickBot="1" x14ac:dyDescent="0.3">
      <c r="A133" s="226">
        <v>46093</v>
      </c>
      <c r="B133" s="227" t="s">
        <v>175</v>
      </c>
      <c r="C133" s="227" t="s">
        <v>262</v>
      </c>
      <c r="D133" s="228">
        <v>275</v>
      </c>
      <c r="E133" s="228">
        <v>18</v>
      </c>
      <c r="F133" s="231">
        <v>3255.7</v>
      </c>
      <c r="G133" s="231">
        <v>3171.1</v>
      </c>
      <c r="H133" s="228">
        <v>84.6</v>
      </c>
      <c r="I133" s="229">
        <v>2.6700000000000002E-2</v>
      </c>
      <c r="J133" s="231">
        <v>3244</v>
      </c>
      <c r="K133" s="231">
        <v>3163.9</v>
      </c>
      <c r="L133" s="228">
        <v>80.099999999999994</v>
      </c>
      <c r="M133" s="229">
        <v>2.53E-2</v>
      </c>
      <c r="N133" s="231">
        <v>3255.7</v>
      </c>
      <c r="O133" s="231">
        <v>3171.1</v>
      </c>
      <c r="P133" s="228">
        <v>84.6</v>
      </c>
      <c r="Q133" s="229">
        <v>2.6700000000000002E-2</v>
      </c>
      <c r="R133" s="231">
        <v>3260</v>
      </c>
      <c r="S133" s="231">
        <v>3173.8</v>
      </c>
      <c r="T133" s="228">
        <v>86.2</v>
      </c>
      <c r="U133" s="229">
        <v>2.7199999999999998E-2</v>
      </c>
      <c r="V133" s="231">
        <v>3267.7</v>
      </c>
      <c r="W133" s="231">
        <v>3188.8</v>
      </c>
      <c r="X133" s="228">
        <v>78.900000000000006</v>
      </c>
      <c r="Y133" s="229">
        <v>2.47E-2</v>
      </c>
      <c r="Z133" s="228">
        <v>11.7</v>
      </c>
      <c r="AA133" s="228">
        <v>7.2</v>
      </c>
      <c r="AB133" s="228">
        <v>4.5</v>
      </c>
      <c r="AC133" s="229">
        <v>3.5999999999999999E-3</v>
      </c>
      <c r="AD133" s="228">
        <v>11.7</v>
      </c>
      <c r="AE133" s="228">
        <v>7.2</v>
      </c>
      <c r="AF133" s="228">
        <v>4.5</v>
      </c>
      <c r="AG133" s="229">
        <v>3.5999999999999999E-3</v>
      </c>
      <c r="AH133" s="228">
        <v>16</v>
      </c>
      <c r="AI133" s="228">
        <v>9.9</v>
      </c>
      <c r="AJ133" s="228">
        <v>6.1</v>
      </c>
      <c r="AK133" s="229">
        <v>4.8999999999999998E-3</v>
      </c>
      <c r="AL133" s="228">
        <v>23.7</v>
      </c>
      <c r="AM133" s="228">
        <v>24.9</v>
      </c>
      <c r="AN133" s="228">
        <v>-1.2</v>
      </c>
      <c r="AO133" s="229">
        <v>7.3000000000000001E-3</v>
      </c>
      <c r="AP133" s="231">
        <v>3204.49</v>
      </c>
      <c r="AQ133" s="231">
        <v>3220.29</v>
      </c>
      <c r="AR133" s="228">
        <v>0</v>
      </c>
      <c r="AS133" s="228">
        <v>358</v>
      </c>
      <c r="AT133" s="228">
        <v>428</v>
      </c>
      <c r="AU133" s="228">
        <v>-70</v>
      </c>
      <c r="AV133" s="229">
        <v>-0.16250000000000001</v>
      </c>
      <c r="AW133" s="228">
        <v>333</v>
      </c>
      <c r="AX133" s="228">
        <v>399</v>
      </c>
      <c r="AY133" s="228">
        <v>-65</v>
      </c>
      <c r="AZ133" s="229">
        <v>-0.16389999999999999</v>
      </c>
      <c r="BA133" s="228">
        <v>23</v>
      </c>
      <c r="BB133" s="228">
        <v>25</v>
      </c>
      <c r="BC133" s="228">
        <v>-2</v>
      </c>
      <c r="BD133" s="229">
        <v>-6.4299999999999996E-2</v>
      </c>
      <c r="BE133" s="228">
        <v>2</v>
      </c>
      <c r="BF133" s="228">
        <v>4</v>
      </c>
      <c r="BG133" s="228">
        <v>-3</v>
      </c>
      <c r="BH133" s="229">
        <v>-0.61699999999999999</v>
      </c>
      <c r="BI133" s="230">
        <v>1218</v>
      </c>
      <c r="BJ133" s="230">
        <v>1022</v>
      </c>
      <c r="BK133" s="228">
        <v>196</v>
      </c>
      <c r="BL133" s="229">
        <v>0.192</v>
      </c>
      <c r="BM133" s="228">
        <v>504</v>
      </c>
      <c r="BN133" s="228">
        <v>568</v>
      </c>
      <c r="BO133" s="228">
        <v>-64</v>
      </c>
      <c r="BP133" s="229">
        <v>-0.11260000000000001</v>
      </c>
      <c r="BQ133" s="230">
        <v>2081</v>
      </c>
      <c r="BR133" s="230">
        <v>2018</v>
      </c>
      <c r="BS133" s="228">
        <v>63</v>
      </c>
      <c r="BT133" s="229">
        <v>3.1099999999999999E-2</v>
      </c>
      <c r="BU133" s="230">
        <v>1812869</v>
      </c>
      <c r="BV133" s="230">
        <v>786542</v>
      </c>
      <c r="BW133" s="230">
        <v>1026327</v>
      </c>
      <c r="BX133" s="229">
        <v>1.3048999999999999</v>
      </c>
      <c r="BY133" s="230">
        <v>1283</v>
      </c>
      <c r="BZ133" s="230">
        <v>1283</v>
      </c>
      <c r="CA133" s="228">
        <v>0</v>
      </c>
      <c r="CB133" s="229">
        <v>0</v>
      </c>
      <c r="CC133" s="230">
        <v>1208</v>
      </c>
      <c r="CD133" s="230">
        <v>1212</v>
      </c>
      <c r="CE133" s="228">
        <v>-4</v>
      </c>
      <c r="CF133" s="229">
        <v>-3.0000000000000001E-3</v>
      </c>
      <c r="CG133" s="228">
        <v>66</v>
      </c>
      <c r="CH133" s="228">
        <v>63</v>
      </c>
      <c r="CI133" s="228">
        <v>3</v>
      </c>
      <c r="CJ133" s="229">
        <v>4.9599999999999998E-2</v>
      </c>
      <c r="CK133" s="228">
        <v>8</v>
      </c>
      <c r="CL133" s="228">
        <v>8</v>
      </c>
      <c r="CM133" s="228">
        <v>1</v>
      </c>
      <c r="CN133" s="229">
        <v>6.9800000000000001E-2</v>
      </c>
      <c r="CO133" s="230">
        <v>1331</v>
      </c>
      <c r="CP133" s="230">
        <v>1365</v>
      </c>
      <c r="CQ133" s="228">
        <v>-34</v>
      </c>
      <c r="CR133" s="229">
        <v>-2.4799999999999999E-2</v>
      </c>
      <c r="CS133" s="228">
        <v>569</v>
      </c>
      <c r="CT133" s="228">
        <v>557</v>
      </c>
      <c r="CU133" s="228">
        <v>12</v>
      </c>
      <c r="CV133" s="229">
        <v>2.1000000000000001E-2</v>
      </c>
      <c r="CW133" s="230">
        <v>3183</v>
      </c>
      <c r="CX133" s="230">
        <v>3206</v>
      </c>
      <c r="CY133" s="228">
        <v>-22</v>
      </c>
      <c r="CZ133" s="229">
        <v>-6.8999999999999999E-3</v>
      </c>
      <c r="DA133" s="228">
        <v>37.25</v>
      </c>
      <c r="DB133" s="228">
        <v>38.869999999999997</v>
      </c>
      <c r="DC133" s="228">
        <v>-1.62</v>
      </c>
      <c r="DD133" s="228">
        <v>-1.62</v>
      </c>
      <c r="DE133" s="228">
        <v>42.26</v>
      </c>
      <c r="DF133" s="228">
        <v>42.22</v>
      </c>
      <c r="DG133" s="228">
        <v>-5.01</v>
      </c>
      <c r="DH133" s="228">
        <v>0.04</v>
      </c>
      <c r="DI133" s="228">
        <v>36.47</v>
      </c>
      <c r="DJ133" s="228">
        <v>38.85</v>
      </c>
      <c r="DK133" s="228">
        <v>-2.38</v>
      </c>
      <c r="DL133" s="228">
        <v>-2.38</v>
      </c>
      <c r="DM133" s="228">
        <v>39.14</v>
      </c>
      <c r="DN133" s="228">
        <v>38.92</v>
      </c>
      <c r="DO133" s="228">
        <v>0.22</v>
      </c>
      <c r="DP133" s="228">
        <v>0.22</v>
      </c>
      <c r="DQ133" s="228">
        <v>0.43</v>
      </c>
      <c r="DR133" s="228">
        <v>0.41</v>
      </c>
      <c r="DS133" s="228">
        <v>0.02</v>
      </c>
      <c r="DT133" s="229">
        <v>4.8800000000000003E-2</v>
      </c>
      <c r="DU133" s="231">
        <v>4000</v>
      </c>
      <c r="DV133" s="231">
        <v>3200</v>
      </c>
      <c r="DW133" s="228">
        <v>0.41</v>
      </c>
      <c r="DX133" s="228">
        <v>0.56000000000000005</v>
      </c>
      <c r="DY133" s="228">
        <v>-0.15</v>
      </c>
      <c r="DZ133" s="229">
        <v>-0.26790000000000003</v>
      </c>
      <c r="EA133" s="229">
        <v>5.8099999999999999E-2</v>
      </c>
      <c r="EB133" s="230">
        <v>217800</v>
      </c>
      <c r="EC133" s="229">
        <v>1.2999999999999999E-3</v>
      </c>
      <c r="ED133" s="229">
        <v>5.8099999999999999E-2</v>
      </c>
      <c r="EE133" s="228">
        <v>15.8</v>
      </c>
      <c r="EF133" s="229">
        <v>4.8999999999999998E-3</v>
      </c>
      <c r="EG133" s="230">
        <v>1268868</v>
      </c>
      <c r="EH133" s="230">
        <v>399201</v>
      </c>
      <c r="EI133" s="229">
        <v>2.1785000000000001</v>
      </c>
      <c r="EJ133" s="229">
        <v>0.69989999999999997</v>
      </c>
      <c r="EK133" s="231">
        <v>1298.01</v>
      </c>
      <c r="EL133" s="228">
        <v>489</v>
      </c>
      <c r="EM133" s="228">
        <v>352.98</v>
      </c>
      <c r="EN133" s="228">
        <v>45.51</v>
      </c>
      <c r="EO133" s="231">
        <v>2139.9899999999998</v>
      </c>
      <c r="EP133" s="231">
        <v>2092.19</v>
      </c>
      <c r="EQ133" s="228">
        <v>47.8</v>
      </c>
      <c r="ER133" s="229">
        <v>2.2800000000000001E-2</v>
      </c>
      <c r="ES133" s="231">
        <v>1521.03</v>
      </c>
      <c r="ET133" s="228">
        <v>576.11</v>
      </c>
      <c r="EU133" s="231">
        <v>1283.2</v>
      </c>
      <c r="EV133" s="231">
        <v>14790848</v>
      </c>
      <c r="EW133" s="231">
        <v>3380.34</v>
      </c>
      <c r="EX133" s="231">
        <v>3377.57</v>
      </c>
      <c r="EY133" s="228">
        <v>2.77</v>
      </c>
      <c r="EZ133" s="229">
        <v>8.0000000000000004E-4</v>
      </c>
      <c r="FA133" s="229">
        <v>0.66110000000000002</v>
      </c>
      <c r="FB133" s="227" t="s">
        <v>237</v>
      </c>
      <c r="FC133">
        <f t="shared" si="2"/>
        <v>75</v>
      </c>
    </row>
    <row r="134" spans="1:159" ht="17.25" hidden="1" thickBot="1" x14ac:dyDescent="0.3">
      <c r="A134" s="226">
        <v>46093</v>
      </c>
      <c r="B134" s="227" t="s">
        <v>227</v>
      </c>
      <c r="C134" s="227" t="s">
        <v>263</v>
      </c>
      <c r="D134" s="228">
        <v>3750</v>
      </c>
      <c r="E134" s="228">
        <v>18</v>
      </c>
      <c r="F134" s="228">
        <v>409.35</v>
      </c>
      <c r="G134" s="228">
        <v>398.25</v>
      </c>
      <c r="H134" s="228">
        <v>11.1</v>
      </c>
      <c r="I134" s="229">
        <v>2.7900000000000001E-2</v>
      </c>
      <c r="J134" s="228">
        <v>409.15</v>
      </c>
      <c r="K134" s="228">
        <v>397.75</v>
      </c>
      <c r="L134" s="228">
        <v>11.4</v>
      </c>
      <c r="M134" s="229">
        <v>2.87E-2</v>
      </c>
      <c r="N134" s="228">
        <v>409.35</v>
      </c>
      <c r="O134" s="228">
        <v>398.25</v>
      </c>
      <c r="P134" s="228">
        <v>11.1</v>
      </c>
      <c r="Q134" s="229">
        <v>2.7900000000000001E-2</v>
      </c>
      <c r="R134" s="228">
        <v>411.1</v>
      </c>
      <c r="S134" s="228">
        <v>400.35</v>
      </c>
      <c r="T134" s="228">
        <v>10.75</v>
      </c>
      <c r="U134" s="229">
        <v>2.69E-2</v>
      </c>
      <c r="V134" s="228">
        <v>411.25</v>
      </c>
      <c r="W134" s="228">
        <v>400.7</v>
      </c>
      <c r="X134" s="228">
        <v>10.55</v>
      </c>
      <c r="Y134" s="229">
        <v>2.63E-2</v>
      </c>
      <c r="Z134" s="228">
        <v>0.2</v>
      </c>
      <c r="AA134" s="228">
        <v>0.5</v>
      </c>
      <c r="AB134" s="228">
        <v>-0.3</v>
      </c>
      <c r="AC134" s="229">
        <v>5.0000000000000001E-4</v>
      </c>
      <c r="AD134" s="228">
        <v>0.2</v>
      </c>
      <c r="AE134" s="228">
        <v>0.5</v>
      </c>
      <c r="AF134" s="228">
        <v>-0.3</v>
      </c>
      <c r="AG134" s="229">
        <v>5.0000000000000001E-4</v>
      </c>
      <c r="AH134" s="228">
        <v>1.95</v>
      </c>
      <c r="AI134" s="228">
        <v>2.6</v>
      </c>
      <c r="AJ134" s="228">
        <v>-0.65</v>
      </c>
      <c r="AK134" s="229">
        <v>4.7999999999999996E-3</v>
      </c>
      <c r="AL134" s="228">
        <v>2.1</v>
      </c>
      <c r="AM134" s="228">
        <v>2.95</v>
      </c>
      <c r="AN134" s="228">
        <v>-0.85</v>
      </c>
      <c r="AO134" s="229">
        <v>5.1000000000000004E-3</v>
      </c>
      <c r="AP134" s="228">
        <v>399.73</v>
      </c>
      <c r="AQ134" s="228">
        <v>401.83</v>
      </c>
      <c r="AR134" s="228">
        <v>0</v>
      </c>
      <c r="AS134" s="230">
        <v>1410</v>
      </c>
      <c r="AT134" s="230">
        <v>1116</v>
      </c>
      <c r="AU134" s="228">
        <v>294</v>
      </c>
      <c r="AV134" s="229">
        <v>0.26329999999999998</v>
      </c>
      <c r="AW134" s="230">
        <v>1288</v>
      </c>
      <c r="AX134" s="230">
        <v>1020</v>
      </c>
      <c r="AY134" s="228">
        <v>268</v>
      </c>
      <c r="AZ134" s="229">
        <v>0.26229999999999998</v>
      </c>
      <c r="BA134" s="228">
        <v>108</v>
      </c>
      <c r="BB134" s="228">
        <v>69</v>
      </c>
      <c r="BC134" s="228">
        <v>40</v>
      </c>
      <c r="BD134" s="229">
        <v>0.57940000000000003</v>
      </c>
      <c r="BE134" s="228">
        <v>14</v>
      </c>
      <c r="BF134" s="228">
        <v>27</v>
      </c>
      <c r="BG134" s="228">
        <v>-14</v>
      </c>
      <c r="BH134" s="229">
        <v>-0.49719999999999998</v>
      </c>
      <c r="BI134" s="230">
        <v>3743</v>
      </c>
      <c r="BJ134" s="230">
        <v>3738</v>
      </c>
      <c r="BK134" s="228">
        <v>5</v>
      </c>
      <c r="BL134" s="229">
        <v>1.2999999999999999E-3</v>
      </c>
      <c r="BM134" s="230">
        <v>1747</v>
      </c>
      <c r="BN134" s="230">
        <v>1630</v>
      </c>
      <c r="BO134" s="228">
        <v>117</v>
      </c>
      <c r="BP134" s="229">
        <v>7.1999999999999995E-2</v>
      </c>
      <c r="BQ134" s="230">
        <v>6900</v>
      </c>
      <c r="BR134" s="230">
        <v>6484</v>
      </c>
      <c r="BS134" s="228">
        <v>416</v>
      </c>
      <c r="BT134" s="229">
        <v>6.4100000000000004E-2</v>
      </c>
      <c r="BU134" s="230">
        <v>21020224</v>
      </c>
      <c r="BV134" s="230">
        <v>17534899</v>
      </c>
      <c r="BW134" s="230">
        <v>3485325</v>
      </c>
      <c r="BX134" s="229">
        <v>0.1988</v>
      </c>
      <c r="BY134" s="230">
        <v>2435</v>
      </c>
      <c r="BZ134" s="230">
        <v>2428</v>
      </c>
      <c r="CA134" s="228">
        <v>7</v>
      </c>
      <c r="CB134" s="229">
        <v>2.8999999999999998E-3</v>
      </c>
      <c r="CC134" s="230">
        <v>1898</v>
      </c>
      <c r="CD134" s="230">
        <v>1911</v>
      </c>
      <c r="CE134" s="228">
        <v>-13</v>
      </c>
      <c r="CF134" s="229">
        <v>-6.6E-3</v>
      </c>
      <c r="CG134" s="228">
        <v>308</v>
      </c>
      <c r="CH134" s="228">
        <v>289</v>
      </c>
      <c r="CI134" s="228">
        <v>19</v>
      </c>
      <c r="CJ134" s="229">
        <v>6.4299999999999996E-2</v>
      </c>
      <c r="CK134" s="228">
        <v>229</v>
      </c>
      <c r="CL134" s="228">
        <v>228</v>
      </c>
      <c r="CM134" s="228">
        <v>1</v>
      </c>
      <c r="CN134" s="229">
        <v>4.7000000000000002E-3</v>
      </c>
      <c r="CO134" s="230">
        <v>1558</v>
      </c>
      <c r="CP134" s="230">
        <v>1601</v>
      </c>
      <c r="CQ134" s="228">
        <v>-43</v>
      </c>
      <c r="CR134" s="229">
        <v>-2.6800000000000001E-2</v>
      </c>
      <c r="CS134" s="230">
        <v>1375</v>
      </c>
      <c r="CT134" s="230">
        <v>1275</v>
      </c>
      <c r="CU134" s="228">
        <v>100</v>
      </c>
      <c r="CV134" s="229">
        <v>7.8399999999999997E-2</v>
      </c>
      <c r="CW134" s="230">
        <v>5368</v>
      </c>
      <c r="CX134" s="230">
        <v>5304</v>
      </c>
      <c r="CY134" s="228">
        <v>64</v>
      </c>
      <c r="CZ134" s="229">
        <v>1.21E-2</v>
      </c>
      <c r="DA134" s="228">
        <v>45.13</v>
      </c>
      <c r="DB134" s="228">
        <v>44.76</v>
      </c>
      <c r="DC134" s="228">
        <v>0.37</v>
      </c>
      <c r="DD134" s="228">
        <v>0.37</v>
      </c>
      <c r="DE134" s="228">
        <v>51.07</v>
      </c>
      <c r="DF134" s="228">
        <v>51.05</v>
      </c>
      <c r="DG134" s="228">
        <v>-5.94</v>
      </c>
      <c r="DH134" s="228">
        <v>0.02</v>
      </c>
      <c r="DI134" s="228">
        <v>44.34</v>
      </c>
      <c r="DJ134" s="228">
        <v>44.46</v>
      </c>
      <c r="DK134" s="228">
        <v>-0.12</v>
      </c>
      <c r="DL134" s="228">
        <v>-0.12</v>
      </c>
      <c r="DM134" s="228">
        <v>46.82</v>
      </c>
      <c r="DN134" s="228">
        <v>45.42</v>
      </c>
      <c r="DO134" s="228">
        <v>1.4</v>
      </c>
      <c r="DP134" s="228">
        <v>1.4</v>
      </c>
      <c r="DQ134" s="228">
        <v>0.88</v>
      </c>
      <c r="DR134" s="228">
        <v>0.8</v>
      </c>
      <c r="DS134" s="228">
        <v>0.08</v>
      </c>
      <c r="DT134" s="229">
        <v>0.1</v>
      </c>
      <c r="DU134" s="228">
        <v>400</v>
      </c>
      <c r="DV134" s="228">
        <v>360</v>
      </c>
      <c r="DW134" s="228">
        <v>0.47</v>
      </c>
      <c r="DX134" s="228">
        <v>0.44</v>
      </c>
      <c r="DY134" s="228">
        <v>0.03</v>
      </c>
      <c r="DZ134" s="229">
        <v>6.8199999999999997E-2</v>
      </c>
      <c r="EA134" s="229">
        <v>0.2205</v>
      </c>
      <c r="EB134" s="230">
        <v>12641250</v>
      </c>
      <c r="EC134" s="229">
        <v>4.3E-3</v>
      </c>
      <c r="ED134" s="229">
        <v>0.2205</v>
      </c>
      <c r="EE134" s="228">
        <v>2.1</v>
      </c>
      <c r="EF134" s="229">
        <v>5.3E-3</v>
      </c>
      <c r="EG134" s="230">
        <v>7769759</v>
      </c>
      <c r="EH134" s="230">
        <v>6311172</v>
      </c>
      <c r="EI134" s="229">
        <v>0.2311</v>
      </c>
      <c r="EJ134" s="229">
        <v>0.36959999999999998</v>
      </c>
      <c r="EK134" s="231">
        <v>3902.68</v>
      </c>
      <c r="EL134" s="231">
        <v>1692.18</v>
      </c>
      <c r="EM134" s="231">
        <v>1377.19</v>
      </c>
      <c r="EN134" s="228">
        <v>104.79</v>
      </c>
      <c r="EO134" s="231">
        <v>6972.05</v>
      </c>
      <c r="EP134" s="231">
        <v>6542.68</v>
      </c>
      <c r="EQ134" s="228">
        <v>429.37</v>
      </c>
      <c r="ER134" s="229">
        <v>6.5600000000000006E-2</v>
      </c>
      <c r="ES134" s="231">
        <v>1530.31</v>
      </c>
      <c r="ET134" s="231">
        <v>1231.6300000000001</v>
      </c>
      <c r="EU134" s="231">
        <v>2437.7600000000002</v>
      </c>
      <c r="EV134" s="231">
        <v>134225816</v>
      </c>
      <c r="EW134" s="231">
        <v>5199.6899999999996</v>
      </c>
      <c r="EX134" s="231">
        <v>5070.5600000000004</v>
      </c>
      <c r="EY134" s="228">
        <v>129.13</v>
      </c>
      <c r="EZ134" s="229">
        <v>2.5499999999999998E-2</v>
      </c>
      <c r="FA134" s="229">
        <v>0.97699999999999998</v>
      </c>
      <c r="FB134" s="227" t="s">
        <v>555</v>
      </c>
      <c r="FC134">
        <f t="shared" si="2"/>
        <v>537</v>
      </c>
    </row>
    <row r="135" spans="1:159" ht="17.25" hidden="1" thickBot="1" x14ac:dyDescent="0.3">
      <c r="A135" s="226">
        <v>46093</v>
      </c>
      <c r="B135" s="227" t="s">
        <v>615</v>
      </c>
      <c r="C135" s="227" t="s">
        <v>264</v>
      </c>
      <c r="D135" s="228">
        <v>375</v>
      </c>
      <c r="E135" s="228">
        <v>18</v>
      </c>
      <c r="F135" s="228">
        <v>956.9</v>
      </c>
      <c r="G135" s="228">
        <v>958.1</v>
      </c>
      <c r="H135" s="228">
        <v>-1.2</v>
      </c>
      <c r="I135" s="229">
        <v>-1.2999999999999999E-3</v>
      </c>
      <c r="J135" s="228">
        <v>955.4</v>
      </c>
      <c r="K135" s="228">
        <v>956.5</v>
      </c>
      <c r="L135" s="228">
        <v>-1.1000000000000001</v>
      </c>
      <c r="M135" s="229">
        <v>-1.1999999999999999E-3</v>
      </c>
      <c r="N135" s="228">
        <v>956.9</v>
      </c>
      <c r="O135" s="228">
        <v>958.1</v>
      </c>
      <c r="P135" s="228">
        <v>-1.2</v>
      </c>
      <c r="Q135" s="229">
        <v>-1.2999999999999999E-3</v>
      </c>
      <c r="R135" s="228">
        <v>960.9</v>
      </c>
      <c r="S135" s="228">
        <v>963.5</v>
      </c>
      <c r="T135" s="228">
        <v>-2.6</v>
      </c>
      <c r="U135" s="229">
        <v>-2.7000000000000001E-3</v>
      </c>
      <c r="V135" s="228">
        <v>967.7</v>
      </c>
      <c r="W135" s="228">
        <v>969.8</v>
      </c>
      <c r="X135" s="228">
        <v>-2.1</v>
      </c>
      <c r="Y135" s="229">
        <v>-2.2000000000000001E-3</v>
      </c>
      <c r="Z135" s="228">
        <v>1.5</v>
      </c>
      <c r="AA135" s="228">
        <v>1.6</v>
      </c>
      <c r="AB135" s="228">
        <v>-0.1</v>
      </c>
      <c r="AC135" s="229">
        <v>1.6000000000000001E-3</v>
      </c>
      <c r="AD135" s="228">
        <v>1.5</v>
      </c>
      <c r="AE135" s="228">
        <v>1.6</v>
      </c>
      <c r="AF135" s="228">
        <v>-0.1</v>
      </c>
      <c r="AG135" s="229">
        <v>1.6000000000000001E-3</v>
      </c>
      <c r="AH135" s="228">
        <v>5.5</v>
      </c>
      <c r="AI135" s="228">
        <v>7</v>
      </c>
      <c r="AJ135" s="228">
        <v>-1.5</v>
      </c>
      <c r="AK135" s="229">
        <v>5.7999999999999996E-3</v>
      </c>
      <c r="AL135" s="228">
        <v>12.3</v>
      </c>
      <c r="AM135" s="228">
        <v>13.3</v>
      </c>
      <c r="AN135" s="228">
        <v>-1</v>
      </c>
      <c r="AO135" s="229">
        <v>1.29E-2</v>
      </c>
      <c r="AP135" s="228">
        <v>950.85</v>
      </c>
      <c r="AQ135" s="228">
        <v>952.37</v>
      </c>
      <c r="AR135" s="228">
        <v>0</v>
      </c>
      <c r="AS135" s="228">
        <v>103</v>
      </c>
      <c r="AT135" s="228">
        <v>92</v>
      </c>
      <c r="AU135" s="228">
        <v>11</v>
      </c>
      <c r="AV135" s="229">
        <v>0.1205</v>
      </c>
      <c r="AW135" s="228">
        <v>95</v>
      </c>
      <c r="AX135" s="228">
        <v>85</v>
      </c>
      <c r="AY135" s="228">
        <v>10</v>
      </c>
      <c r="AZ135" s="229">
        <v>0.11459999999999999</v>
      </c>
      <c r="BA135" s="228">
        <v>7</v>
      </c>
      <c r="BB135" s="228">
        <v>6</v>
      </c>
      <c r="BC135" s="228">
        <v>1</v>
      </c>
      <c r="BD135" s="229">
        <v>0.13250000000000001</v>
      </c>
      <c r="BE135" s="228">
        <v>1</v>
      </c>
      <c r="BF135" s="228">
        <v>1</v>
      </c>
      <c r="BG135" s="228">
        <v>1</v>
      </c>
      <c r="BH135" s="229">
        <v>0.6</v>
      </c>
      <c r="BI135" s="228">
        <v>281</v>
      </c>
      <c r="BJ135" s="228">
        <v>239</v>
      </c>
      <c r="BK135" s="228">
        <v>41</v>
      </c>
      <c r="BL135" s="229">
        <v>0.17230000000000001</v>
      </c>
      <c r="BM135" s="228">
        <v>103</v>
      </c>
      <c r="BN135" s="228">
        <v>136</v>
      </c>
      <c r="BO135" s="228">
        <v>-33</v>
      </c>
      <c r="BP135" s="229">
        <v>-0.24360000000000001</v>
      </c>
      <c r="BQ135" s="228">
        <v>486</v>
      </c>
      <c r="BR135" s="228">
        <v>467</v>
      </c>
      <c r="BS135" s="228">
        <v>19</v>
      </c>
      <c r="BT135" s="229">
        <v>4.1399999999999999E-2</v>
      </c>
      <c r="BU135" s="230">
        <v>2977166</v>
      </c>
      <c r="BV135" s="230">
        <v>840202</v>
      </c>
      <c r="BW135" s="230">
        <v>2136964</v>
      </c>
      <c r="BX135" s="229">
        <v>2.5434000000000001</v>
      </c>
      <c r="BY135" s="230">
        <v>1070</v>
      </c>
      <c r="BZ135" s="230">
        <v>1064</v>
      </c>
      <c r="CA135" s="228">
        <v>7</v>
      </c>
      <c r="CB135" s="229">
        <v>6.3E-3</v>
      </c>
      <c r="CC135" s="230">
        <v>1041</v>
      </c>
      <c r="CD135" s="230">
        <v>1036</v>
      </c>
      <c r="CE135" s="228">
        <v>5</v>
      </c>
      <c r="CF135" s="229">
        <v>4.8999999999999998E-3</v>
      </c>
      <c r="CG135" s="228">
        <v>27</v>
      </c>
      <c r="CH135" s="228">
        <v>25</v>
      </c>
      <c r="CI135" s="228">
        <v>2</v>
      </c>
      <c r="CJ135" s="229">
        <v>6.4399999999999999E-2</v>
      </c>
      <c r="CK135" s="228">
        <v>2</v>
      </c>
      <c r="CL135" s="228">
        <v>2</v>
      </c>
      <c r="CM135" s="228">
        <v>0</v>
      </c>
      <c r="CN135" s="229">
        <v>3.1699999999999999E-2</v>
      </c>
      <c r="CO135" s="228">
        <v>368</v>
      </c>
      <c r="CP135" s="228">
        <v>354</v>
      </c>
      <c r="CQ135" s="228">
        <v>15</v>
      </c>
      <c r="CR135" s="229">
        <v>4.1799999999999997E-2</v>
      </c>
      <c r="CS135" s="228">
        <v>178</v>
      </c>
      <c r="CT135" s="228">
        <v>177</v>
      </c>
      <c r="CU135" s="228">
        <v>1</v>
      </c>
      <c r="CV135" s="229">
        <v>8.3000000000000001E-3</v>
      </c>
      <c r="CW135" s="230">
        <v>1617</v>
      </c>
      <c r="CX135" s="230">
        <v>1594</v>
      </c>
      <c r="CY135" s="228">
        <v>23</v>
      </c>
      <c r="CZ135" s="229">
        <v>1.44E-2</v>
      </c>
      <c r="DA135" s="228">
        <v>35.74</v>
      </c>
      <c r="DB135" s="228">
        <v>35.32</v>
      </c>
      <c r="DC135" s="228">
        <v>0.42</v>
      </c>
      <c r="DD135" s="228">
        <v>0.42</v>
      </c>
      <c r="DE135" s="228">
        <v>36.299999999999997</v>
      </c>
      <c r="DF135" s="228">
        <v>36.39</v>
      </c>
      <c r="DG135" s="228">
        <v>-0.56000000000000005</v>
      </c>
      <c r="DH135" s="228">
        <v>-0.09</v>
      </c>
      <c r="DI135" s="228">
        <v>35.76</v>
      </c>
      <c r="DJ135" s="228">
        <v>35.43</v>
      </c>
      <c r="DK135" s="228">
        <v>0.33</v>
      </c>
      <c r="DL135" s="228">
        <v>0.33</v>
      </c>
      <c r="DM135" s="228">
        <v>35.69</v>
      </c>
      <c r="DN135" s="228">
        <v>35.130000000000003</v>
      </c>
      <c r="DO135" s="228">
        <v>0.56000000000000005</v>
      </c>
      <c r="DP135" s="228">
        <v>0.56000000000000005</v>
      </c>
      <c r="DQ135" s="228">
        <v>0.48</v>
      </c>
      <c r="DR135" s="228">
        <v>0.5</v>
      </c>
      <c r="DS135" s="228">
        <v>-0.02</v>
      </c>
      <c r="DT135" s="229">
        <v>-0.04</v>
      </c>
      <c r="DU135" s="231">
        <v>1100</v>
      </c>
      <c r="DV135" s="231">
        <v>1000</v>
      </c>
      <c r="DW135" s="228">
        <v>0.37</v>
      </c>
      <c r="DX135" s="228">
        <v>0.56999999999999995</v>
      </c>
      <c r="DY135" s="228">
        <v>-0.2</v>
      </c>
      <c r="DZ135" s="229">
        <v>-0.35089999999999999</v>
      </c>
      <c r="EA135" s="229">
        <v>2.7099999999999999E-2</v>
      </c>
      <c r="EB135" s="230">
        <v>285750</v>
      </c>
      <c r="EC135" s="229">
        <v>4.1999999999999997E-3</v>
      </c>
      <c r="ED135" s="229">
        <v>2.7099999999999999E-2</v>
      </c>
      <c r="EE135" s="228">
        <v>1.52</v>
      </c>
      <c r="EF135" s="229">
        <v>1.6000000000000001E-3</v>
      </c>
      <c r="EG135" s="230">
        <v>2055376</v>
      </c>
      <c r="EH135" s="230">
        <v>412673</v>
      </c>
      <c r="EI135" s="229">
        <v>3.9805999999999999</v>
      </c>
      <c r="EJ135" s="229">
        <v>0.69040000000000001</v>
      </c>
      <c r="EK135" s="228">
        <v>302.97000000000003</v>
      </c>
      <c r="EL135" s="228">
        <v>101.41</v>
      </c>
      <c r="EM135" s="228">
        <v>102.5</v>
      </c>
      <c r="EN135" s="228">
        <v>37.17</v>
      </c>
      <c r="EO135" s="228">
        <v>506.88</v>
      </c>
      <c r="EP135" s="228">
        <v>489.83</v>
      </c>
      <c r="EQ135" s="228">
        <v>17.05</v>
      </c>
      <c r="ER135" s="229">
        <v>3.4799999999999998E-2</v>
      </c>
      <c r="ES135" s="228">
        <v>423.12</v>
      </c>
      <c r="ET135" s="228">
        <v>186.45</v>
      </c>
      <c r="EU135" s="231">
        <v>1070.4100000000001</v>
      </c>
      <c r="EV135" s="231">
        <v>45110207</v>
      </c>
      <c r="EW135" s="231">
        <v>1679.97</v>
      </c>
      <c r="EX135" s="231">
        <v>1659.22</v>
      </c>
      <c r="EY135" s="228">
        <v>20.75</v>
      </c>
      <c r="EZ135" s="229">
        <v>1.2500000000000001E-2</v>
      </c>
      <c r="FA135" s="229">
        <v>0.3745</v>
      </c>
      <c r="FB135" s="227" t="s">
        <v>567</v>
      </c>
      <c r="FC135">
        <f t="shared" si="2"/>
        <v>29</v>
      </c>
    </row>
    <row r="136" spans="1:159" ht="17.25" hidden="1" thickBot="1" x14ac:dyDescent="0.3">
      <c r="A136" s="226">
        <v>46093</v>
      </c>
      <c r="B136" s="227" t="s">
        <v>206</v>
      </c>
      <c r="C136" s="227" t="s">
        <v>550</v>
      </c>
      <c r="D136" s="228">
        <v>6500</v>
      </c>
      <c r="E136" s="228">
        <v>18</v>
      </c>
      <c r="F136" s="228">
        <v>86.79</v>
      </c>
      <c r="G136" s="228">
        <v>86.44</v>
      </c>
      <c r="H136" s="228">
        <v>0.35</v>
      </c>
      <c r="I136" s="229">
        <v>4.0000000000000001E-3</v>
      </c>
      <c r="J136" s="228">
        <v>86.58</v>
      </c>
      <c r="K136" s="228">
        <v>86.16</v>
      </c>
      <c r="L136" s="228">
        <v>0.42</v>
      </c>
      <c r="M136" s="229">
        <v>4.8999999999999998E-3</v>
      </c>
      <c r="N136" s="228">
        <v>86.79</v>
      </c>
      <c r="O136" s="228">
        <v>86.44</v>
      </c>
      <c r="P136" s="228">
        <v>0.35</v>
      </c>
      <c r="Q136" s="229">
        <v>4.0000000000000001E-3</v>
      </c>
      <c r="R136" s="228">
        <v>87.34</v>
      </c>
      <c r="S136" s="228">
        <v>87.09</v>
      </c>
      <c r="T136" s="228">
        <v>0.25</v>
      </c>
      <c r="U136" s="229">
        <v>2.8999999999999998E-3</v>
      </c>
      <c r="V136" s="228">
        <v>87.61</v>
      </c>
      <c r="W136" s="228">
        <v>87.66</v>
      </c>
      <c r="X136" s="228">
        <v>-0.05</v>
      </c>
      <c r="Y136" s="229">
        <v>-5.9999999999999995E-4</v>
      </c>
      <c r="Z136" s="228">
        <v>0.21</v>
      </c>
      <c r="AA136" s="228">
        <v>0.28000000000000003</v>
      </c>
      <c r="AB136" s="228">
        <v>-7.0000000000000007E-2</v>
      </c>
      <c r="AC136" s="229">
        <v>2.3999999999999998E-3</v>
      </c>
      <c r="AD136" s="228">
        <v>0.21</v>
      </c>
      <c r="AE136" s="228">
        <v>0.28000000000000003</v>
      </c>
      <c r="AF136" s="228">
        <v>-7.0000000000000007E-2</v>
      </c>
      <c r="AG136" s="229">
        <v>2.3999999999999998E-3</v>
      </c>
      <c r="AH136" s="228">
        <v>0.76</v>
      </c>
      <c r="AI136" s="228">
        <v>0.93</v>
      </c>
      <c r="AJ136" s="228">
        <v>-0.17</v>
      </c>
      <c r="AK136" s="229">
        <v>8.8000000000000005E-3</v>
      </c>
      <c r="AL136" s="228">
        <v>1.03</v>
      </c>
      <c r="AM136" s="228">
        <v>1.5</v>
      </c>
      <c r="AN136" s="228">
        <v>-0.47</v>
      </c>
      <c r="AO136" s="229">
        <v>1.1900000000000001E-2</v>
      </c>
      <c r="AP136" s="228">
        <v>86.71</v>
      </c>
      <c r="AQ136" s="228">
        <v>87.09</v>
      </c>
      <c r="AR136" s="228">
        <v>0</v>
      </c>
      <c r="AS136" s="228">
        <v>85</v>
      </c>
      <c r="AT136" s="228">
        <v>83</v>
      </c>
      <c r="AU136" s="228">
        <v>2</v>
      </c>
      <c r="AV136" s="229">
        <v>2.3900000000000001E-2</v>
      </c>
      <c r="AW136" s="228">
        <v>77</v>
      </c>
      <c r="AX136" s="228">
        <v>70</v>
      </c>
      <c r="AY136" s="228">
        <v>7</v>
      </c>
      <c r="AZ136" s="229">
        <v>0.1031</v>
      </c>
      <c r="BA136" s="228">
        <v>6</v>
      </c>
      <c r="BB136" s="228">
        <v>9</v>
      </c>
      <c r="BC136" s="228">
        <v>-3</v>
      </c>
      <c r="BD136" s="229">
        <v>-0.29799999999999999</v>
      </c>
      <c r="BE136" s="228">
        <v>2</v>
      </c>
      <c r="BF136" s="228">
        <v>5</v>
      </c>
      <c r="BG136" s="228">
        <v>-3</v>
      </c>
      <c r="BH136" s="229">
        <v>-0.57320000000000004</v>
      </c>
      <c r="BI136" s="228">
        <v>118</v>
      </c>
      <c r="BJ136" s="228">
        <v>85</v>
      </c>
      <c r="BK136" s="228">
        <v>33</v>
      </c>
      <c r="BL136" s="229">
        <v>0.38790000000000002</v>
      </c>
      <c r="BM136" s="228">
        <v>61</v>
      </c>
      <c r="BN136" s="228">
        <v>50</v>
      </c>
      <c r="BO136" s="228">
        <v>11</v>
      </c>
      <c r="BP136" s="229">
        <v>0.2213</v>
      </c>
      <c r="BQ136" s="228">
        <v>264</v>
      </c>
      <c r="BR136" s="228">
        <v>218</v>
      </c>
      <c r="BS136" s="228">
        <v>46</v>
      </c>
      <c r="BT136" s="229">
        <v>0.21149999999999999</v>
      </c>
      <c r="BU136" s="230">
        <v>10163341</v>
      </c>
      <c r="BV136" s="230">
        <v>8454264</v>
      </c>
      <c r="BW136" s="230">
        <v>1709077</v>
      </c>
      <c r="BX136" s="229">
        <v>0.20219999999999999</v>
      </c>
      <c r="BY136" s="228">
        <v>754</v>
      </c>
      <c r="BZ136" s="228">
        <v>748</v>
      </c>
      <c r="CA136" s="228">
        <v>6</v>
      </c>
      <c r="CB136" s="229">
        <v>8.6999999999999994E-3</v>
      </c>
      <c r="CC136" s="228">
        <v>722</v>
      </c>
      <c r="CD136" s="228">
        <v>717</v>
      </c>
      <c r="CE136" s="228">
        <v>5</v>
      </c>
      <c r="CF136" s="229">
        <v>6.7000000000000002E-3</v>
      </c>
      <c r="CG136" s="228">
        <v>26</v>
      </c>
      <c r="CH136" s="228">
        <v>25</v>
      </c>
      <c r="CI136" s="228">
        <v>1</v>
      </c>
      <c r="CJ136" s="229">
        <v>2.2100000000000002E-2</v>
      </c>
      <c r="CK136" s="228">
        <v>6</v>
      </c>
      <c r="CL136" s="228">
        <v>5</v>
      </c>
      <c r="CM136" s="228">
        <v>1</v>
      </c>
      <c r="CN136" s="229">
        <v>0.24390000000000001</v>
      </c>
      <c r="CO136" s="228">
        <v>288</v>
      </c>
      <c r="CP136" s="228">
        <v>283</v>
      </c>
      <c r="CQ136" s="228">
        <v>5</v>
      </c>
      <c r="CR136" s="229">
        <v>1.72E-2</v>
      </c>
      <c r="CS136" s="228">
        <v>187</v>
      </c>
      <c r="CT136" s="228">
        <v>185</v>
      </c>
      <c r="CU136" s="228">
        <v>2</v>
      </c>
      <c r="CV136" s="229">
        <v>1.2800000000000001E-2</v>
      </c>
      <c r="CW136" s="230">
        <v>1229</v>
      </c>
      <c r="CX136" s="230">
        <v>1215</v>
      </c>
      <c r="CY136" s="228">
        <v>14</v>
      </c>
      <c r="CZ136" s="229">
        <v>1.1299999999999999E-2</v>
      </c>
      <c r="DA136" s="228">
        <v>46.38</v>
      </c>
      <c r="DB136" s="228">
        <v>45.72</v>
      </c>
      <c r="DC136" s="228">
        <v>0.66</v>
      </c>
      <c r="DD136" s="228">
        <v>0.66</v>
      </c>
      <c r="DE136" s="228">
        <v>49.57</v>
      </c>
      <c r="DF136" s="228">
        <v>49.69</v>
      </c>
      <c r="DG136" s="228">
        <v>-3.19</v>
      </c>
      <c r="DH136" s="228">
        <v>-0.12</v>
      </c>
      <c r="DI136" s="228">
        <v>46.1</v>
      </c>
      <c r="DJ136" s="228">
        <v>46.42</v>
      </c>
      <c r="DK136" s="228">
        <v>-0.32</v>
      </c>
      <c r="DL136" s="228">
        <v>-0.32</v>
      </c>
      <c r="DM136" s="228">
        <v>46.91</v>
      </c>
      <c r="DN136" s="228">
        <v>44.53</v>
      </c>
      <c r="DO136" s="228">
        <v>2.38</v>
      </c>
      <c r="DP136" s="228">
        <v>2.38</v>
      </c>
      <c r="DQ136" s="228">
        <v>0.65</v>
      </c>
      <c r="DR136" s="228">
        <v>0.65</v>
      </c>
      <c r="DS136" s="228">
        <v>0</v>
      </c>
      <c r="DT136" s="229">
        <v>0</v>
      </c>
      <c r="DU136" s="228">
        <v>100</v>
      </c>
      <c r="DV136" s="228">
        <v>87</v>
      </c>
      <c r="DW136" s="228">
        <v>0.52</v>
      </c>
      <c r="DX136" s="228">
        <v>0.59</v>
      </c>
      <c r="DY136" s="228">
        <v>-7.0000000000000007E-2</v>
      </c>
      <c r="DZ136" s="229">
        <v>-0.1186</v>
      </c>
      <c r="EA136" s="229">
        <v>4.2200000000000001E-2</v>
      </c>
      <c r="EB136" s="230">
        <v>3471000</v>
      </c>
      <c r="EC136" s="229">
        <v>6.3E-3</v>
      </c>
      <c r="ED136" s="229">
        <v>4.2200000000000001E-2</v>
      </c>
      <c r="EE136" s="228">
        <v>0.38</v>
      </c>
      <c r="EF136" s="229">
        <v>4.4000000000000003E-3</v>
      </c>
      <c r="EG136" s="230">
        <v>3156800</v>
      </c>
      <c r="EH136" s="230">
        <v>2449544</v>
      </c>
      <c r="EI136" s="229">
        <v>0.28870000000000001</v>
      </c>
      <c r="EJ136" s="229">
        <v>0.31059999999999999</v>
      </c>
      <c r="EK136" s="228">
        <v>128.93</v>
      </c>
      <c r="EL136" s="228">
        <v>61.16</v>
      </c>
      <c r="EM136" s="228">
        <v>84.56</v>
      </c>
      <c r="EN136" s="228">
        <v>18.149999999999999</v>
      </c>
      <c r="EO136" s="228">
        <v>274.64999999999998</v>
      </c>
      <c r="EP136" s="228">
        <v>227.7</v>
      </c>
      <c r="EQ136" s="228">
        <v>46.95</v>
      </c>
      <c r="ER136" s="229">
        <v>0.20619999999999999</v>
      </c>
      <c r="ES136" s="228">
        <v>321.36</v>
      </c>
      <c r="ET136" s="228">
        <v>196.4</v>
      </c>
      <c r="EU136" s="228">
        <v>754.24</v>
      </c>
      <c r="EV136" s="231">
        <v>154894704</v>
      </c>
      <c r="EW136" s="231">
        <v>1272</v>
      </c>
      <c r="EX136" s="231">
        <v>1255.69</v>
      </c>
      <c r="EY136" s="228">
        <v>16.309999999999999</v>
      </c>
      <c r="EZ136" s="229">
        <v>1.2999999999999999E-2</v>
      </c>
      <c r="FA136" s="229">
        <v>0.91410000000000002</v>
      </c>
      <c r="FB136" s="227" t="s">
        <v>555</v>
      </c>
      <c r="FC136">
        <f t="shared" si="2"/>
        <v>32</v>
      </c>
    </row>
    <row r="137" spans="1:159" ht="17.25" hidden="1" thickBot="1" x14ac:dyDescent="0.3">
      <c r="A137" s="226">
        <v>46093</v>
      </c>
      <c r="B137" s="227" t="s">
        <v>168</v>
      </c>
      <c r="C137" s="227" t="s">
        <v>265</v>
      </c>
      <c r="D137" s="228">
        <v>500</v>
      </c>
      <c r="E137" s="228">
        <v>18</v>
      </c>
      <c r="F137" s="231">
        <v>1223.0999999999999</v>
      </c>
      <c r="G137" s="231">
        <v>1234</v>
      </c>
      <c r="H137" s="228">
        <v>-10.9</v>
      </c>
      <c r="I137" s="229">
        <v>-8.8000000000000005E-3</v>
      </c>
      <c r="J137" s="231">
        <v>1220.8</v>
      </c>
      <c r="K137" s="231">
        <v>1233.7</v>
      </c>
      <c r="L137" s="228">
        <v>-12.9</v>
      </c>
      <c r="M137" s="229">
        <v>-1.0500000000000001E-2</v>
      </c>
      <c r="N137" s="231">
        <v>1223.0999999999999</v>
      </c>
      <c r="O137" s="231">
        <v>1234</v>
      </c>
      <c r="P137" s="228">
        <v>-10.9</v>
      </c>
      <c r="Q137" s="229">
        <v>-8.8000000000000005E-3</v>
      </c>
      <c r="R137" s="231">
        <v>1231.0999999999999</v>
      </c>
      <c r="S137" s="231">
        <v>1241.8</v>
      </c>
      <c r="T137" s="228">
        <v>-10.7</v>
      </c>
      <c r="U137" s="229">
        <v>-8.6E-3</v>
      </c>
      <c r="V137" s="231">
        <v>1228.2</v>
      </c>
      <c r="W137" s="231">
        <v>1245.9000000000001</v>
      </c>
      <c r="X137" s="228">
        <v>-17.7</v>
      </c>
      <c r="Y137" s="229">
        <v>-1.4200000000000001E-2</v>
      </c>
      <c r="Z137" s="228">
        <v>2.2999999999999998</v>
      </c>
      <c r="AA137" s="228">
        <v>0.3</v>
      </c>
      <c r="AB137" s="228">
        <v>2</v>
      </c>
      <c r="AC137" s="229">
        <v>1.9E-3</v>
      </c>
      <c r="AD137" s="228">
        <v>2.2999999999999998</v>
      </c>
      <c r="AE137" s="228">
        <v>0.3</v>
      </c>
      <c r="AF137" s="228">
        <v>2</v>
      </c>
      <c r="AG137" s="229">
        <v>1.9E-3</v>
      </c>
      <c r="AH137" s="228">
        <v>10.3</v>
      </c>
      <c r="AI137" s="228">
        <v>8.1</v>
      </c>
      <c r="AJ137" s="228">
        <v>2.2000000000000002</v>
      </c>
      <c r="AK137" s="229">
        <v>8.3999999999999995E-3</v>
      </c>
      <c r="AL137" s="228">
        <v>7.4</v>
      </c>
      <c r="AM137" s="228">
        <v>12.2</v>
      </c>
      <c r="AN137" s="228">
        <v>-4.8</v>
      </c>
      <c r="AO137" s="229">
        <v>6.1000000000000004E-3</v>
      </c>
      <c r="AP137" s="231">
        <v>1222.17</v>
      </c>
      <c r="AQ137" s="231">
        <v>1230.6400000000001</v>
      </c>
      <c r="AR137" s="228">
        <v>0</v>
      </c>
      <c r="AS137" s="228">
        <v>187</v>
      </c>
      <c r="AT137" s="228">
        <v>165</v>
      </c>
      <c r="AU137" s="228">
        <v>22</v>
      </c>
      <c r="AV137" s="229">
        <v>0.13039999999999999</v>
      </c>
      <c r="AW137" s="228">
        <v>179</v>
      </c>
      <c r="AX137" s="228">
        <v>156</v>
      </c>
      <c r="AY137" s="228">
        <v>23</v>
      </c>
      <c r="AZ137" s="229">
        <v>0.1479</v>
      </c>
      <c r="BA137" s="228">
        <v>7</v>
      </c>
      <c r="BB137" s="228">
        <v>8</v>
      </c>
      <c r="BC137" s="228">
        <v>-1</v>
      </c>
      <c r="BD137" s="229">
        <v>-0.1691</v>
      </c>
      <c r="BE137" s="228">
        <v>0</v>
      </c>
      <c r="BF137" s="228">
        <v>0</v>
      </c>
      <c r="BG137" s="228">
        <v>0</v>
      </c>
      <c r="BH137" s="229">
        <v>-0.42859999999999998</v>
      </c>
      <c r="BI137" s="228">
        <v>204</v>
      </c>
      <c r="BJ137" s="228">
        <v>202</v>
      </c>
      <c r="BK137" s="228">
        <v>3</v>
      </c>
      <c r="BL137" s="229">
        <v>1.2699999999999999E-2</v>
      </c>
      <c r="BM137" s="228">
        <v>161</v>
      </c>
      <c r="BN137" s="228">
        <v>135</v>
      </c>
      <c r="BO137" s="228">
        <v>26</v>
      </c>
      <c r="BP137" s="229">
        <v>0.19320000000000001</v>
      </c>
      <c r="BQ137" s="228">
        <v>551</v>
      </c>
      <c r="BR137" s="228">
        <v>501</v>
      </c>
      <c r="BS137" s="228">
        <v>50</v>
      </c>
      <c r="BT137" s="229">
        <v>9.9900000000000003E-2</v>
      </c>
      <c r="BU137" s="230">
        <v>1371900</v>
      </c>
      <c r="BV137" s="230">
        <v>1531212</v>
      </c>
      <c r="BW137" s="230">
        <v>-159312</v>
      </c>
      <c r="BX137" s="229">
        <v>-0.104</v>
      </c>
      <c r="BY137" s="230">
        <v>2010</v>
      </c>
      <c r="BZ137" s="230">
        <v>2024</v>
      </c>
      <c r="CA137" s="228">
        <v>-14</v>
      </c>
      <c r="CB137" s="229">
        <v>-6.8999999999999999E-3</v>
      </c>
      <c r="CC137" s="230">
        <v>1925</v>
      </c>
      <c r="CD137" s="230">
        <v>1941</v>
      </c>
      <c r="CE137" s="228">
        <v>-16</v>
      </c>
      <c r="CF137" s="229">
        <v>-8.0000000000000002E-3</v>
      </c>
      <c r="CG137" s="228">
        <v>82</v>
      </c>
      <c r="CH137" s="228">
        <v>81</v>
      </c>
      <c r="CI137" s="228">
        <v>2</v>
      </c>
      <c r="CJ137" s="229">
        <v>1.9E-2</v>
      </c>
      <c r="CK137" s="228">
        <v>3</v>
      </c>
      <c r="CL137" s="228">
        <v>3</v>
      </c>
      <c r="CM137" s="228">
        <v>0</v>
      </c>
      <c r="CN137" s="229">
        <v>-0.02</v>
      </c>
      <c r="CO137" s="228">
        <v>453</v>
      </c>
      <c r="CP137" s="228">
        <v>450</v>
      </c>
      <c r="CQ137" s="228">
        <v>2</v>
      </c>
      <c r="CR137" s="229">
        <v>5.3E-3</v>
      </c>
      <c r="CS137" s="228">
        <v>212</v>
      </c>
      <c r="CT137" s="228">
        <v>194</v>
      </c>
      <c r="CU137" s="228">
        <v>18</v>
      </c>
      <c r="CV137" s="229">
        <v>9.35E-2</v>
      </c>
      <c r="CW137" s="230">
        <v>2675</v>
      </c>
      <c r="CX137" s="230">
        <v>2669</v>
      </c>
      <c r="CY137" s="228">
        <v>6</v>
      </c>
      <c r="CZ137" s="229">
        <v>2.3999999999999998E-3</v>
      </c>
      <c r="DA137" s="228">
        <v>24.29</v>
      </c>
      <c r="DB137" s="228">
        <v>23.85</v>
      </c>
      <c r="DC137" s="228">
        <v>0.44</v>
      </c>
      <c r="DD137" s="228">
        <v>0.44</v>
      </c>
      <c r="DE137" s="228">
        <v>23.21</v>
      </c>
      <c r="DF137" s="228">
        <v>23.23</v>
      </c>
      <c r="DG137" s="228">
        <v>1.08</v>
      </c>
      <c r="DH137" s="228">
        <v>-0.02</v>
      </c>
      <c r="DI137" s="228">
        <v>22.98</v>
      </c>
      <c r="DJ137" s="228">
        <v>23.14</v>
      </c>
      <c r="DK137" s="228">
        <v>-0.16</v>
      </c>
      <c r="DL137" s="228">
        <v>-0.16</v>
      </c>
      <c r="DM137" s="228">
        <v>25.97</v>
      </c>
      <c r="DN137" s="228">
        <v>24.92</v>
      </c>
      <c r="DO137" s="228">
        <v>1.05</v>
      </c>
      <c r="DP137" s="228">
        <v>1.05</v>
      </c>
      <c r="DQ137" s="228">
        <v>0.47</v>
      </c>
      <c r="DR137" s="228">
        <v>0.43</v>
      </c>
      <c r="DS137" s="228">
        <v>0.04</v>
      </c>
      <c r="DT137" s="229">
        <v>9.2999999999999999E-2</v>
      </c>
      <c r="DU137" s="231">
        <v>1260</v>
      </c>
      <c r="DV137" s="231">
        <v>1200</v>
      </c>
      <c r="DW137" s="228">
        <v>0.79</v>
      </c>
      <c r="DX137" s="228">
        <v>0.67</v>
      </c>
      <c r="DY137" s="228">
        <v>0.12</v>
      </c>
      <c r="DZ137" s="229">
        <v>0.17910000000000001</v>
      </c>
      <c r="EA137" s="229">
        <v>4.2299999999999997E-2</v>
      </c>
      <c r="EB137" s="230">
        <v>683500</v>
      </c>
      <c r="EC137" s="229">
        <v>6.4999999999999997E-3</v>
      </c>
      <c r="ED137" s="229">
        <v>4.2299999999999997E-2</v>
      </c>
      <c r="EE137" s="228">
        <v>8.4700000000000006</v>
      </c>
      <c r="EF137" s="229">
        <v>6.8999999999999999E-3</v>
      </c>
      <c r="EG137" s="230">
        <v>847836</v>
      </c>
      <c r="EH137" s="230">
        <v>993053</v>
      </c>
      <c r="EI137" s="229">
        <v>-0.1462</v>
      </c>
      <c r="EJ137" s="229">
        <v>0.61799999999999999</v>
      </c>
      <c r="EK137" s="228">
        <v>215.36</v>
      </c>
      <c r="EL137" s="228">
        <v>157.18</v>
      </c>
      <c r="EM137" s="228">
        <v>186.49</v>
      </c>
      <c r="EN137" s="228">
        <v>31.42</v>
      </c>
      <c r="EO137" s="228">
        <v>559.03</v>
      </c>
      <c r="EP137" s="228">
        <v>513.45000000000005</v>
      </c>
      <c r="EQ137" s="228">
        <v>45.58</v>
      </c>
      <c r="ER137" s="229">
        <v>8.8800000000000004E-2</v>
      </c>
      <c r="ES137" s="228">
        <v>486.25</v>
      </c>
      <c r="ET137" s="228">
        <v>211.46</v>
      </c>
      <c r="EU137" s="231">
        <v>2010.78</v>
      </c>
      <c r="EV137" s="231">
        <v>71801274</v>
      </c>
      <c r="EW137" s="231">
        <v>2708.49</v>
      </c>
      <c r="EX137" s="231">
        <v>2721.72</v>
      </c>
      <c r="EY137" s="228">
        <v>-13.23</v>
      </c>
      <c r="EZ137" s="229">
        <v>-4.8999999999999998E-3</v>
      </c>
      <c r="FA137" s="229">
        <v>0.30459999999999998</v>
      </c>
      <c r="FB137" s="227" t="s">
        <v>568</v>
      </c>
      <c r="FC137">
        <f t="shared" si="2"/>
        <v>85</v>
      </c>
    </row>
    <row r="138" spans="1:159" ht="17.25" hidden="1" thickBot="1" x14ac:dyDescent="0.3">
      <c r="A138" s="226">
        <v>46093</v>
      </c>
      <c r="B138" s="227" t="s">
        <v>161</v>
      </c>
      <c r="C138" s="227" t="s">
        <v>585</v>
      </c>
      <c r="D138" s="228">
        <v>6400</v>
      </c>
      <c r="E138" s="228">
        <v>18</v>
      </c>
      <c r="F138" s="228">
        <v>75.010000000000005</v>
      </c>
      <c r="G138" s="228">
        <v>73.680000000000007</v>
      </c>
      <c r="H138" s="228">
        <v>1.33</v>
      </c>
      <c r="I138" s="229">
        <v>1.8100000000000002E-2</v>
      </c>
      <c r="J138" s="228">
        <v>74.78</v>
      </c>
      <c r="K138" s="228">
        <v>73.459999999999994</v>
      </c>
      <c r="L138" s="228">
        <v>1.32</v>
      </c>
      <c r="M138" s="229">
        <v>1.7999999999999999E-2</v>
      </c>
      <c r="N138" s="228">
        <v>75.010000000000005</v>
      </c>
      <c r="O138" s="228">
        <v>73.680000000000007</v>
      </c>
      <c r="P138" s="228">
        <v>1.33</v>
      </c>
      <c r="Q138" s="229">
        <v>1.8100000000000002E-2</v>
      </c>
      <c r="R138" s="228">
        <v>75.510000000000005</v>
      </c>
      <c r="S138" s="228">
        <v>74.17</v>
      </c>
      <c r="T138" s="228">
        <v>1.34</v>
      </c>
      <c r="U138" s="229">
        <v>1.8100000000000002E-2</v>
      </c>
      <c r="V138" s="228">
        <v>76</v>
      </c>
      <c r="W138" s="228">
        <v>74.53</v>
      </c>
      <c r="X138" s="228">
        <v>1.47</v>
      </c>
      <c r="Y138" s="229">
        <v>1.9699999999999999E-2</v>
      </c>
      <c r="Z138" s="228">
        <v>0.23</v>
      </c>
      <c r="AA138" s="228">
        <v>0.22</v>
      </c>
      <c r="AB138" s="228">
        <v>0.01</v>
      </c>
      <c r="AC138" s="229">
        <v>3.0999999999999999E-3</v>
      </c>
      <c r="AD138" s="228">
        <v>0.23</v>
      </c>
      <c r="AE138" s="228">
        <v>0.22</v>
      </c>
      <c r="AF138" s="228">
        <v>0.01</v>
      </c>
      <c r="AG138" s="229">
        <v>3.0999999999999999E-3</v>
      </c>
      <c r="AH138" s="228">
        <v>0.73</v>
      </c>
      <c r="AI138" s="228">
        <v>0.71</v>
      </c>
      <c r="AJ138" s="228">
        <v>0.02</v>
      </c>
      <c r="AK138" s="229">
        <v>9.7999999999999997E-3</v>
      </c>
      <c r="AL138" s="228">
        <v>1.22</v>
      </c>
      <c r="AM138" s="228">
        <v>1.07</v>
      </c>
      <c r="AN138" s="228">
        <v>0.15</v>
      </c>
      <c r="AO138" s="229">
        <v>1.6299999999999999E-2</v>
      </c>
      <c r="AP138" s="228">
        <v>75.19</v>
      </c>
      <c r="AQ138" s="228">
        <v>75.84</v>
      </c>
      <c r="AR138" s="228">
        <v>0</v>
      </c>
      <c r="AS138" s="228">
        <v>156</v>
      </c>
      <c r="AT138" s="228">
        <v>113</v>
      </c>
      <c r="AU138" s="228">
        <v>43</v>
      </c>
      <c r="AV138" s="229">
        <v>0.38219999999999998</v>
      </c>
      <c r="AW138" s="228">
        <v>139</v>
      </c>
      <c r="AX138" s="228">
        <v>99</v>
      </c>
      <c r="AY138" s="228">
        <v>40</v>
      </c>
      <c r="AZ138" s="229">
        <v>0.40150000000000002</v>
      </c>
      <c r="BA138" s="228">
        <v>16</v>
      </c>
      <c r="BB138" s="228">
        <v>13</v>
      </c>
      <c r="BC138" s="228">
        <v>3</v>
      </c>
      <c r="BD138" s="229">
        <v>0.21529999999999999</v>
      </c>
      <c r="BE138" s="228">
        <v>1</v>
      </c>
      <c r="BF138" s="228">
        <v>1</v>
      </c>
      <c r="BG138" s="228">
        <v>1</v>
      </c>
      <c r="BH138" s="229">
        <v>0.84619999999999995</v>
      </c>
      <c r="BI138" s="228">
        <v>522</v>
      </c>
      <c r="BJ138" s="228">
        <v>322</v>
      </c>
      <c r="BK138" s="228">
        <v>200</v>
      </c>
      <c r="BL138" s="229">
        <v>0.62119999999999997</v>
      </c>
      <c r="BM138" s="228">
        <v>162</v>
      </c>
      <c r="BN138" s="228">
        <v>116</v>
      </c>
      <c r="BO138" s="228">
        <v>46</v>
      </c>
      <c r="BP138" s="229">
        <v>0.3972</v>
      </c>
      <c r="BQ138" s="228">
        <v>840</v>
      </c>
      <c r="BR138" s="228">
        <v>551</v>
      </c>
      <c r="BS138" s="228">
        <v>289</v>
      </c>
      <c r="BT138" s="229">
        <v>0.52500000000000002</v>
      </c>
      <c r="BU138" s="230">
        <v>17314965</v>
      </c>
      <c r="BV138" s="230">
        <v>13347528</v>
      </c>
      <c r="BW138" s="230">
        <v>3967437</v>
      </c>
      <c r="BX138" s="229">
        <v>0.29720000000000002</v>
      </c>
      <c r="BY138" s="228">
        <v>576</v>
      </c>
      <c r="BZ138" s="228">
        <v>567</v>
      </c>
      <c r="CA138" s="228">
        <v>9</v>
      </c>
      <c r="CB138" s="229">
        <v>1.5100000000000001E-2</v>
      </c>
      <c r="CC138" s="228">
        <v>541</v>
      </c>
      <c r="CD138" s="228">
        <v>536</v>
      </c>
      <c r="CE138" s="228">
        <v>5</v>
      </c>
      <c r="CF138" s="229">
        <v>8.6E-3</v>
      </c>
      <c r="CG138" s="228">
        <v>33</v>
      </c>
      <c r="CH138" s="228">
        <v>29</v>
      </c>
      <c r="CI138" s="228">
        <v>4</v>
      </c>
      <c r="CJ138" s="229">
        <v>0.13370000000000001</v>
      </c>
      <c r="CK138" s="228">
        <v>2</v>
      </c>
      <c r="CL138" s="228">
        <v>2</v>
      </c>
      <c r="CM138" s="228">
        <v>0</v>
      </c>
      <c r="CN138" s="229">
        <v>2.3800000000000002E-2</v>
      </c>
      <c r="CO138" s="228">
        <v>285</v>
      </c>
      <c r="CP138" s="228">
        <v>319</v>
      </c>
      <c r="CQ138" s="228">
        <v>-34</v>
      </c>
      <c r="CR138" s="229">
        <v>-0.1055</v>
      </c>
      <c r="CS138" s="228">
        <v>155</v>
      </c>
      <c r="CT138" s="228">
        <v>158</v>
      </c>
      <c r="CU138" s="228">
        <v>-3</v>
      </c>
      <c r="CV138" s="229">
        <v>-1.9400000000000001E-2</v>
      </c>
      <c r="CW138" s="230">
        <v>1016</v>
      </c>
      <c r="CX138" s="230">
        <v>1045</v>
      </c>
      <c r="CY138" s="228">
        <v>-28</v>
      </c>
      <c r="CZ138" s="229">
        <v>-2.7E-2</v>
      </c>
      <c r="DA138" s="228">
        <v>33.28</v>
      </c>
      <c r="DB138" s="228">
        <v>30.97</v>
      </c>
      <c r="DC138" s="228">
        <v>2.31</v>
      </c>
      <c r="DD138" s="228">
        <v>2.31</v>
      </c>
      <c r="DE138" s="228">
        <v>35.24</v>
      </c>
      <c r="DF138" s="228">
        <v>35.24</v>
      </c>
      <c r="DG138" s="228">
        <v>-1.96</v>
      </c>
      <c r="DH138" s="228">
        <v>0</v>
      </c>
      <c r="DI138" s="228">
        <v>33.18</v>
      </c>
      <c r="DJ138" s="228">
        <v>30.62</v>
      </c>
      <c r="DK138" s="228">
        <v>2.56</v>
      </c>
      <c r="DL138" s="228">
        <v>2.56</v>
      </c>
      <c r="DM138" s="228">
        <v>33.630000000000003</v>
      </c>
      <c r="DN138" s="228">
        <v>31.91</v>
      </c>
      <c r="DO138" s="228">
        <v>1.72</v>
      </c>
      <c r="DP138" s="228">
        <v>1.72</v>
      </c>
      <c r="DQ138" s="228">
        <v>0.54</v>
      </c>
      <c r="DR138" s="228">
        <v>0.5</v>
      </c>
      <c r="DS138" s="228">
        <v>0.04</v>
      </c>
      <c r="DT138" s="229">
        <v>0.08</v>
      </c>
      <c r="DU138" s="228">
        <v>80</v>
      </c>
      <c r="DV138" s="228">
        <v>75</v>
      </c>
      <c r="DW138" s="228">
        <v>0.31</v>
      </c>
      <c r="DX138" s="228">
        <v>0.36</v>
      </c>
      <c r="DY138" s="228">
        <v>-0.05</v>
      </c>
      <c r="DZ138" s="229">
        <v>-0.1389</v>
      </c>
      <c r="EA138" s="229">
        <v>6.08E-2</v>
      </c>
      <c r="EB138" s="230">
        <v>4147200</v>
      </c>
      <c r="EC138" s="229">
        <v>6.7000000000000002E-3</v>
      </c>
      <c r="ED138" s="229">
        <v>6.08E-2</v>
      </c>
      <c r="EE138" s="228">
        <v>0.65</v>
      </c>
      <c r="EF138" s="229">
        <v>8.6E-3</v>
      </c>
      <c r="EG138" s="230">
        <v>5965824</v>
      </c>
      <c r="EH138" s="230">
        <v>6306687</v>
      </c>
      <c r="EI138" s="229">
        <v>-5.3999999999999999E-2</v>
      </c>
      <c r="EJ138" s="229">
        <v>0.34449999999999997</v>
      </c>
      <c r="EK138" s="228">
        <v>551.71</v>
      </c>
      <c r="EL138" s="228">
        <v>158.30000000000001</v>
      </c>
      <c r="EM138" s="228">
        <v>156.6</v>
      </c>
      <c r="EN138" s="228">
        <v>20.100000000000001</v>
      </c>
      <c r="EO138" s="228">
        <v>866.61</v>
      </c>
      <c r="EP138" s="228">
        <v>557.97</v>
      </c>
      <c r="EQ138" s="228">
        <v>308.64999999999998</v>
      </c>
      <c r="ER138" s="229">
        <v>0.55320000000000003</v>
      </c>
      <c r="ES138" s="228">
        <v>302.75</v>
      </c>
      <c r="ET138" s="228">
        <v>151.18</v>
      </c>
      <c r="EU138" s="228">
        <v>576.17999999999995</v>
      </c>
      <c r="EV138" s="231">
        <v>491233252</v>
      </c>
      <c r="EW138" s="231">
        <v>1030.0999999999999</v>
      </c>
      <c r="EX138" s="231">
        <v>1048.48</v>
      </c>
      <c r="EY138" s="228">
        <v>-18.38</v>
      </c>
      <c r="EZ138" s="229">
        <v>-1.7500000000000002E-2</v>
      </c>
      <c r="FA138" s="229">
        <v>0.27589999999999998</v>
      </c>
      <c r="FB138" s="227" t="s">
        <v>555</v>
      </c>
      <c r="FC138">
        <f t="shared" si="2"/>
        <v>35</v>
      </c>
    </row>
    <row r="139" spans="1:159" ht="17.25" hidden="1" thickBot="1" x14ac:dyDescent="0.3">
      <c r="A139" s="226">
        <v>46093</v>
      </c>
      <c r="B139" s="227" t="s">
        <v>181</v>
      </c>
      <c r="C139" s="227" t="s">
        <v>266</v>
      </c>
      <c r="D139" s="228">
        <v>65</v>
      </c>
      <c r="E139" s="228">
        <v>18</v>
      </c>
      <c r="F139" s="231">
        <v>23728.5</v>
      </c>
      <c r="G139" s="231">
        <v>23939.1</v>
      </c>
      <c r="H139" s="228">
        <v>-210.6</v>
      </c>
      <c r="I139" s="229">
        <v>-8.8000000000000005E-3</v>
      </c>
      <c r="J139" s="231">
        <v>23639.15</v>
      </c>
      <c r="K139" s="231">
        <v>23866.85</v>
      </c>
      <c r="L139" s="228">
        <v>-227.7</v>
      </c>
      <c r="M139" s="229">
        <v>-9.4999999999999998E-3</v>
      </c>
      <c r="N139" s="231">
        <v>23728.5</v>
      </c>
      <c r="O139" s="231">
        <v>23939.1</v>
      </c>
      <c r="P139" s="228">
        <v>-210.6</v>
      </c>
      <c r="Q139" s="229">
        <v>-8.8000000000000005E-3</v>
      </c>
      <c r="R139" s="231">
        <v>23882.400000000001</v>
      </c>
      <c r="S139" s="231">
        <v>24102.1</v>
      </c>
      <c r="T139" s="228">
        <v>-219.7</v>
      </c>
      <c r="U139" s="229">
        <v>-9.1000000000000004E-3</v>
      </c>
      <c r="V139" s="231">
        <v>24010.3</v>
      </c>
      <c r="W139" s="231">
        <v>24231.200000000001</v>
      </c>
      <c r="X139" s="228">
        <v>-220.9</v>
      </c>
      <c r="Y139" s="229">
        <v>-9.1000000000000004E-3</v>
      </c>
      <c r="Z139" s="228">
        <v>89.35</v>
      </c>
      <c r="AA139" s="228">
        <v>72.25</v>
      </c>
      <c r="AB139" s="228">
        <v>17.100000000000001</v>
      </c>
      <c r="AC139" s="229">
        <v>3.8E-3</v>
      </c>
      <c r="AD139" s="228">
        <v>89.35</v>
      </c>
      <c r="AE139" s="228">
        <v>72.25</v>
      </c>
      <c r="AF139" s="228">
        <v>17.100000000000001</v>
      </c>
      <c r="AG139" s="229">
        <v>3.8E-3</v>
      </c>
      <c r="AH139" s="228">
        <v>243.25</v>
      </c>
      <c r="AI139" s="228">
        <v>235.25</v>
      </c>
      <c r="AJ139" s="228">
        <v>8</v>
      </c>
      <c r="AK139" s="229">
        <v>1.03E-2</v>
      </c>
      <c r="AL139" s="228">
        <v>371.15</v>
      </c>
      <c r="AM139" s="228">
        <v>364.35</v>
      </c>
      <c r="AN139" s="228">
        <v>6.8</v>
      </c>
      <c r="AO139" s="229">
        <v>1.5699999999999999E-2</v>
      </c>
      <c r="AP139" s="231">
        <v>23758.15</v>
      </c>
      <c r="AQ139" s="231">
        <v>23906.92</v>
      </c>
      <c r="AR139" s="228">
        <v>0</v>
      </c>
      <c r="AS139" s="230">
        <v>24138</v>
      </c>
      <c r="AT139" s="230">
        <v>22504</v>
      </c>
      <c r="AU139" s="230">
        <v>1634</v>
      </c>
      <c r="AV139" s="229">
        <v>7.2599999999999998E-2</v>
      </c>
      <c r="AW139" s="230">
        <v>20910</v>
      </c>
      <c r="AX139" s="230">
        <v>18877</v>
      </c>
      <c r="AY139" s="230">
        <v>2033</v>
      </c>
      <c r="AZ139" s="229">
        <v>0.1077</v>
      </c>
      <c r="BA139" s="230">
        <v>2049</v>
      </c>
      <c r="BB139" s="230">
        <v>2222</v>
      </c>
      <c r="BC139" s="228">
        <v>-173</v>
      </c>
      <c r="BD139" s="229">
        <v>-7.7700000000000005E-2</v>
      </c>
      <c r="BE139" s="230">
        <v>1178</v>
      </c>
      <c r="BF139" s="230">
        <v>1405</v>
      </c>
      <c r="BG139" s="228">
        <v>-227</v>
      </c>
      <c r="BH139" s="229">
        <v>-0.16139999999999999</v>
      </c>
      <c r="BI139" s="230">
        <v>4122354</v>
      </c>
      <c r="BJ139" s="230">
        <v>3563388</v>
      </c>
      <c r="BK139" s="230">
        <v>558966</v>
      </c>
      <c r="BL139" s="229">
        <v>0.15690000000000001</v>
      </c>
      <c r="BM139" s="230">
        <v>3451030</v>
      </c>
      <c r="BN139" s="230">
        <v>4015282</v>
      </c>
      <c r="BO139" s="230">
        <v>-564252</v>
      </c>
      <c r="BP139" s="229">
        <v>-0.14050000000000001</v>
      </c>
      <c r="BQ139" s="230">
        <v>7597522</v>
      </c>
      <c r="BR139" s="230">
        <v>7601174</v>
      </c>
      <c r="BS139" s="230">
        <v>-3652</v>
      </c>
      <c r="BT139" s="229">
        <v>-5.0000000000000001E-4</v>
      </c>
      <c r="BU139" s="228">
        <v>0</v>
      </c>
      <c r="BV139" s="228">
        <v>0</v>
      </c>
      <c r="BW139" s="228">
        <v>0</v>
      </c>
      <c r="BX139" s="229">
        <v>0</v>
      </c>
      <c r="BY139" s="230">
        <v>51596</v>
      </c>
      <c r="BZ139" s="230">
        <v>50762</v>
      </c>
      <c r="CA139" s="228">
        <v>834</v>
      </c>
      <c r="CB139" s="229">
        <v>1.6400000000000001E-2</v>
      </c>
      <c r="CC139" s="230">
        <v>43378</v>
      </c>
      <c r="CD139" s="230">
        <v>42895</v>
      </c>
      <c r="CE139" s="228">
        <v>483</v>
      </c>
      <c r="CF139" s="229">
        <v>1.1299999999999999E-2</v>
      </c>
      <c r="CG139" s="230">
        <v>5641</v>
      </c>
      <c r="CH139" s="230">
        <v>5373</v>
      </c>
      <c r="CI139" s="228">
        <v>267</v>
      </c>
      <c r="CJ139" s="229">
        <v>4.9700000000000001E-2</v>
      </c>
      <c r="CK139" s="230">
        <v>2577</v>
      </c>
      <c r="CL139" s="230">
        <v>2494</v>
      </c>
      <c r="CM139" s="228">
        <v>84</v>
      </c>
      <c r="CN139" s="229">
        <v>3.3500000000000002E-2</v>
      </c>
      <c r="CO139" s="230">
        <v>571527</v>
      </c>
      <c r="CP139" s="230">
        <v>529408</v>
      </c>
      <c r="CQ139" s="230">
        <v>42118</v>
      </c>
      <c r="CR139" s="229">
        <v>7.9600000000000004E-2</v>
      </c>
      <c r="CS139" s="230">
        <v>490603</v>
      </c>
      <c r="CT139" s="230">
        <v>441759</v>
      </c>
      <c r="CU139" s="230">
        <v>48844</v>
      </c>
      <c r="CV139" s="229">
        <v>0.1106</v>
      </c>
      <c r="CW139" s="230">
        <v>1113725</v>
      </c>
      <c r="CX139" s="230">
        <v>1021930</v>
      </c>
      <c r="CY139" s="230">
        <v>91796</v>
      </c>
      <c r="CZ139" s="229">
        <v>8.9800000000000005E-2</v>
      </c>
      <c r="DA139" s="228">
        <v>21.15</v>
      </c>
      <c r="DB139" s="228">
        <v>23.24</v>
      </c>
      <c r="DC139" s="228">
        <v>-2.09</v>
      </c>
      <c r="DD139" s="228">
        <v>-2.09</v>
      </c>
      <c r="DE139" s="228">
        <v>15.05</v>
      </c>
      <c r="DF139" s="228">
        <v>15.04</v>
      </c>
      <c r="DG139" s="228">
        <v>6.1</v>
      </c>
      <c r="DH139" s="228">
        <v>0.01</v>
      </c>
      <c r="DI139" s="228">
        <v>19.91</v>
      </c>
      <c r="DJ139" s="228">
        <v>22.02</v>
      </c>
      <c r="DK139" s="228">
        <v>-2.11</v>
      </c>
      <c r="DL139" s="228">
        <v>-2.11</v>
      </c>
      <c r="DM139" s="228">
        <v>22.75</v>
      </c>
      <c r="DN139" s="228">
        <v>24.33</v>
      </c>
      <c r="DO139" s="228">
        <v>-1.58</v>
      </c>
      <c r="DP139" s="228">
        <v>-1.58</v>
      </c>
      <c r="DQ139" s="228">
        <v>0.86</v>
      </c>
      <c r="DR139" s="228">
        <v>0.83</v>
      </c>
      <c r="DS139" s="228">
        <v>0.03</v>
      </c>
      <c r="DT139" s="229">
        <v>3.61E-2</v>
      </c>
      <c r="DU139" s="231">
        <v>25000</v>
      </c>
      <c r="DV139" s="231">
        <v>21500</v>
      </c>
      <c r="DW139" s="228">
        <v>0.84</v>
      </c>
      <c r="DX139" s="228">
        <v>1.1299999999999999</v>
      </c>
      <c r="DY139" s="228">
        <v>-0.28999999999999998</v>
      </c>
      <c r="DZ139" s="229">
        <v>-0.25659999999999999</v>
      </c>
      <c r="EA139" s="229">
        <v>0.1593</v>
      </c>
      <c r="EB139" s="230">
        <v>3315455</v>
      </c>
      <c r="EC139" s="229">
        <v>6.4999999999999997E-3</v>
      </c>
      <c r="ED139" s="229">
        <v>0.1593</v>
      </c>
      <c r="EE139" s="228">
        <v>148.77000000000001</v>
      </c>
      <c r="EF139" s="229">
        <v>6.3E-3</v>
      </c>
      <c r="EG139" s="228">
        <v>0</v>
      </c>
      <c r="EH139" s="228">
        <v>0</v>
      </c>
      <c r="EI139" s="229">
        <v>0</v>
      </c>
      <c r="EJ139" s="229">
        <v>0</v>
      </c>
      <c r="EK139" s="231">
        <v>4278073.84</v>
      </c>
      <c r="EL139" s="231">
        <v>3393090.91</v>
      </c>
      <c r="EM139" s="231">
        <v>24194.57</v>
      </c>
      <c r="EN139" s="231">
        <v>1403.67</v>
      </c>
      <c r="EO139" s="231">
        <v>7695359.3200000003</v>
      </c>
      <c r="EP139" s="231">
        <v>7769653.9900000002</v>
      </c>
      <c r="EQ139" s="231">
        <v>-74294.66</v>
      </c>
      <c r="ER139" s="229">
        <v>-9.5999999999999992E-3</v>
      </c>
      <c r="ES139" s="231">
        <v>606971.53</v>
      </c>
      <c r="ET139" s="231">
        <v>487072.56</v>
      </c>
      <c r="EU139" s="231">
        <v>51662.74</v>
      </c>
      <c r="EV139" s="228">
        <v>0</v>
      </c>
      <c r="EW139" s="231">
        <v>1145706.83</v>
      </c>
      <c r="EX139" s="231">
        <v>1059143.03</v>
      </c>
      <c r="EY139" s="231">
        <v>86563.8</v>
      </c>
      <c r="EZ139" s="229">
        <v>8.1699999999999995E-2</v>
      </c>
      <c r="FA139" s="229">
        <v>0</v>
      </c>
      <c r="FB139" s="227" t="s">
        <v>567</v>
      </c>
      <c r="FC139">
        <f t="shared" si="2"/>
        <v>8218</v>
      </c>
    </row>
    <row r="140" spans="1:159" ht="17.25" thickBot="1" x14ac:dyDescent="0.3">
      <c r="A140" s="226">
        <v>46093</v>
      </c>
      <c r="B140" s="227" t="s">
        <v>181</v>
      </c>
      <c r="C140" s="227" t="s">
        <v>566</v>
      </c>
      <c r="D140" s="228">
        <v>25</v>
      </c>
      <c r="E140" s="228">
        <v>18</v>
      </c>
      <c r="F140" s="231">
        <v>66510.2</v>
      </c>
      <c r="G140" s="231">
        <v>66507.8</v>
      </c>
      <c r="H140" s="228">
        <v>2.4</v>
      </c>
      <c r="I140" s="229">
        <v>0</v>
      </c>
      <c r="J140" s="231">
        <v>66424.55</v>
      </c>
      <c r="K140" s="231">
        <v>66498.649999999994</v>
      </c>
      <c r="L140" s="228">
        <v>-74.099999999999994</v>
      </c>
      <c r="M140" s="229">
        <v>-1.1000000000000001E-3</v>
      </c>
      <c r="N140" s="231">
        <v>66510.2</v>
      </c>
      <c r="O140" s="231">
        <v>66507.8</v>
      </c>
      <c r="P140" s="228">
        <v>2.4</v>
      </c>
      <c r="Q140" s="229">
        <v>0</v>
      </c>
      <c r="R140" s="231">
        <v>66901.600000000006</v>
      </c>
      <c r="S140" s="231">
        <v>66864.399999999994</v>
      </c>
      <c r="T140" s="228">
        <v>37.200000000000003</v>
      </c>
      <c r="U140" s="229">
        <v>5.9999999999999995E-4</v>
      </c>
      <c r="V140" s="231">
        <v>70946.8</v>
      </c>
      <c r="W140" s="231">
        <v>70946.8</v>
      </c>
      <c r="X140" s="228">
        <v>0</v>
      </c>
      <c r="Y140" s="229">
        <v>0</v>
      </c>
      <c r="Z140" s="228">
        <v>85.65</v>
      </c>
      <c r="AA140" s="228">
        <v>9.15</v>
      </c>
      <c r="AB140" s="228">
        <v>76.5</v>
      </c>
      <c r="AC140" s="229">
        <v>1.2999999999999999E-3</v>
      </c>
      <c r="AD140" s="228">
        <v>85.65</v>
      </c>
      <c r="AE140" s="228">
        <v>9.15</v>
      </c>
      <c r="AF140" s="228">
        <v>76.5</v>
      </c>
      <c r="AG140" s="229">
        <v>1.2999999999999999E-3</v>
      </c>
      <c r="AH140" s="228">
        <v>477.05</v>
      </c>
      <c r="AI140" s="228">
        <v>365.75</v>
      </c>
      <c r="AJ140" s="228">
        <v>111.3</v>
      </c>
      <c r="AK140" s="229">
        <v>7.1999999999999998E-3</v>
      </c>
      <c r="AL140" s="231">
        <v>4522.25</v>
      </c>
      <c r="AM140" s="231">
        <v>4448.1499999999996</v>
      </c>
      <c r="AN140" s="228">
        <v>74.099999999999994</v>
      </c>
      <c r="AO140" s="229">
        <v>6.8099999999999994E-2</v>
      </c>
      <c r="AP140" s="231">
        <v>66201.240000000005</v>
      </c>
      <c r="AQ140" s="231">
        <v>66568.33</v>
      </c>
      <c r="AR140" s="228">
        <v>0</v>
      </c>
      <c r="AS140" s="228">
        <v>52</v>
      </c>
      <c r="AT140" s="228">
        <v>51</v>
      </c>
      <c r="AU140" s="228">
        <v>1</v>
      </c>
      <c r="AV140" s="229">
        <v>2.9399999999999999E-2</v>
      </c>
      <c r="AW140" s="228">
        <v>48</v>
      </c>
      <c r="AX140" s="228">
        <v>47</v>
      </c>
      <c r="AY140" s="228">
        <v>1</v>
      </c>
      <c r="AZ140" s="229">
        <v>3.1899999999999998E-2</v>
      </c>
      <c r="BA140" s="228">
        <v>4</v>
      </c>
      <c r="BB140" s="228">
        <v>4</v>
      </c>
      <c r="BC140" s="228">
        <v>0</v>
      </c>
      <c r="BD140" s="229">
        <v>0</v>
      </c>
      <c r="BE140" s="228">
        <v>0</v>
      </c>
      <c r="BF140" s="228">
        <v>0</v>
      </c>
      <c r="BG140" s="228">
        <v>0</v>
      </c>
      <c r="BH140" s="229">
        <v>0</v>
      </c>
      <c r="BI140" s="228">
        <v>23</v>
      </c>
      <c r="BJ140" s="228">
        <v>70</v>
      </c>
      <c r="BK140" s="228">
        <v>-47</v>
      </c>
      <c r="BL140" s="229">
        <v>-0.66590000000000005</v>
      </c>
      <c r="BM140" s="228">
        <v>13</v>
      </c>
      <c r="BN140" s="228">
        <v>43</v>
      </c>
      <c r="BO140" s="228">
        <v>-30</v>
      </c>
      <c r="BP140" s="229">
        <v>-0.70040000000000002</v>
      </c>
      <c r="BQ140" s="228">
        <v>89</v>
      </c>
      <c r="BR140" s="228">
        <v>164</v>
      </c>
      <c r="BS140" s="228">
        <v>-75</v>
      </c>
      <c r="BT140" s="229">
        <v>-0.45889999999999997</v>
      </c>
      <c r="BU140" s="228">
        <v>0</v>
      </c>
      <c r="BV140" s="228">
        <v>0</v>
      </c>
      <c r="BW140" s="228">
        <v>0</v>
      </c>
      <c r="BX140" s="229">
        <v>0</v>
      </c>
      <c r="BY140" s="228">
        <v>122</v>
      </c>
      <c r="BZ140" s="228">
        <v>119</v>
      </c>
      <c r="CA140" s="228">
        <v>2</v>
      </c>
      <c r="CB140" s="229">
        <v>1.95E-2</v>
      </c>
      <c r="CC140" s="228">
        <v>106</v>
      </c>
      <c r="CD140" s="228">
        <v>105</v>
      </c>
      <c r="CE140" s="228">
        <v>1</v>
      </c>
      <c r="CF140" s="229">
        <v>1.11E-2</v>
      </c>
      <c r="CG140" s="228">
        <v>15</v>
      </c>
      <c r="CH140" s="228">
        <v>14</v>
      </c>
      <c r="CI140" s="228">
        <v>1</v>
      </c>
      <c r="CJ140" s="229">
        <v>8.14E-2</v>
      </c>
      <c r="CK140" s="228">
        <v>0</v>
      </c>
      <c r="CL140" s="228">
        <v>0</v>
      </c>
      <c r="CM140" s="228">
        <v>0</v>
      </c>
      <c r="CN140" s="229">
        <v>0</v>
      </c>
      <c r="CO140" s="228">
        <v>78</v>
      </c>
      <c r="CP140" s="228">
        <v>72</v>
      </c>
      <c r="CQ140" s="228">
        <v>6</v>
      </c>
      <c r="CR140" s="229">
        <v>8.2900000000000001E-2</v>
      </c>
      <c r="CS140" s="228">
        <v>33</v>
      </c>
      <c r="CT140" s="228">
        <v>30</v>
      </c>
      <c r="CU140" s="228">
        <v>2</v>
      </c>
      <c r="CV140" s="229">
        <v>7.6499999999999999E-2</v>
      </c>
      <c r="CW140" s="228">
        <v>233</v>
      </c>
      <c r="CX140" s="228">
        <v>222</v>
      </c>
      <c r="CY140" s="228">
        <v>11</v>
      </c>
      <c r="CZ140" s="229">
        <v>4.7899999999999998E-2</v>
      </c>
      <c r="DA140" s="228">
        <v>21.72</v>
      </c>
      <c r="DB140" s="228">
        <v>21.81</v>
      </c>
      <c r="DC140" s="228">
        <v>-0.09</v>
      </c>
      <c r="DD140" s="228">
        <v>-0.09</v>
      </c>
      <c r="DE140" s="228">
        <v>20.41</v>
      </c>
      <c r="DF140" s="228">
        <v>20.46</v>
      </c>
      <c r="DG140" s="228">
        <v>1.31</v>
      </c>
      <c r="DH140" s="228">
        <v>-0.05</v>
      </c>
      <c r="DI140" s="228">
        <v>21.53</v>
      </c>
      <c r="DJ140" s="228">
        <v>22.39</v>
      </c>
      <c r="DK140" s="228">
        <v>-0.86</v>
      </c>
      <c r="DL140" s="228">
        <v>-0.86</v>
      </c>
      <c r="DM140" s="228">
        <v>22.08</v>
      </c>
      <c r="DN140" s="228">
        <v>20.87</v>
      </c>
      <c r="DO140" s="228">
        <v>1.21</v>
      </c>
      <c r="DP140" s="228">
        <v>1.21</v>
      </c>
      <c r="DQ140" s="228">
        <v>0.42</v>
      </c>
      <c r="DR140" s="228">
        <v>0.42</v>
      </c>
      <c r="DS140" s="228">
        <v>0</v>
      </c>
      <c r="DT140" s="229">
        <v>0</v>
      </c>
      <c r="DU140" s="231">
        <v>71000</v>
      </c>
      <c r="DV140" s="231">
        <v>66000</v>
      </c>
      <c r="DW140" s="228">
        <v>0.55000000000000004</v>
      </c>
      <c r="DX140" s="228">
        <v>0.61</v>
      </c>
      <c r="DY140" s="228">
        <v>-0.06</v>
      </c>
      <c r="DZ140" s="229">
        <v>-9.8400000000000001E-2</v>
      </c>
      <c r="EA140" s="229">
        <v>0.12839999999999999</v>
      </c>
      <c r="EB140" s="230">
        <v>2175</v>
      </c>
      <c r="EC140" s="229">
        <v>5.8999999999999999E-3</v>
      </c>
      <c r="ED140" s="229">
        <v>0.12839999999999999</v>
      </c>
      <c r="EE140" s="228">
        <v>367.09</v>
      </c>
      <c r="EF140" s="229">
        <v>5.4999999999999997E-3</v>
      </c>
      <c r="EG140" s="228">
        <v>0</v>
      </c>
      <c r="EH140" s="228">
        <v>0</v>
      </c>
      <c r="EI140" s="229">
        <v>0</v>
      </c>
      <c r="EJ140" s="229">
        <v>0</v>
      </c>
      <c r="EK140" s="228">
        <v>24.11</v>
      </c>
      <c r="EL140" s="228">
        <v>12.9</v>
      </c>
      <c r="EM140" s="228">
        <v>52.16</v>
      </c>
      <c r="EN140" s="228">
        <v>0</v>
      </c>
      <c r="EO140" s="228">
        <v>89.17</v>
      </c>
      <c r="EP140" s="228">
        <v>167.87</v>
      </c>
      <c r="EQ140" s="228">
        <v>-78.7</v>
      </c>
      <c r="ER140" s="229">
        <v>-0.46879999999999999</v>
      </c>
      <c r="ES140" s="228">
        <v>80.72</v>
      </c>
      <c r="ET140" s="228">
        <v>32.869999999999997</v>
      </c>
      <c r="EU140" s="228">
        <v>121.82</v>
      </c>
      <c r="EV140" s="228">
        <v>0</v>
      </c>
      <c r="EW140" s="228">
        <v>235.41</v>
      </c>
      <c r="EX140" s="228">
        <v>224.75</v>
      </c>
      <c r="EY140" s="228">
        <v>10.66</v>
      </c>
      <c r="EZ140" s="229">
        <v>4.7399999999999998E-2</v>
      </c>
      <c r="FA140" s="229">
        <v>0</v>
      </c>
      <c r="FB140" s="227" t="s">
        <v>237</v>
      </c>
      <c r="FC140">
        <f t="shared" si="2"/>
        <v>16</v>
      </c>
    </row>
    <row r="141" spans="1:159" ht="17.25" thickBot="1" x14ac:dyDescent="0.3">
      <c r="A141" s="226">
        <v>46093</v>
      </c>
      <c r="B141" s="227" t="s">
        <v>227</v>
      </c>
      <c r="C141" s="227" t="s">
        <v>267</v>
      </c>
      <c r="D141" s="228">
        <v>6750</v>
      </c>
      <c r="E141" s="228">
        <v>18</v>
      </c>
      <c r="F141" s="228">
        <v>81.2</v>
      </c>
      <c r="G141" s="228">
        <v>79.83</v>
      </c>
      <c r="H141" s="228">
        <v>1.37</v>
      </c>
      <c r="I141" s="229">
        <v>1.72E-2</v>
      </c>
      <c r="J141" s="228">
        <v>80.87</v>
      </c>
      <c r="K141" s="228">
        <v>79.73</v>
      </c>
      <c r="L141" s="228">
        <v>1.1399999999999999</v>
      </c>
      <c r="M141" s="229">
        <v>1.43E-2</v>
      </c>
      <c r="N141" s="228">
        <v>81.2</v>
      </c>
      <c r="O141" s="228">
        <v>79.83</v>
      </c>
      <c r="P141" s="228">
        <v>1.37</v>
      </c>
      <c r="Q141" s="229">
        <v>1.72E-2</v>
      </c>
      <c r="R141" s="228">
        <v>81.599999999999994</v>
      </c>
      <c r="S141" s="228">
        <v>80.23</v>
      </c>
      <c r="T141" s="228">
        <v>1.37</v>
      </c>
      <c r="U141" s="229">
        <v>1.7100000000000001E-2</v>
      </c>
      <c r="V141" s="228">
        <v>82.37</v>
      </c>
      <c r="W141" s="228">
        <v>80.510000000000005</v>
      </c>
      <c r="X141" s="228">
        <v>1.86</v>
      </c>
      <c r="Y141" s="229">
        <v>2.3099999999999999E-2</v>
      </c>
      <c r="Z141" s="228">
        <v>0.33</v>
      </c>
      <c r="AA141" s="228">
        <v>0.1</v>
      </c>
      <c r="AB141" s="228">
        <v>0.23</v>
      </c>
      <c r="AC141" s="229">
        <v>4.1000000000000003E-3</v>
      </c>
      <c r="AD141" s="228">
        <v>0.33</v>
      </c>
      <c r="AE141" s="228">
        <v>0.1</v>
      </c>
      <c r="AF141" s="228">
        <v>0.23</v>
      </c>
      <c r="AG141" s="229">
        <v>4.1000000000000003E-3</v>
      </c>
      <c r="AH141" s="228">
        <v>0.73</v>
      </c>
      <c r="AI141" s="228">
        <v>0.5</v>
      </c>
      <c r="AJ141" s="228">
        <v>0.23</v>
      </c>
      <c r="AK141" s="229">
        <v>8.9999999999999993E-3</v>
      </c>
      <c r="AL141" s="228">
        <v>1.5</v>
      </c>
      <c r="AM141" s="228">
        <v>0.78</v>
      </c>
      <c r="AN141" s="228">
        <v>0.72</v>
      </c>
      <c r="AO141" s="229">
        <v>1.8499999999999999E-2</v>
      </c>
      <c r="AP141" s="228">
        <v>80</v>
      </c>
      <c r="AQ141" s="228">
        <v>79.75</v>
      </c>
      <c r="AR141" s="228">
        <v>0</v>
      </c>
      <c r="AS141" s="228">
        <v>270</v>
      </c>
      <c r="AT141" s="228">
        <v>167</v>
      </c>
      <c r="AU141" s="228">
        <v>103</v>
      </c>
      <c r="AV141" s="229">
        <v>0.61329999999999996</v>
      </c>
      <c r="AW141" s="228">
        <v>230</v>
      </c>
      <c r="AX141" s="228">
        <v>156</v>
      </c>
      <c r="AY141" s="228">
        <v>74</v>
      </c>
      <c r="AZ141" s="229">
        <v>0.47699999999999998</v>
      </c>
      <c r="BA141" s="228">
        <v>38</v>
      </c>
      <c r="BB141" s="228">
        <v>11</v>
      </c>
      <c r="BC141" s="228">
        <v>27</v>
      </c>
      <c r="BD141" s="229">
        <v>2.5676999999999999</v>
      </c>
      <c r="BE141" s="228">
        <v>2</v>
      </c>
      <c r="BF141" s="228">
        <v>1</v>
      </c>
      <c r="BG141" s="228">
        <v>1</v>
      </c>
      <c r="BH141" s="229">
        <v>1.4666999999999999</v>
      </c>
      <c r="BI141" s="228">
        <v>556</v>
      </c>
      <c r="BJ141" s="228">
        <v>411</v>
      </c>
      <c r="BK141" s="228">
        <v>145</v>
      </c>
      <c r="BL141" s="229">
        <v>0.35249999999999998</v>
      </c>
      <c r="BM141" s="228">
        <v>194</v>
      </c>
      <c r="BN141" s="228">
        <v>160</v>
      </c>
      <c r="BO141" s="228">
        <v>34</v>
      </c>
      <c r="BP141" s="229">
        <v>0.21060000000000001</v>
      </c>
      <c r="BQ141" s="230">
        <v>1020</v>
      </c>
      <c r="BR141" s="228">
        <v>739</v>
      </c>
      <c r="BS141" s="228">
        <v>281</v>
      </c>
      <c r="BT141" s="229">
        <v>0.38090000000000002</v>
      </c>
      <c r="BU141" s="230">
        <v>21769394</v>
      </c>
      <c r="BV141" s="230">
        <v>14500054</v>
      </c>
      <c r="BW141" s="230">
        <v>7269340</v>
      </c>
      <c r="BX141" s="229">
        <v>0.50129999999999997</v>
      </c>
      <c r="BY141" s="230">
        <v>2751</v>
      </c>
      <c r="BZ141" s="230">
        <v>2776</v>
      </c>
      <c r="CA141" s="228">
        <v>-25</v>
      </c>
      <c r="CB141" s="229">
        <v>-8.8999999999999999E-3</v>
      </c>
      <c r="CC141" s="230">
        <v>2627</v>
      </c>
      <c r="CD141" s="230">
        <v>2668</v>
      </c>
      <c r="CE141" s="228">
        <v>-41</v>
      </c>
      <c r="CF141" s="229">
        <v>-1.5299999999999999E-2</v>
      </c>
      <c r="CG141" s="228">
        <v>98</v>
      </c>
      <c r="CH141" s="228">
        <v>83</v>
      </c>
      <c r="CI141" s="228">
        <v>15</v>
      </c>
      <c r="CJ141" s="229">
        <v>0.18629999999999999</v>
      </c>
      <c r="CK141" s="228">
        <v>26</v>
      </c>
      <c r="CL141" s="228">
        <v>25</v>
      </c>
      <c r="CM141" s="228">
        <v>1</v>
      </c>
      <c r="CN141" s="229">
        <v>2.64E-2</v>
      </c>
      <c r="CO141" s="228">
        <v>699</v>
      </c>
      <c r="CP141" s="228">
        <v>666</v>
      </c>
      <c r="CQ141" s="228">
        <v>34</v>
      </c>
      <c r="CR141" s="229">
        <v>5.04E-2</v>
      </c>
      <c r="CS141" s="228">
        <v>388</v>
      </c>
      <c r="CT141" s="228">
        <v>379</v>
      </c>
      <c r="CU141" s="228">
        <v>9</v>
      </c>
      <c r="CV141" s="229">
        <v>2.3699999999999999E-2</v>
      </c>
      <c r="CW141" s="230">
        <v>3839</v>
      </c>
      <c r="CX141" s="230">
        <v>3821</v>
      </c>
      <c r="CY141" s="228">
        <v>18</v>
      </c>
      <c r="CZ141" s="229">
        <v>4.7000000000000002E-3</v>
      </c>
      <c r="DA141" s="228">
        <v>36.590000000000003</v>
      </c>
      <c r="DB141" s="228">
        <v>37.49</v>
      </c>
      <c r="DC141" s="228">
        <v>-0.9</v>
      </c>
      <c r="DD141" s="228">
        <v>-0.9</v>
      </c>
      <c r="DE141" s="228">
        <v>38.61</v>
      </c>
      <c r="DF141" s="228">
        <v>38.630000000000003</v>
      </c>
      <c r="DG141" s="228">
        <v>-2.02</v>
      </c>
      <c r="DH141" s="228">
        <v>-0.02</v>
      </c>
      <c r="DI141" s="228">
        <v>35.83</v>
      </c>
      <c r="DJ141" s="228">
        <v>37.1</v>
      </c>
      <c r="DK141" s="228">
        <v>-1.27</v>
      </c>
      <c r="DL141" s="228">
        <v>-1.27</v>
      </c>
      <c r="DM141" s="228">
        <v>38.76</v>
      </c>
      <c r="DN141" s="228">
        <v>38.5</v>
      </c>
      <c r="DO141" s="228">
        <v>0.26</v>
      </c>
      <c r="DP141" s="228">
        <v>0.26</v>
      </c>
      <c r="DQ141" s="228">
        <v>0.56000000000000005</v>
      </c>
      <c r="DR141" s="228">
        <v>0.56999999999999995</v>
      </c>
      <c r="DS141" s="228">
        <v>-0.01</v>
      </c>
      <c r="DT141" s="229">
        <v>-1.7500000000000002E-2</v>
      </c>
      <c r="DU141" s="228">
        <v>85</v>
      </c>
      <c r="DV141" s="228">
        <v>70</v>
      </c>
      <c r="DW141" s="228">
        <v>0.35</v>
      </c>
      <c r="DX141" s="228">
        <v>0.39</v>
      </c>
      <c r="DY141" s="228">
        <v>-0.04</v>
      </c>
      <c r="DZ141" s="229">
        <v>-0.1026</v>
      </c>
      <c r="EA141" s="229">
        <v>4.5100000000000001E-2</v>
      </c>
      <c r="EB141" s="230">
        <v>13290750</v>
      </c>
      <c r="EC141" s="229">
        <v>4.8999999999999998E-3</v>
      </c>
      <c r="ED141" s="229">
        <v>4.5100000000000001E-2</v>
      </c>
      <c r="EE141" s="228">
        <v>-0.25</v>
      </c>
      <c r="EF141" s="229">
        <v>-3.0999999999999999E-3</v>
      </c>
      <c r="EG141" s="230">
        <v>7355088</v>
      </c>
      <c r="EH141" s="230">
        <v>5540219</v>
      </c>
      <c r="EI141" s="229">
        <v>0.3276</v>
      </c>
      <c r="EJ141" s="229">
        <v>0.33789999999999998</v>
      </c>
      <c r="EK141" s="228">
        <v>585.6</v>
      </c>
      <c r="EL141" s="228">
        <v>186.29</v>
      </c>
      <c r="EM141" s="228">
        <v>265.98</v>
      </c>
      <c r="EN141" s="228">
        <v>45.75</v>
      </c>
      <c r="EO141" s="231">
        <v>1037.8599999999999</v>
      </c>
      <c r="EP141" s="228">
        <v>755.03</v>
      </c>
      <c r="EQ141" s="228">
        <v>282.83</v>
      </c>
      <c r="ER141" s="229">
        <v>0.37459999999999999</v>
      </c>
      <c r="ES141" s="228">
        <v>730</v>
      </c>
      <c r="ET141" s="228">
        <v>370.55</v>
      </c>
      <c r="EU141" s="231">
        <v>2752.15</v>
      </c>
      <c r="EV141" s="231">
        <v>517037525</v>
      </c>
      <c r="EW141" s="231">
        <v>3852.7</v>
      </c>
      <c r="EX141" s="231">
        <v>3785.67</v>
      </c>
      <c r="EY141" s="228">
        <v>67.03</v>
      </c>
      <c r="EZ141" s="229">
        <v>1.77E-2</v>
      </c>
      <c r="FA141" s="229">
        <v>0.9143</v>
      </c>
      <c r="FB141" s="227" t="s">
        <v>556</v>
      </c>
      <c r="FC141">
        <f t="shared" si="2"/>
        <v>124</v>
      </c>
    </row>
    <row r="142" spans="1:159" ht="17.25" thickBot="1" x14ac:dyDescent="0.3">
      <c r="A142" s="226">
        <v>46093</v>
      </c>
      <c r="B142" s="227" t="s">
        <v>161</v>
      </c>
      <c r="C142" s="227" t="s">
        <v>268</v>
      </c>
      <c r="D142" s="228">
        <v>1500</v>
      </c>
      <c r="E142" s="228">
        <v>18</v>
      </c>
      <c r="F142" s="228">
        <v>390.9</v>
      </c>
      <c r="G142" s="228">
        <v>380.25</v>
      </c>
      <c r="H142" s="228">
        <v>10.65</v>
      </c>
      <c r="I142" s="229">
        <v>2.8000000000000001E-2</v>
      </c>
      <c r="J142" s="228">
        <v>390.55</v>
      </c>
      <c r="K142" s="228">
        <v>379.9</v>
      </c>
      <c r="L142" s="228">
        <v>10.65</v>
      </c>
      <c r="M142" s="229">
        <v>2.8000000000000001E-2</v>
      </c>
      <c r="N142" s="228">
        <v>390.9</v>
      </c>
      <c r="O142" s="228">
        <v>380.25</v>
      </c>
      <c r="P142" s="228">
        <v>10.65</v>
      </c>
      <c r="Q142" s="229">
        <v>2.8000000000000001E-2</v>
      </c>
      <c r="R142" s="228">
        <v>393.45</v>
      </c>
      <c r="S142" s="228">
        <v>382.65</v>
      </c>
      <c r="T142" s="228">
        <v>10.8</v>
      </c>
      <c r="U142" s="229">
        <v>2.8199999999999999E-2</v>
      </c>
      <c r="V142" s="228">
        <v>395.6</v>
      </c>
      <c r="W142" s="228">
        <v>384.55</v>
      </c>
      <c r="X142" s="228">
        <v>11.05</v>
      </c>
      <c r="Y142" s="229">
        <v>2.87E-2</v>
      </c>
      <c r="Z142" s="228">
        <v>0.35</v>
      </c>
      <c r="AA142" s="228">
        <v>0.35</v>
      </c>
      <c r="AB142" s="228">
        <v>0</v>
      </c>
      <c r="AC142" s="229">
        <v>8.9999999999999998E-4</v>
      </c>
      <c r="AD142" s="228">
        <v>0.35</v>
      </c>
      <c r="AE142" s="228">
        <v>0.35</v>
      </c>
      <c r="AF142" s="228">
        <v>0</v>
      </c>
      <c r="AG142" s="229">
        <v>8.9999999999999998E-4</v>
      </c>
      <c r="AH142" s="228">
        <v>2.9</v>
      </c>
      <c r="AI142" s="228">
        <v>2.75</v>
      </c>
      <c r="AJ142" s="228">
        <v>0.15</v>
      </c>
      <c r="AK142" s="229">
        <v>7.4000000000000003E-3</v>
      </c>
      <c r="AL142" s="228">
        <v>5.05</v>
      </c>
      <c r="AM142" s="228">
        <v>4.6500000000000004</v>
      </c>
      <c r="AN142" s="228">
        <v>0.4</v>
      </c>
      <c r="AO142" s="229">
        <v>1.29E-2</v>
      </c>
      <c r="AP142" s="228">
        <v>387.79</v>
      </c>
      <c r="AQ142" s="228">
        <v>389.7</v>
      </c>
      <c r="AR142" s="228">
        <v>0</v>
      </c>
      <c r="AS142" s="230">
        <v>1121</v>
      </c>
      <c r="AT142" s="228">
        <v>481</v>
      </c>
      <c r="AU142" s="228">
        <v>640</v>
      </c>
      <c r="AV142" s="229">
        <v>1.3315999999999999</v>
      </c>
      <c r="AW142" s="230">
        <v>1041</v>
      </c>
      <c r="AX142" s="228">
        <v>455</v>
      </c>
      <c r="AY142" s="228">
        <v>586</v>
      </c>
      <c r="AZ142" s="229">
        <v>1.2865</v>
      </c>
      <c r="BA142" s="228">
        <v>72</v>
      </c>
      <c r="BB142" s="228">
        <v>23</v>
      </c>
      <c r="BC142" s="228">
        <v>49</v>
      </c>
      <c r="BD142" s="229">
        <v>2.0878999999999999</v>
      </c>
      <c r="BE142" s="228">
        <v>8</v>
      </c>
      <c r="BF142" s="228">
        <v>2</v>
      </c>
      <c r="BG142" s="228">
        <v>6</v>
      </c>
      <c r="BH142" s="229">
        <v>2.7429000000000001</v>
      </c>
      <c r="BI142" s="230">
        <v>9981</v>
      </c>
      <c r="BJ142" s="230">
        <v>2688</v>
      </c>
      <c r="BK142" s="230">
        <v>7293</v>
      </c>
      <c r="BL142" s="229">
        <v>2.7136999999999998</v>
      </c>
      <c r="BM142" s="230">
        <v>2367</v>
      </c>
      <c r="BN142" s="228">
        <v>967</v>
      </c>
      <c r="BO142" s="230">
        <v>1399</v>
      </c>
      <c r="BP142" s="229">
        <v>1.4464999999999999</v>
      </c>
      <c r="BQ142" s="230">
        <v>13468</v>
      </c>
      <c r="BR142" s="230">
        <v>4136</v>
      </c>
      <c r="BS142" s="230">
        <v>9333</v>
      </c>
      <c r="BT142" s="229">
        <v>2.2566000000000002</v>
      </c>
      <c r="BU142" s="230">
        <v>24964310</v>
      </c>
      <c r="BV142" s="230">
        <v>10384574</v>
      </c>
      <c r="BW142" s="230">
        <v>14579736</v>
      </c>
      <c r="BX142" s="229">
        <v>1.4039999999999999</v>
      </c>
      <c r="BY142" s="230">
        <v>4203</v>
      </c>
      <c r="BZ142" s="230">
        <v>3942</v>
      </c>
      <c r="CA142" s="228">
        <v>261</v>
      </c>
      <c r="CB142" s="229">
        <v>6.6299999999999998E-2</v>
      </c>
      <c r="CC142" s="230">
        <v>4102</v>
      </c>
      <c r="CD142" s="230">
        <v>3862</v>
      </c>
      <c r="CE142" s="228">
        <v>240</v>
      </c>
      <c r="CF142" s="229">
        <v>6.2199999999999998E-2</v>
      </c>
      <c r="CG142" s="228">
        <v>85</v>
      </c>
      <c r="CH142" s="228">
        <v>66</v>
      </c>
      <c r="CI142" s="228">
        <v>19</v>
      </c>
      <c r="CJ142" s="229">
        <v>0.29670000000000002</v>
      </c>
      <c r="CK142" s="228">
        <v>16</v>
      </c>
      <c r="CL142" s="228">
        <v>14</v>
      </c>
      <c r="CM142" s="228">
        <v>2</v>
      </c>
      <c r="CN142" s="229">
        <v>0.13450000000000001</v>
      </c>
      <c r="CO142" s="230">
        <v>3282</v>
      </c>
      <c r="CP142" s="230">
        <v>2740</v>
      </c>
      <c r="CQ142" s="228">
        <v>542</v>
      </c>
      <c r="CR142" s="229">
        <v>0.1978</v>
      </c>
      <c r="CS142" s="230">
        <v>1440</v>
      </c>
      <c r="CT142" s="230">
        <v>1061</v>
      </c>
      <c r="CU142" s="228">
        <v>379</v>
      </c>
      <c r="CV142" s="229">
        <v>0.35730000000000001</v>
      </c>
      <c r="CW142" s="230">
        <v>8925</v>
      </c>
      <c r="CX142" s="230">
        <v>7743</v>
      </c>
      <c r="CY142" s="230">
        <v>1183</v>
      </c>
      <c r="CZ142" s="229">
        <v>0.1527</v>
      </c>
      <c r="DA142" s="228">
        <v>23.9</v>
      </c>
      <c r="DB142" s="228">
        <v>22.67</v>
      </c>
      <c r="DC142" s="228">
        <v>1.23</v>
      </c>
      <c r="DD142" s="228">
        <v>1.23</v>
      </c>
      <c r="DE142" s="228">
        <v>27.76</v>
      </c>
      <c r="DF142" s="228">
        <v>27.58</v>
      </c>
      <c r="DG142" s="228">
        <v>-3.86</v>
      </c>
      <c r="DH142" s="228">
        <v>0.18</v>
      </c>
      <c r="DI142" s="228">
        <v>23.2</v>
      </c>
      <c r="DJ142" s="228">
        <v>22.03</v>
      </c>
      <c r="DK142" s="228">
        <v>1.17</v>
      </c>
      <c r="DL142" s="228">
        <v>1.17</v>
      </c>
      <c r="DM142" s="228">
        <v>26.84</v>
      </c>
      <c r="DN142" s="228">
        <v>24.43</v>
      </c>
      <c r="DO142" s="228">
        <v>2.41</v>
      </c>
      <c r="DP142" s="228">
        <v>2.41</v>
      </c>
      <c r="DQ142" s="228">
        <v>0.44</v>
      </c>
      <c r="DR142" s="228">
        <v>0.39</v>
      </c>
      <c r="DS142" s="228">
        <v>0.05</v>
      </c>
      <c r="DT142" s="229">
        <v>0.12820000000000001</v>
      </c>
      <c r="DU142" s="228">
        <v>400</v>
      </c>
      <c r="DV142" s="228">
        <v>380</v>
      </c>
      <c r="DW142" s="228">
        <v>0.24</v>
      </c>
      <c r="DX142" s="228">
        <v>0.36</v>
      </c>
      <c r="DY142" s="228">
        <v>-0.12</v>
      </c>
      <c r="DZ142" s="229">
        <v>-0.33329999999999999</v>
      </c>
      <c r="EA142" s="229">
        <v>2.4E-2</v>
      </c>
      <c r="EB142" s="230">
        <v>2035500</v>
      </c>
      <c r="EC142" s="229">
        <v>6.4999999999999997E-3</v>
      </c>
      <c r="ED142" s="229">
        <v>2.4E-2</v>
      </c>
      <c r="EE142" s="228">
        <v>1.91</v>
      </c>
      <c r="EF142" s="229">
        <v>4.8999999999999998E-3</v>
      </c>
      <c r="EG142" s="230">
        <v>14720259</v>
      </c>
      <c r="EH142" s="230">
        <v>6366592</v>
      </c>
      <c r="EI142" s="229">
        <v>1.3121</v>
      </c>
      <c r="EJ142" s="229">
        <v>0.5897</v>
      </c>
      <c r="EK142" s="231">
        <v>10248.14</v>
      </c>
      <c r="EL142" s="231">
        <v>2301.4499999999998</v>
      </c>
      <c r="EM142" s="231">
        <v>1112.1400000000001</v>
      </c>
      <c r="EN142" s="228">
        <v>104.19</v>
      </c>
      <c r="EO142" s="231">
        <v>13661.73</v>
      </c>
      <c r="EP142" s="231">
        <v>4128.7</v>
      </c>
      <c r="EQ142" s="231">
        <v>9533.0300000000007</v>
      </c>
      <c r="ER142" s="229">
        <v>2.3090000000000002</v>
      </c>
      <c r="ES142" s="231">
        <v>3288.05</v>
      </c>
      <c r="ET142" s="231">
        <v>1366.78</v>
      </c>
      <c r="EU142" s="231">
        <v>4204.1099999999997</v>
      </c>
      <c r="EV142" s="231">
        <v>474131988</v>
      </c>
      <c r="EW142" s="231">
        <v>8858.9500000000007</v>
      </c>
      <c r="EX142" s="231">
        <v>7565.23</v>
      </c>
      <c r="EY142" s="231">
        <v>1293.72</v>
      </c>
      <c r="EZ142" s="229">
        <v>0.17100000000000001</v>
      </c>
      <c r="FA142" s="229">
        <v>0.48159999999999997</v>
      </c>
      <c r="FB142" s="227" t="s">
        <v>555</v>
      </c>
      <c r="FC142">
        <f t="shared" si="2"/>
        <v>101</v>
      </c>
    </row>
    <row r="143" spans="1:159" ht="17.25" thickBot="1" x14ac:dyDescent="0.3">
      <c r="A143" s="226">
        <v>46093</v>
      </c>
      <c r="B143" s="227" t="s">
        <v>175</v>
      </c>
      <c r="C143" s="227" t="s">
        <v>684</v>
      </c>
      <c r="D143" s="228">
        <v>500</v>
      </c>
      <c r="E143" s="228">
        <v>18</v>
      </c>
      <c r="F143" s="231">
        <v>1188.4000000000001</v>
      </c>
      <c r="G143" s="231">
        <v>1211.0999999999999</v>
      </c>
      <c r="H143" s="228">
        <v>-22.7</v>
      </c>
      <c r="I143" s="229">
        <v>-1.8700000000000001E-2</v>
      </c>
      <c r="J143" s="231">
        <v>1183.8</v>
      </c>
      <c r="K143" s="231">
        <v>1212.5</v>
      </c>
      <c r="L143" s="228">
        <v>-28.7</v>
      </c>
      <c r="M143" s="229">
        <v>-2.3699999999999999E-2</v>
      </c>
      <c r="N143" s="231">
        <v>1188.4000000000001</v>
      </c>
      <c r="O143" s="231">
        <v>1211.0999999999999</v>
      </c>
      <c r="P143" s="228">
        <v>-22.7</v>
      </c>
      <c r="Q143" s="229">
        <v>-1.8700000000000001E-2</v>
      </c>
      <c r="R143" s="231">
        <v>1181.4000000000001</v>
      </c>
      <c r="S143" s="231">
        <v>1203.0999999999999</v>
      </c>
      <c r="T143" s="228">
        <v>-21.7</v>
      </c>
      <c r="U143" s="229">
        <v>-1.7999999999999999E-2</v>
      </c>
      <c r="V143" s="231">
        <v>1178.0999999999999</v>
      </c>
      <c r="W143" s="231">
        <v>1205</v>
      </c>
      <c r="X143" s="228">
        <v>-26.9</v>
      </c>
      <c r="Y143" s="229">
        <v>-2.23E-2</v>
      </c>
      <c r="Z143" s="228">
        <v>4.5999999999999996</v>
      </c>
      <c r="AA143" s="228">
        <v>-1.4</v>
      </c>
      <c r="AB143" s="228">
        <v>6</v>
      </c>
      <c r="AC143" s="229">
        <v>3.8999999999999998E-3</v>
      </c>
      <c r="AD143" s="228">
        <v>4.5999999999999996</v>
      </c>
      <c r="AE143" s="228">
        <v>-1.4</v>
      </c>
      <c r="AF143" s="228">
        <v>6</v>
      </c>
      <c r="AG143" s="229">
        <v>3.8999999999999998E-3</v>
      </c>
      <c r="AH143" s="228">
        <v>-2.4</v>
      </c>
      <c r="AI143" s="228">
        <v>-9.4</v>
      </c>
      <c r="AJ143" s="228">
        <v>7</v>
      </c>
      <c r="AK143" s="229">
        <v>-2E-3</v>
      </c>
      <c r="AL143" s="228">
        <v>-5.7</v>
      </c>
      <c r="AM143" s="228">
        <v>-7.5</v>
      </c>
      <c r="AN143" s="228">
        <v>1.8</v>
      </c>
      <c r="AO143" s="229">
        <v>-4.7999999999999996E-3</v>
      </c>
      <c r="AP143" s="231">
        <v>1191.6199999999999</v>
      </c>
      <c r="AQ143" s="231">
        <v>1183.67</v>
      </c>
      <c r="AR143" s="228">
        <v>0</v>
      </c>
      <c r="AS143" s="228">
        <v>71</v>
      </c>
      <c r="AT143" s="228">
        <v>58</v>
      </c>
      <c r="AU143" s="228">
        <v>13</v>
      </c>
      <c r="AV143" s="229">
        <v>0.22600000000000001</v>
      </c>
      <c r="AW143" s="228">
        <v>68</v>
      </c>
      <c r="AX143" s="228">
        <v>52</v>
      </c>
      <c r="AY143" s="228">
        <v>15</v>
      </c>
      <c r="AZ143" s="229">
        <v>0.29380000000000001</v>
      </c>
      <c r="BA143" s="228">
        <v>3</v>
      </c>
      <c r="BB143" s="228">
        <v>5</v>
      </c>
      <c r="BC143" s="228">
        <v>-2</v>
      </c>
      <c r="BD143" s="229">
        <v>-0.44190000000000002</v>
      </c>
      <c r="BE143" s="228">
        <v>0</v>
      </c>
      <c r="BF143" s="228">
        <v>0</v>
      </c>
      <c r="BG143" s="228">
        <v>0</v>
      </c>
      <c r="BH143" s="229">
        <v>-0.2</v>
      </c>
      <c r="BI143" s="228">
        <v>71</v>
      </c>
      <c r="BJ143" s="228">
        <v>85</v>
      </c>
      <c r="BK143" s="228">
        <v>-14</v>
      </c>
      <c r="BL143" s="229">
        <v>-0.1648</v>
      </c>
      <c r="BM143" s="228">
        <v>21</v>
      </c>
      <c r="BN143" s="228">
        <v>21</v>
      </c>
      <c r="BO143" s="228">
        <v>0</v>
      </c>
      <c r="BP143" s="229">
        <v>-1.9599999999999999E-2</v>
      </c>
      <c r="BQ143" s="228">
        <v>163</v>
      </c>
      <c r="BR143" s="228">
        <v>164</v>
      </c>
      <c r="BS143" s="228">
        <v>-1</v>
      </c>
      <c r="BT143" s="229">
        <v>-8.9999999999999993E-3</v>
      </c>
      <c r="BU143" s="230">
        <v>339304</v>
      </c>
      <c r="BV143" s="230">
        <v>184573</v>
      </c>
      <c r="BW143" s="230">
        <v>154731</v>
      </c>
      <c r="BX143" s="229">
        <v>0.83830000000000005</v>
      </c>
      <c r="BY143" s="228">
        <v>267</v>
      </c>
      <c r="BZ143" s="228">
        <v>263</v>
      </c>
      <c r="CA143" s="228">
        <v>4</v>
      </c>
      <c r="CB143" s="229">
        <v>1.47E-2</v>
      </c>
      <c r="CC143" s="228">
        <v>244</v>
      </c>
      <c r="CD143" s="228">
        <v>241</v>
      </c>
      <c r="CE143" s="228">
        <v>3</v>
      </c>
      <c r="CF143" s="229">
        <v>1.3100000000000001E-2</v>
      </c>
      <c r="CG143" s="228">
        <v>22</v>
      </c>
      <c r="CH143" s="228">
        <v>21</v>
      </c>
      <c r="CI143" s="228">
        <v>1</v>
      </c>
      <c r="CJ143" s="229">
        <v>3.0599999999999999E-2</v>
      </c>
      <c r="CK143" s="228">
        <v>1</v>
      </c>
      <c r="CL143" s="228">
        <v>1</v>
      </c>
      <c r="CM143" s="228">
        <v>0</v>
      </c>
      <c r="CN143" s="229">
        <v>7.6899999999999996E-2</v>
      </c>
      <c r="CO143" s="228">
        <v>102</v>
      </c>
      <c r="CP143" s="228">
        <v>102</v>
      </c>
      <c r="CQ143" s="228">
        <v>0</v>
      </c>
      <c r="CR143" s="229">
        <v>0</v>
      </c>
      <c r="CS143" s="228">
        <v>67</v>
      </c>
      <c r="CT143" s="228">
        <v>68</v>
      </c>
      <c r="CU143" s="228">
        <v>-1</v>
      </c>
      <c r="CV143" s="229">
        <v>-2.0899999999999998E-2</v>
      </c>
      <c r="CW143" s="228">
        <v>435</v>
      </c>
      <c r="CX143" s="228">
        <v>433</v>
      </c>
      <c r="CY143" s="228">
        <v>2</v>
      </c>
      <c r="CZ143" s="229">
        <v>5.5999999999999999E-3</v>
      </c>
      <c r="DA143" s="228">
        <v>41.23</v>
      </c>
      <c r="DB143" s="228">
        <v>40.39</v>
      </c>
      <c r="DC143" s="228">
        <v>0.84</v>
      </c>
      <c r="DD143" s="228">
        <v>0.84</v>
      </c>
      <c r="DE143" s="228">
        <v>48.7</v>
      </c>
      <c r="DF143" s="228">
        <v>48.75</v>
      </c>
      <c r="DG143" s="228">
        <v>-7.47</v>
      </c>
      <c r="DH143" s="228">
        <v>-0.05</v>
      </c>
      <c r="DI143" s="228">
        <v>41.05</v>
      </c>
      <c r="DJ143" s="228">
        <v>40.25</v>
      </c>
      <c r="DK143" s="228">
        <v>0.8</v>
      </c>
      <c r="DL143" s="228">
        <v>0.8</v>
      </c>
      <c r="DM143" s="228">
        <v>41.87</v>
      </c>
      <c r="DN143" s="228">
        <v>40.98</v>
      </c>
      <c r="DO143" s="228">
        <v>0.89</v>
      </c>
      <c r="DP143" s="228">
        <v>0.89</v>
      </c>
      <c r="DQ143" s="228">
        <v>0.66</v>
      </c>
      <c r="DR143" s="228">
        <v>0.67</v>
      </c>
      <c r="DS143" s="228">
        <v>-0.01</v>
      </c>
      <c r="DT143" s="229">
        <v>-1.49E-2</v>
      </c>
      <c r="DU143" s="231">
        <v>1300</v>
      </c>
      <c r="DV143" s="231">
        <v>1200</v>
      </c>
      <c r="DW143" s="228">
        <v>0.28999999999999998</v>
      </c>
      <c r="DX143" s="228">
        <v>0.25</v>
      </c>
      <c r="DY143" s="228">
        <v>0.04</v>
      </c>
      <c r="DZ143" s="229">
        <v>0.16</v>
      </c>
      <c r="EA143" s="229">
        <v>8.5500000000000007E-2</v>
      </c>
      <c r="EB143" s="230">
        <v>186000</v>
      </c>
      <c r="EC143" s="229">
        <v>-5.8999999999999999E-3</v>
      </c>
      <c r="ED143" s="229">
        <v>8.5500000000000007E-2</v>
      </c>
      <c r="EE143" s="228">
        <v>-7.95</v>
      </c>
      <c r="EF143" s="229">
        <v>-6.7000000000000002E-3</v>
      </c>
      <c r="EG143" s="230">
        <v>135457</v>
      </c>
      <c r="EH143" s="230">
        <v>78006</v>
      </c>
      <c r="EI143" s="229">
        <v>0.73650000000000004</v>
      </c>
      <c r="EJ143" s="229">
        <v>0.3992</v>
      </c>
      <c r="EK143" s="228">
        <v>80.11</v>
      </c>
      <c r="EL143" s="228">
        <v>21.23</v>
      </c>
      <c r="EM143" s="228">
        <v>70.760000000000005</v>
      </c>
      <c r="EN143" s="228">
        <v>12.32</v>
      </c>
      <c r="EO143" s="228">
        <v>172.1</v>
      </c>
      <c r="EP143" s="228">
        <v>177.82</v>
      </c>
      <c r="EQ143" s="228">
        <v>-5.72</v>
      </c>
      <c r="ER143" s="229">
        <v>-3.2199999999999999E-2</v>
      </c>
      <c r="ES143" s="228">
        <v>112.76</v>
      </c>
      <c r="ET143" s="228">
        <v>68.099999999999994</v>
      </c>
      <c r="EU143" s="228">
        <v>266.60000000000002</v>
      </c>
      <c r="EV143" s="231">
        <v>12267678</v>
      </c>
      <c r="EW143" s="228">
        <v>447.46</v>
      </c>
      <c r="EX143" s="228">
        <v>450.23</v>
      </c>
      <c r="EY143" s="228">
        <v>-2.77</v>
      </c>
      <c r="EZ143" s="229">
        <v>-6.1999999999999998E-3</v>
      </c>
      <c r="FA143" s="229">
        <v>0.2984</v>
      </c>
      <c r="FB143" s="227" t="s">
        <v>567</v>
      </c>
      <c r="FC143">
        <f t="shared" si="2"/>
        <v>23</v>
      </c>
    </row>
    <row r="144" spans="1:159" ht="17.25" thickBot="1" x14ac:dyDescent="0.3">
      <c r="A144" s="226">
        <v>46093</v>
      </c>
      <c r="B144" s="227" t="s">
        <v>615</v>
      </c>
      <c r="C144" s="227" t="s">
        <v>613</v>
      </c>
      <c r="D144" s="228">
        <v>3125</v>
      </c>
      <c r="E144" s="228">
        <v>18</v>
      </c>
      <c r="F144" s="228">
        <v>245.85</v>
      </c>
      <c r="G144" s="228">
        <v>252.85</v>
      </c>
      <c r="H144" s="228">
        <v>-7</v>
      </c>
      <c r="I144" s="229">
        <v>-2.7699999999999999E-2</v>
      </c>
      <c r="J144" s="228">
        <v>244.95</v>
      </c>
      <c r="K144" s="228">
        <v>251.7</v>
      </c>
      <c r="L144" s="228">
        <v>-6.75</v>
      </c>
      <c r="M144" s="229">
        <v>-2.6800000000000001E-2</v>
      </c>
      <c r="N144" s="228">
        <v>245.85</v>
      </c>
      <c r="O144" s="228">
        <v>252.85</v>
      </c>
      <c r="P144" s="228">
        <v>-7</v>
      </c>
      <c r="Q144" s="229">
        <v>-2.7699999999999999E-2</v>
      </c>
      <c r="R144" s="228">
        <v>246.6</v>
      </c>
      <c r="S144" s="228">
        <v>253.5</v>
      </c>
      <c r="T144" s="228">
        <v>-6.9</v>
      </c>
      <c r="U144" s="229">
        <v>-2.7199999999999998E-2</v>
      </c>
      <c r="V144" s="228">
        <v>247.45</v>
      </c>
      <c r="W144" s="228">
        <v>257</v>
      </c>
      <c r="X144" s="228">
        <v>-9.5500000000000007</v>
      </c>
      <c r="Y144" s="229">
        <v>-3.7199999999999997E-2</v>
      </c>
      <c r="Z144" s="228">
        <v>0.9</v>
      </c>
      <c r="AA144" s="228">
        <v>1.1499999999999999</v>
      </c>
      <c r="AB144" s="228">
        <v>-0.25</v>
      </c>
      <c r="AC144" s="229">
        <v>3.7000000000000002E-3</v>
      </c>
      <c r="AD144" s="228">
        <v>0.9</v>
      </c>
      <c r="AE144" s="228">
        <v>1.1499999999999999</v>
      </c>
      <c r="AF144" s="228">
        <v>-0.25</v>
      </c>
      <c r="AG144" s="229">
        <v>3.7000000000000002E-3</v>
      </c>
      <c r="AH144" s="228">
        <v>1.65</v>
      </c>
      <c r="AI144" s="228">
        <v>1.8</v>
      </c>
      <c r="AJ144" s="228">
        <v>-0.15</v>
      </c>
      <c r="AK144" s="229">
        <v>6.7000000000000002E-3</v>
      </c>
      <c r="AL144" s="228">
        <v>2.5</v>
      </c>
      <c r="AM144" s="228">
        <v>5.3</v>
      </c>
      <c r="AN144" s="228">
        <v>-2.8</v>
      </c>
      <c r="AO144" s="229">
        <v>1.0200000000000001E-2</v>
      </c>
      <c r="AP144" s="228">
        <v>246.43</v>
      </c>
      <c r="AQ144" s="228">
        <v>247.54</v>
      </c>
      <c r="AR144" s="228">
        <v>0</v>
      </c>
      <c r="AS144" s="228">
        <v>95</v>
      </c>
      <c r="AT144" s="228">
        <v>135</v>
      </c>
      <c r="AU144" s="228">
        <v>-40</v>
      </c>
      <c r="AV144" s="229">
        <v>-0.29930000000000001</v>
      </c>
      <c r="AW144" s="228">
        <v>89</v>
      </c>
      <c r="AX144" s="228">
        <v>125</v>
      </c>
      <c r="AY144" s="228">
        <v>-36</v>
      </c>
      <c r="AZ144" s="229">
        <v>-0.28889999999999999</v>
      </c>
      <c r="BA144" s="228">
        <v>5</v>
      </c>
      <c r="BB144" s="228">
        <v>10</v>
      </c>
      <c r="BC144" s="228">
        <v>-5</v>
      </c>
      <c r="BD144" s="229">
        <v>-0.48120000000000002</v>
      </c>
      <c r="BE144" s="228">
        <v>1</v>
      </c>
      <c r="BF144" s="228">
        <v>0</v>
      </c>
      <c r="BG144" s="228">
        <v>1</v>
      </c>
      <c r="BH144" s="229">
        <v>7</v>
      </c>
      <c r="BI144" s="228">
        <v>126</v>
      </c>
      <c r="BJ144" s="228">
        <v>100</v>
      </c>
      <c r="BK144" s="228">
        <v>26</v>
      </c>
      <c r="BL144" s="229">
        <v>0.25590000000000002</v>
      </c>
      <c r="BM144" s="228">
        <v>61</v>
      </c>
      <c r="BN144" s="228">
        <v>54</v>
      </c>
      <c r="BO144" s="228">
        <v>7</v>
      </c>
      <c r="BP144" s="229">
        <v>0.1202</v>
      </c>
      <c r="BQ144" s="228">
        <v>282</v>
      </c>
      <c r="BR144" s="228">
        <v>290</v>
      </c>
      <c r="BS144" s="228">
        <v>-8</v>
      </c>
      <c r="BT144" s="229">
        <v>-2.86E-2</v>
      </c>
      <c r="BU144" s="230">
        <v>3768081</v>
      </c>
      <c r="BV144" s="230">
        <v>4924920</v>
      </c>
      <c r="BW144" s="230">
        <v>-1156839</v>
      </c>
      <c r="BX144" s="229">
        <v>-0.2349</v>
      </c>
      <c r="BY144" s="230">
        <v>1078</v>
      </c>
      <c r="BZ144" s="230">
        <v>1081</v>
      </c>
      <c r="CA144" s="228">
        <v>-3</v>
      </c>
      <c r="CB144" s="229">
        <v>-2.8999999999999998E-3</v>
      </c>
      <c r="CC144" s="230">
        <v>1054</v>
      </c>
      <c r="CD144" s="230">
        <v>1058</v>
      </c>
      <c r="CE144" s="228">
        <v>-4</v>
      </c>
      <c r="CF144" s="229">
        <v>-3.7000000000000002E-3</v>
      </c>
      <c r="CG144" s="228">
        <v>23</v>
      </c>
      <c r="CH144" s="228">
        <v>22</v>
      </c>
      <c r="CI144" s="228">
        <v>1</v>
      </c>
      <c r="CJ144" s="229">
        <v>3.1300000000000001E-2</v>
      </c>
      <c r="CK144" s="228">
        <v>1</v>
      </c>
      <c r="CL144" s="228">
        <v>1</v>
      </c>
      <c r="CM144" s="228">
        <v>0</v>
      </c>
      <c r="CN144" s="229">
        <v>0.1</v>
      </c>
      <c r="CO144" s="228">
        <v>215</v>
      </c>
      <c r="CP144" s="228">
        <v>201</v>
      </c>
      <c r="CQ144" s="228">
        <v>13</v>
      </c>
      <c r="CR144" s="229">
        <v>6.6799999999999998E-2</v>
      </c>
      <c r="CS144" s="228">
        <v>111</v>
      </c>
      <c r="CT144" s="228">
        <v>113</v>
      </c>
      <c r="CU144" s="228">
        <v>-3</v>
      </c>
      <c r="CV144" s="229">
        <v>-2.5100000000000001E-2</v>
      </c>
      <c r="CW144" s="230">
        <v>1403</v>
      </c>
      <c r="CX144" s="230">
        <v>1396</v>
      </c>
      <c r="CY144" s="228">
        <v>7</v>
      </c>
      <c r="CZ144" s="229">
        <v>5.3E-3</v>
      </c>
      <c r="DA144" s="228">
        <v>36.119999999999997</v>
      </c>
      <c r="DB144" s="228">
        <v>34.85</v>
      </c>
      <c r="DC144" s="228">
        <v>1.27</v>
      </c>
      <c r="DD144" s="228">
        <v>1.27</v>
      </c>
      <c r="DE144" s="228">
        <v>36.03</v>
      </c>
      <c r="DF144" s="228">
        <v>35.93</v>
      </c>
      <c r="DG144" s="228">
        <v>0.09</v>
      </c>
      <c r="DH144" s="228">
        <v>0.1</v>
      </c>
      <c r="DI144" s="228">
        <v>35.4</v>
      </c>
      <c r="DJ144" s="228">
        <v>34.53</v>
      </c>
      <c r="DK144" s="228">
        <v>0.87</v>
      </c>
      <c r="DL144" s="228">
        <v>0.87</v>
      </c>
      <c r="DM144" s="228">
        <v>37.6</v>
      </c>
      <c r="DN144" s="228">
        <v>35.46</v>
      </c>
      <c r="DO144" s="228">
        <v>2.14</v>
      </c>
      <c r="DP144" s="228">
        <v>2.14</v>
      </c>
      <c r="DQ144" s="228">
        <v>0.52</v>
      </c>
      <c r="DR144" s="228">
        <v>0.56000000000000005</v>
      </c>
      <c r="DS144" s="228">
        <v>-0.04</v>
      </c>
      <c r="DT144" s="229">
        <v>-7.1400000000000005E-2</v>
      </c>
      <c r="DU144" s="228">
        <v>280</v>
      </c>
      <c r="DV144" s="228">
        <v>260</v>
      </c>
      <c r="DW144" s="228">
        <v>0.48</v>
      </c>
      <c r="DX144" s="228">
        <v>0.54</v>
      </c>
      <c r="DY144" s="228">
        <v>-0.06</v>
      </c>
      <c r="DZ144" s="229">
        <v>-0.1111</v>
      </c>
      <c r="EA144" s="229">
        <v>2.1999999999999999E-2</v>
      </c>
      <c r="EB144" s="230">
        <v>931250</v>
      </c>
      <c r="EC144" s="229">
        <v>3.0999999999999999E-3</v>
      </c>
      <c r="ED144" s="229">
        <v>2.1999999999999999E-2</v>
      </c>
      <c r="EE144" s="228">
        <v>1.1100000000000001</v>
      </c>
      <c r="EF144" s="229">
        <v>4.4999999999999997E-3</v>
      </c>
      <c r="EG144" s="230">
        <v>1633717</v>
      </c>
      <c r="EH144" s="230">
        <v>2941959</v>
      </c>
      <c r="EI144" s="229">
        <v>-0.44469999999999998</v>
      </c>
      <c r="EJ144" s="229">
        <v>0.43359999999999999</v>
      </c>
      <c r="EK144" s="228">
        <v>135.93</v>
      </c>
      <c r="EL144" s="228">
        <v>61.92</v>
      </c>
      <c r="EM144" s="228">
        <v>95.06</v>
      </c>
      <c r="EN144" s="228">
        <v>15.65</v>
      </c>
      <c r="EO144" s="228">
        <v>292.91000000000003</v>
      </c>
      <c r="EP144" s="228">
        <v>307.51</v>
      </c>
      <c r="EQ144" s="228">
        <v>-14.6</v>
      </c>
      <c r="ER144" s="229">
        <v>-4.7500000000000001E-2</v>
      </c>
      <c r="ES144" s="228">
        <v>238.34</v>
      </c>
      <c r="ET144" s="228">
        <v>114.15</v>
      </c>
      <c r="EU144" s="231">
        <v>1077.97</v>
      </c>
      <c r="EV144" s="231">
        <v>205483040</v>
      </c>
      <c r="EW144" s="231">
        <v>1430.46</v>
      </c>
      <c r="EX144" s="231">
        <v>1453.6</v>
      </c>
      <c r="EY144" s="228">
        <v>-23.14</v>
      </c>
      <c r="EZ144" s="229">
        <v>-1.5900000000000001E-2</v>
      </c>
      <c r="FA144" s="229">
        <v>0.2777</v>
      </c>
      <c r="FB144" s="227" t="s">
        <v>568</v>
      </c>
      <c r="FC144">
        <f t="shared" si="2"/>
        <v>24</v>
      </c>
    </row>
    <row r="145" spans="1:159" ht="17.25" thickBot="1" x14ac:dyDescent="0.3">
      <c r="A145" s="226">
        <v>46093</v>
      </c>
      <c r="B145" s="227" t="s">
        <v>206</v>
      </c>
      <c r="C145" s="227" t="s">
        <v>528</v>
      </c>
      <c r="D145" s="228">
        <v>350</v>
      </c>
      <c r="E145" s="228">
        <v>18</v>
      </c>
      <c r="F145" s="231">
        <v>1456.6</v>
      </c>
      <c r="G145" s="231">
        <v>1474.3</v>
      </c>
      <c r="H145" s="228">
        <v>-17.7</v>
      </c>
      <c r="I145" s="229">
        <v>-1.2E-2</v>
      </c>
      <c r="J145" s="231">
        <v>1470.3</v>
      </c>
      <c r="K145" s="231">
        <v>1488.8</v>
      </c>
      <c r="L145" s="228">
        <v>-18.5</v>
      </c>
      <c r="M145" s="229">
        <v>-1.24E-2</v>
      </c>
      <c r="N145" s="231">
        <v>1456.6</v>
      </c>
      <c r="O145" s="231">
        <v>1474.3</v>
      </c>
      <c r="P145" s="228">
        <v>-17.7</v>
      </c>
      <c r="Q145" s="229">
        <v>-1.2E-2</v>
      </c>
      <c r="R145" s="231">
        <v>1435.9</v>
      </c>
      <c r="S145" s="231">
        <v>1455</v>
      </c>
      <c r="T145" s="228">
        <v>-19.100000000000001</v>
      </c>
      <c r="U145" s="229">
        <v>-1.3100000000000001E-2</v>
      </c>
      <c r="V145" s="231">
        <v>1426.2</v>
      </c>
      <c r="W145" s="231">
        <v>1451.9</v>
      </c>
      <c r="X145" s="228">
        <v>-25.7</v>
      </c>
      <c r="Y145" s="229">
        <v>-1.77E-2</v>
      </c>
      <c r="Z145" s="228">
        <v>-13.7</v>
      </c>
      <c r="AA145" s="228">
        <v>-14.5</v>
      </c>
      <c r="AB145" s="228">
        <v>0.8</v>
      </c>
      <c r="AC145" s="229">
        <v>-9.2999999999999992E-3</v>
      </c>
      <c r="AD145" s="228">
        <v>-13.7</v>
      </c>
      <c r="AE145" s="228">
        <v>-14.5</v>
      </c>
      <c r="AF145" s="228">
        <v>0.8</v>
      </c>
      <c r="AG145" s="229">
        <v>-9.2999999999999992E-3</v>
      </c>
      <c r="AH145" s="228">
        <v>-34.4</v>
      </c>
      <c r="AI145" s="228">
        <v>-33.799999999999997</v>
      </c>
      <c r="AJ145" s="228">
        <v>-0.6</v>
      </c>
      <c r="AK145" s="229">
        <v>-2.3400000000000001E-2</v>
      </c>
      <c r="AL145" s="228">
        <v>-44.1</v>
      </c>
      <c r="AM145" s="228">
        <v>-36.9</v>
      </c>
      <c r="AN145" s="228">
        <v>-7.2</v>
      </c>
      <c r="AO145" s="229">
        <v>-0.03</v>
      </c>
      <c r="AP145" s="231">
        <v>1464.36</v>
      </c>
      <c r="AQ145" s="231">
        <v>1442.94</v>
      </c>
      <c r="AR145" s="228">
        <v>0</v>
      </c>
      <c r="AS145" s="228">
        <v>162</v>
      </c>
      <c r="AT145" s="228">
        <v>176</v>
      </c>
      <c r="AU145" s="228">
        <v>-13</v>
      </c>
      <c r="AV145" s="229">
        <v>-7.6700000000000004E-2</v>
      </c>
      <c r="AW145" s="228">
        <v>152</v>
      </c>
      <c r="AX145" s="228">
        <v>144</v>
      </c>
      <c r="AY145" s="228">
        <v>7</v>
      </c>
      <c r="AZ145" s="229">
        <v>5.0500000000000003E-2</v>
      </c>
      <c r="BA145" s="228">
        <v>10</v>
      </c>
      <c r="BB145" s="228">
        <v>31</v>
      </c>
      <c r="BC145" s="228">
        <v>-21</v>
      </c>
      <c r="BD145" s="229">
        <v>-0.67220000000000002</v>
      </c>
      <c r="BE145" s="228">
        <v>0</v>
      </c>
      <c r="BF145" s="228">
        <v>0</v>
      </c>
      <c r="BG145" s="228">
        <v>0</v>
      </c>
      <c r="BH145" s="229">
        <v>0.25</v>
      </c>
      <c r="BI145" s="228">
        <v>104</v>
      </c>
      <c r="BJ145" s="228">
        <v>138</v>
      </c>
      <c r="BK145" s="228">
        <v>-34</v>
      </c>
      <c r="BL145" s="229">
        <v>-0.2472</v>
      </c>
      <c r="BM145" s="228">
        <v>68</v>
      </c>
      <c r="BN145" s="228">
        <v>136</v>
      </c>
      <c r="BO145" s="228">
        <v>-68</v>
      </c>
      <c r="BP145" s="229">
        <v>-0.5</v>
      </c>
      <c r="BQ145" s="228">
        <v>334</v>
      </c>
      <c r="BR145" s="228">
        <v>450</v>
      </c>
      <c r="BS145" s="228">
        <v>-116</v>
      </c>
      <c r="BT145" s="229">
        <v>-0.25729999999999997</v>
      </c>
      <c r="BU145" s="230">
        <v>486317</v>
      </c>
      <c r="BV145" s="230">
        <v>521052</v>
      </c>
      <c r="BW145" s="230">
        <v>-34735</v>
      </c>
      <c r="BX145" s="229">
        <v>-6.6699999999999995E-2</v>
      </c>
      <c r="BY145" s="230">
        <v>1058</v>
      </c>
      <c r="BZ145" s="230">
        <v>1049</v>
      </c>
      <c r="CA145" s="228">
        <v>10</v>
      </c>
      <c r="CB145" s="229">
        <v>9.1000000000000004E-3</v>
      </c>
      <c r="CC145" s="230">
        <v>1010</v>
      </c>
      <c r="CD145" s="230">
        <v>1003</v>
      </c>
      <c r="CE145" s="228">
        <v>7</v>
      </c>
      <c r="CF145" s="229">
        <v>7.0000000000000001E-3</v>
      </c>
      <c r="CG145" s="228">
        <v>46</v>
      </c>
      <c r="CH145" s="228">
        <v>43</v>
      </c>
      <c r="CI145" s="228">
        <v>2</v>
      </c>
      <c r="CJ145" s="229">
        <v>5.6599999999999998E-2</v>
      </c>
      <c r="CK145" s="228">
        <v>3</v>
      </c>
      <c r="CL145" s="228">
        <v>3</v>
      </c>
      <c r="CM145" s="228">
        <v>0</v>
      </c>
      <c r="CN145" s="229">
        <v>1.8499999999999999E-2</v>
      </c>
      <c r="CO145" s="228">
        <v>197</v>
      </c>
      <c r="CP145" s="228">
        <v>206</v>
      </c>
      <c r="CQ145" s="228">
        <v>-9</v>
      </c>
      <c r="CR145" s="229">
        <v>-4.4499999999999998E-2</v>
      </c>
      <c r="CS145" s="228">
        <v>183</v>
      </c>
      <c r="CT145" s="228">
        <v>186</v>
      </c>
      <c r="CU145" s="228">
        <v>-3</v>
      </c>
      <c r="CV145" s="229">
        <v>-1.5900000000000001E-2</v>
      </c>
      <c r="CW145" s="230">
        <v>1438</v>
      </c>
      <c r="CX145" s="230">
        <v>1441</v>
      </c>
      <c r="CY145" s="228">
        <v>-3</v>
      </c>
      <c r="CZ145" s="229">
        <v>-1.8E-3</v>
      </c>
      <c r="DA145" s="228">
        <v>32.47</v>
      </c>
      <c r="DB145" s="228">
        <v>33.57</v>
      </c>
      <c r="DC145" s="228">
        <v>-1.1000000000000001</v>
      </c>
      <c r="DD145" s="228">
        <v>-1.1000000000000001</v>
      </c>
      <c r="DE145" s="228">
        <v>36.200000000000003</v>
      </c>
      <c r="DF145" s="228">
        <v>36.25</v>
      </c>
      <c r="DG145" s="228">
        <v>-3.73</v>
      </c>
      <c r="DH145" s="228">
        <v>-0.05</v>
      </c>
      <c r="DI145" s="228">
        <v>31.74</v>
      </c>
      <c r="DJ145" s="228">
        <v>32.549999999999997</v>
      </c>
      <c r="DK145" s="228">
        <v>-0.81</v>
      </c>
      <c r="DL145" s="228">
        <v>-0.81</v>
      </c>
      <c r="DM145" s="228">
        <v>33.590000000000003</v>
      </c>
      <c r="DN145" s="228">
        <v>34.61</v>
      </c>
      <c r="DO145" s="228">
        <v>-1.02</v>
      </c>
      <c r="DP145" s="228">
        <v>-1.02</v>
      </c>
      <c r="DQ145" s="228">
        <v>0.93</v>
      </c>
      <c r="DR145" s="228">
        <v>0.9</v>
      </c>
      <c r="DS145" s="228">
        <v>0.03</v>
      </c>
      <c r="DT145" s="229">
        <v>3.3300000000000003E-2</v>
      </c>
      <c r="DU145" s="231">
        <v>1600</v>
      </c>
      <c r="DV145" s="231">
        <v>1400</v>
      </c>
      <c r="DW145" s="228">
        <v>0.65</v>
      </c>
      <c r="DX145" s="228">
        <v>0.99</v>
      </c>
      <c r="DY145" s="228">
        <v>-0.34</v>
      </c>
      <c r="DZ145" s="229">
        <v>-0.34339999999999998</v>
      </c>
      <c r="EA145" s="229">
        <v>4.58E-2</v>
      </c>
      <c r="EB145" s="230">
        <v>315700</v>
      </c>
      <c r="EC145" s="229">
        <v>-1.4200000000000001E-2</v>
      </c>
      <c r="ED145" s="229">
        <v>4.58E-2</v>
      </c>
      <c r="EE145" s="228">
        <v>-21.42</v>
      </c>
      <c r="EF145" s="229">
        <v>-1.46E-2</v>
      </c>
      <c r="EG145" s="230">
        <v>254683</v>
      </c>
      <c r="EH145" s="230">
        <v>282649</v>
      </c>
      <c r="EI145" s="229">
        <v>-9.8900000000000002E-2</v>
      </c>
      <c r="EJ145" s="229">
        <v>0.52370000000000005</v>
      </c>
      <c r="EK145" s="228">
        <v>111.44</v>
      </c>
      <c r="EL145" s="228">
        <v>68.900000000000006</v>
      </c>
      <c r="EM145" s="228">
        <v>162.78</v>
      </c>
      <c r="EN145" s="228">
        <v>30.49</v>
      </c>
      <c r="EO145" s="228">
        <v>343.12</v>
      </c>
      <c r="EP145" s="228">
        <v>468.25</v>
      </c>
      <c r="EQ145" s="228">
        <v>-125.12</v>
      </c>
      <c r="ER145" s="229">
        <v>-0.26719999999999999</v>
      </c>
      <c r="ES145" s="228">
        <v>210.26</v>
      </c>
      <c r="ET145" s="228">
        <v>180.69</v>
      </c>
      <c r="EU145" s="231">
        <v>1057.3499999999999</v>
      </c>
      <c r="EV145" s="231">
        <v>17614093</v>
      </c>
      <c r="EW145" s="231">
        <v>1448.3</v>
      </c>
      <c r="EX145" s="231">
        <v>1464.24</v>
      </c>
      <c r="EY145" s="228">
        <v>-15.94</v>
      </c>
      <c r="EZ145" s="229">
        <v>-1.09E-2</v>
      </c>
      <c r="FA145" s="229">
        <v>0.5605</v>
      </c>
      <c r="FB145" s="227" t="s">
        <v>567</v>
      </c>
      <c r="FC145">
        <f t="shared" si="2"/>
        <v>48</v>
      </c>
    </row>
    <row r="146" spans="1:159" ht="17.25" thickBot="1" x14ac:dyDescent="0.3">
      <c r="A146" s="226">
        <v>46093</v>
      </c>
      <c r="B146" s="227" t="s">
        <v>221</v>
      </c>
      <c r="C146" s="227" t="s">
        <v>518</v>
      </c>
      <c r="D146" s="228">
        <v>75</v>
      </c>
      <c r="E146" s="228">
        <v>18</v>
      </c>
      <c r="F146" s="231">
        <v>6679</v>
      </c>
      <c r="G146" s="231">
        <v>6769</v>
      </c>
      <c r="H146" s="228">
        <v>-90</v>
      </c>
      <c r="I146" s="229">
        <v>-1.3299999999999999E-2</v>
      </c>
      <c r="J146" s="231">
        <v>6694.5</v>
      </c>
      <c r="K146" s="231">
        <v>6792</v>
      </c>
      <c r="L146" s="228">
        <v>-97.5</v>
      </c>
      <c r="M146" s="229">
        <v>-1.44E-2</v>
      </c>
      <c r="N146" s="231">
        <v>6679</v>
      </c>
      <c r="O146" s="231">
        <v>6769</v>
      </c>
      <c r="P146" s="228">
        <v>-90</v>
      </c>
      <c r="Q146" s="229">
        <v>-1.3299999999999999E-2</v>
      </c>
      <c r="R146" s="231">
        <v>6668</v>
      </c>
      <c r="S146" s="231">
        <v>6754.5</v>
      </c>
      <c r="T146" s="228">
        <v>-86.5</v>
      </c>
      <c r="U146" s="229">
        <v>-1.2800000000000001E-2</v>
      </c>
      <c r="V146" s="231">
        <v>6651</v>
      </c>
      <c r="W146" s="231">
        <v>6770</v>
      </c>
      <c r="X146" s="228">
        <v>-119</v>
      </c>
      <c r="Y146" s="229">
        <v>-1.7600000000000001E-2</v>
      </c>
      <c r="Z146" s="228">
        <v>-15.5</v>
      </c>
      <c r="AA146" s="228">
        <v>-23</v>
      </c>
      <c r="AB146" s="228">
        <v>7.5</v>
      </c>
      <c r="AC146" s="229">
        <v>-2.3E-3</v>
      </c>
      <c r="AD146" s="228">
        <v>-15.5</v>
      </c>
      <c r="AE146" s="228">
        <v>-23</v>
      </c>
      <c r="AF146" s="228">
        <v>7.5</v>
      </c>
      <c r="AG146" s="229">
        <v>-2.3E-3</v>
      </c>
      <c r="AH146" s="228">
        <v>-26.5</v>
      </c>
      <c r="AI146" s="228">
        <v>-37.5</v>
      </c>
      <c r="AJ146" s="228">
        <v>11</v>
      </c>
      <c r="AK146" s="229">
        <v>-4.0000000000000001E-3</v>
      </c>
      <c r="AL146" s="228">
        <v>-43.5</v>
      </c>
      <c r="AM146" s="228">
        <v>-22</v>
      </c>
      <c r="AN146" s="228">
        <v>-21.5</v>
      </c>
      <c r="AO146" s="229">
        <v>-6.4999999999999997E-3</v>
      </c>
      <c r="AP146" s="231">
        <v>6698.96</v>
      </c>
      <c r="AQ146" s="231">
        <v>6690.59</v>
      </c>
      <c r="AR146" s="228">
        <v>0</v>
      </c>
      <c r="AS146" s="228">
        <v>104</v>
      </c>
      <c r="AT146" s="228">
        <v>226</v>
      </c>
      <c r="AU146" s="228">
        <v>-122</v>
      </c>
      <c r="AV146" s="229">
        <v>-0.5383</v>
      </c>
      <c r="AW146" s="228">
        <v>91</v>
      </c>
      <c r="AX146" s="228">
        <v>206</v>
      </c>
      <c r="AY146" s="228">
        <v>-115</v>
      </c>
      <c r="AZ146" s="229">
        <v>-0.55889999999999995</v>
      </c>
      <c r="BA146" s="228">
        <v>13</v>
      </c>
      <c r="BB146" s="228">
        <v>18</v>
      </c>
      <c r="BC146" s="228">
        <v>-6</v>
      </c>
      <c r="BD146" s="229">
        <v>-0.30869999999999997</v>
      </c>
      <c r="BE146" s="228">
        <v>1</v>
      </c>
      <c r="BF146" s="228">
        <v>2</v>
      </c>
      <c r="BG146" s="228">
        <v>-1</v>
      </c>
      <c r="BH146" s="229">
        <v>-0.51429999999999998</v>
      </c>
      <c r="BI146" s="228">
        <v>373</v>
      </c>
      <c r="BJ146" s="230">
        <v>1138</v>
      </c>
      <c r="BK146" s="228">
        <v>-766</v>
      </c>
      <c r="BL146" s="229">
        <v>-0.67269999999999996</v>
      </c>
      <c r="BM146" s="228">
        <v>421</v>
      </c>
      <c r="BN146" s="228">
        <v>430</v>
      </c>
      <c r="BO146" s="228">
        <v>-9</v>
      </c>
      <c r="BP146" s="229">
        <v>-0.02</v>
      </c>
      <c r="BQ146" s="228">
        <v>898</v>
      </c>
      <c r="BR146" s="230">
        <v>1795</v>
      </c>
      <c r="BS146" s="228">
        <v>-896</v>
      </c>
      <c r="BT146" s="229">
        <v>-0.49940000000000001</v>
      </c>
      <c r="BU146" s="230">
        <v>84723</v>
      </c>
      <c r="BV146" s="230">
        <v>189636</v>
      </c>
      <c r="BW146" s="230">
        <v>-104913</v>
      </c>
      <c r="BX146" s="229">
        <v>-0.55320000000000003</v>
      </c>
      <c r="BY146" s="230">
        <v>1047</v>
      </c>
      <c r="BZ146" s="230">
        <v>1044</v>
      </c>
      <c r="CA146" s="228">
        <v>3</v>
      </c>
      <c r="CB146" s="229">
        <v>2.7000000000000001E-3</v>
      </c>
      <c r="CC146" s="230">
        <v>1001</v>
      </c>
      <c r="CD146" s="230">
        <v>1002</v>
      </c>
      <c r="CE146" s="228">
        <v>0</v>
      </c>
      <c r="CF146" s="229">
        <v>-2.9999999999999997E-4</v>
      </c>
      <c r="CG146" s="228">
        <v>41</v>
      </c>
      <c r="CH146" s="228">
        <v>38</v>
      </c>
      <c r="CI146" s="228">
        <v>3</v>
      </c>
      <c r="CJ146" s="229">
        <v>7.8700000000000006E-2</v>
      </c>
      <c r="CK146" s="228">
        <v>5</v>
      </c>
      <c r="CL146" s="228">
        <v>4</v>
      </c>
      <c r="CM146" s="228">
        <v>0</v>
      </c>
      <c r="CN146" s="229">
        <v>4.65E-2</v>
      </c>
      <c r="CO146" s="228">
        <v>367</v>
      </c>
      <c r="CP146" s="228">
        <v>390</v>
      </c>
      <c r="CQ146" s="228">
        <v>-23</v>
      </c>
      <c r="CR146" s="229">
        <v>-5.8599999999999999E-2</v>
      </c>
      <c r="CS146" s="228">
        <v>226</v>
      </c>
      <c r="CT146" s="228">
        <v>213</v>
      </c>
      <c r="CU146" s="228">
        <v>13</v>
      </c>
      <c r="CV146" s="229">
        <v>6.1800000000000001E-2</v>
      </c>
      <c r="CW146" s="230">
        <v>1640</v>
      </c>
      <c r="CX146" s="230">
        <v>1647</v>
      </c>
      <c r="CY146" s="228">
        <v>-7</v>
      </c>
      <c r="CZ146" s="229">
        <v>-4.1000000000000003E-3</v>
      </c>
      <c r="DA146" s="228">
        <v>45.15</v>
      </c>
      <c r="DB146" s="228">
        <v>41.75</v>
      </c>
      <c r="DC146" s="228">
        <v>3.4</v>
      </c>
      <c r="DD146" s="228">
        <v>3.4</v>
      </c>
      <c r="DE146" s="228">
        <v>38.65</v>
      </c>
      <c r="DF146" s="228">
        <v>38.700000000000003</v>
      </c>
      <c r="DG146" s="228">
        <v>6.5</v>
      </c>
      <c r="DH146" s="228">
        <v>-0.05</v>
      </c>
      <c r="DI146" s="228">
        <v>40.11</v>
      </c>
      <c r="DJ146" s="228">
        <v>41.01</v>
      </c>
      <c r="DK146" s="228">
        <v>-0.9</v>
      </c>
      <c r="DL146" s="228">
        <v>-0.9</v>
      </c>
      <c r="DM146" s="228">
        <v>49.6</v>
      </c>
      <c r="DN146" s="228">
        <v>43.69</v>
      </c>
      <c r="DO146" s="228">
        <v>5.91</v>
      </c>
      <c r="DP146" s="228">
        <v>5.91</v>
      </c>
      <c r="DQ146" s="228">
        <v>0.62</v>
      </c>
      <c r="DR146" s="228">
        <v>0.55000000000000004</v>
      </c>
      <c r="DS146" s="228">
        <v>7.0000000000000007E-2</v>
      </c>
      <c r="DT146" s="229">
        <v>0.1273</v>
      </c>
      <c r="DU146" s="231">
        <v>7000</v>
      </c>
      <c r="DV146" s="231">
        <v>6500</v>
      </c>
      <c r="DW146" s="228">
        <v>1.1299999999999999</v>
      </c>
      <c r="DX146" s="228">
        <v>0.38</v>
      </c>
      <c r="DY146" s="228">
        <v>0.75</v>
      </c>
      <c r="DZ146" s="229">
        <v>1.9737</v>
      </c>
      <c r="EA146" s="229">
        <v>4.2999999999999997E-2</v>
      </c>
      <c r="EB146" s="230">
        <v>62700</v>
      </c>
      <c r="EC146" s="229">
        <v>-1.6000000000000001E-3</v>
      </c>
      <c r="ED146" s="229">
        <v>4.2999999999999997E-2</v>
      </c>
      <c r="EE146" s="228">
        <v>-8.3699999999999992</v>
      </c>
      <c r="EF146" s="229">
        <v>-1.1999999999999999E-3</v>
      </c>
      <c r="EG146" s="230">
        <v>26682</v>
      </c>
      <c r="EH146" s="230">
        <v>41681</v>
      </c>
      <c r="EI146" s="229">
        <v>-0.3599</v>
      </c>
      <c r="EJ146" s="229">
        <v>0.31490000000000001</v>
      </c>
      <c r="EK146" s="228">
        <v>412.8</v>
      </c>
      <c r="EL146" s="228">
        <v>371.42</v>
      </c>
      <c r="EM146" s="228">
        <v>104.79</v>
      </c>
      <c r="EN146" s="228">
        <v>29.77</v>
      </c>
      <c r="EO146" s="228">
        <v>889</v>
      </c>
      <c r="EP146" s="231">
        <v>1915.9</v>
      </c>
      <c r="EQ146" s="231">
        <v>-1026.9000000000001</v>
      </c>
      <c r="ER146" s="229">
        <v>-0.53600000000000003</v>
      </c>
      <c r="ES146" s="228">
        <v>395.18</v>
      </c>
      <c r="ET146" s="228">
        <v>223.2</v>
      </c>
      <c r="EU146" s="231">
        <v>1046.45</v>
      </c>
      <c r="EV146" s="231">
        <v>3582756</v>
      </c>
      <c r="EW146" s="231">
        <v>1664.83</v>
      </c>
      <c r="EX146" s="231">
        <v>1688.88</v>
      </c>
      <c r="EY146" s="228">
        <v>-24.05</v>
      </c>
      <c r="EZ146" s="229">
        <v>-1.4200000000000001E-2</v>
      </c>
      <c r="FA146" s="229">
        <v>0.68530000000000002</v>
      </c>
      <c r="FB146" s="227" t="s">
        <v>567</v>
      </c>
      <c r="FC146">
        <f t="shared" si="2"/>
        <v>46</v>
      </c>
    </row>
    <row r="147" spans="1:159" ht="17.25" thickBot="1" x14ac:dyDescent="0.3">
      <c r="A147" s="226">
        <v>46093</v>
      </c>
      <c r="B147" s="227" t="s">
        <v>193</v>
      </c>
      <c r="C147" s="227" t="s">
        <v>587</v>
      </c>
      <c r="D147" s="228">
        <v>1400</v>
      </c>
      <c r="E147" s="228">
        <v>18</v>
      </c>
      <c r="F147" s="228">
        <v>478.1</v>
      </c>
      <c r="G147" s="228">
        <v>481.1</v>
      </c>
      <c r="H147" s="228">
        <v>-3</v>
      </c>
      <c r="I147" s="229">
        <v>-6.1999999999999998E-3</v>
      </c>
      <c r="J147" s="228">
        <v>479.3</v>
      </c>
      <c r="K147" s="228">
        <v>482.7</v>
      </c>
      <c r="L147" s="228">
        <v>-3.4</v>
      </c>
      <c r="M147" s="229">
        <v>-7.0000000000000001E-3</v>
      </c>
      <c r="N147" s="228">
        <v>478.1</v>
      </c>
      <c r="O147" s="228">
        <v>481.1</v>
      </c>
      <c r="P147" s="228">
        <v>-3</v>
      </c>
      <c r="Q147" s="229">
        <v>-6.1999999999999998E-3</v>
      </c>
      <c r="R147" s="228">
        <v>477.5</v>
      </c>
      <c r="S147" s="228">
        <v>479.5</v>
      </c>
      <c r="T147" s="228">
        <v>-2</v>
      </c>
      <c r="U147" s="229">
        <v>-4.1999999999999997E-3</v>
      </c>
      <c r="V147" s="228">
        <v>478.6</v>
      </c>
      <c r="W147" s="228">
        <v>480.2</v>
      </c>
      <c r="X147" s="228">
        <v>-1.6</v>
      </c>
      <c r="Y147" s="229">
        <v>-3.3E-3</v>
      </c>
      <c r="Z147" s="228">
        <v>-1.2</v>
      </c>
      <c r="AA147" s="228">
        <v>-1.6</v>
      </c>
      <c r="AB147" s="228">
        <v>0.4</v>
      </c>
      <c r="AC147" s="229">
        <v>-2.5000000000000001E-3</v>
      </c>
      <c r="AD147" s="228">
        <v>-1.2</v>
      </c>
      <c r="AE147" s="228">
        <v>-1.6</v>
      </c>
      <c r="AF147" s="228">
        <v>0.4</v>
      </c>
      <c r="AG147" s="229">
        <v>-2.5000000000000001E-3</v>
      </c>
      <c r="AH147" s="228">
        <v>-1.8</v>
      </c>
      <c r="AI147" s="228">
        <v>-3.2</v>
      </c>
      <c r="AJ147" s="228">
        <v>1.4</v>
      </c>
      <c r="AK147" s="229">
        <v>-3.8E-3</v>
      </c>
      <c r="AL147" s="228">
        <v>-0.7</v>
      </c>
      <c r="AM147" s="228">
        <v>-2.5</v>
      </c>
      <c r="AN147" s="228">
        <v>1.8</v>
      </c>
      <c r="AO147" s="229">
        <v>-1.5E-3</v>
      </c>
      <c r="AP147" s="228">
        <v>480.89</v>
      </c>
      <c r="AQ147" s="228">
        <v>479.01</v>
      </c>
      <c r="AR147" s="228">
        <v>0</v>
      </c>
      <c r="AS147" s="228">
        <v>330</v>
      </c>
      <c r="AT147" s="228">
        <v>282</v>
      </c>
      <c r="AU147" s="228">
        <v>48</v>
      </c>
      <c r="AV147" s="229">
        <v>0.16919999999999999</v>
      </c>
      <c r="AW147" s="228">
        <v>289</v>
      </c>
      <c r="AX147" s="228">
        <v>253</v>
      </c>
      <c r="AY147" s="228">
        <v>36</v>
      </c>
      <c r="AZ147" s="229">
        <v>0.14149999999999999</v>
      </c>
      <c r="BA147" s="228">
        <v>38</v>
      </c>
      <c r="BB147" s="228">
        <v>26</v>
      </c>
      <c r="BC147" s="228">
        <v>12</v>
      </c>
      <c r="BD147" s="229">
        <v>0.47789999999999999</v>
      </c>
      <c r="BE147" s="228">
        <v>3</v>
      </c>
      <c r="BF147" s="228">
        <v>3</v>
      </c>
      <c r="BG147" s="228">
        <v>0</v>
      </c>
      <c r="BH147" s="229">
        <v>-0.12770000000000001</v>
      </c>
      <c r="BI147" s="230">
        <v>1356</v>
      </c>
      <c r="BJ147" s="230">
        <v>1455</v>
      </c>
      <c r="BK147" s="228">
        <v>-99</v>
      </c>
      <c r="BL147" s="229">
        <v>-6.7799999999999999E-2</v>
      </c>
      <c r="BM147" s="228">
        <v>395</v>
      </c>
      <c r="BN147" s="228">
        <v>515</v>
      </c>
      <c r="BO147" s="228">
        <v>-120</v>
      </c>
      <c r="BP147" s="229">
        <v>-0.23380000000000001</v>
      </c>
      <c r="BQ147" s="230">
        <v>2081</v>
      </c>
      <c r="BR147" s="230">
        <v>2253</v>
      </c>
      <c r="BS147" s="228">
        <v>-171</v>
      </c>
      <c r="BT147" s="229">
        <v>-7.5999999999999998E-2</v>
      </c>
      <c r="BU147" s="230">
        <v>6103973</v>
      </c>
      <c r="BV147" s="230">
        <v>7022182</v>
      </c>
      <c r="BW147" s="230">
        <v>-918209</v>
      </c>
      <c r="BX147" s="229">
        <v>-0.1308</v>
      </c>
      <c r="BY147" s="230">
        <v>1170</v>
      </c>
      <c r="BZ147" s="230">
        <v>1134</v>
      </c>
      <c r="CA147" s="228">
        <v>36</v>
      </c>
      <c r="CB147" s="229">
        <v>3.1300000000000001E-2</v>
      </c>
      <c r="CC147" s="230">
        <v>1103</v>
      </c>
      <c r="CD147" s="230">
        <v>1077</v>
      </c>
      <c r="CE147" s="228">
        <v>26</v>
      </c>
      <c r="CF147" s="229">
        <v>2.46E-2</v>
      </c>
      <c r="CG147" s="228">
        <v>62</v>
      </c>
      <c r="CH147" s="228">
        <v>53</v>
      </c>
      <c r="CI147" s="228">
        <v>9</v>
      </c>
      <c r="CJ147" s="229">
        <v>0.1734</v>
      </c>
      <c r="CK147" s="228">
        <v>5</v>
      </c>
      <c r="CL147" s="228">
        <v>5</v>
      </c>
      <c r="CM147" s="228">
        <v>0</v>
      </c>
      <c r="CN147" s="229">
        <v>-1.4500000000000001E-2</v>
      </c>
      <c r="CO147" s="228">
        <v>944</v>
      </c>
      <c r="CP147" s="228">
        <v>996</v>
      </c>
      <c r="CQ147" s="228">
        <v>-52</v>
      </c>
      <c r="CR147" s="229">
        <v>-5.2299999999999999E-2</v>
      </c>
      <c r="CS147" s="228">
        <v>518</v>
      </c>
      <c r="CT147" s="228">
        <v>520</v>
      </c>
      <c r="CU147" s="228">
        <v>-1</v>
      </c>
      <c r="CV147" s="229">
        <v>-2.5999999999999999E-3</v>
      </c>
      <c r="CW147" s="230">
        <v>2632</v>
      </c>
      <c r="CX147" s="230">
        <v>2650</v>
      </c>
      <c r="CY147" s="228">
        <v>-18</v>
      </c>
      <c r="CZ147" s="229">
        <v>-6.7000000000000002E-3</v>
      </c>
      <c r="DA147" s="228">
        <v>41.71</v>
      </c>
      <c r="DB147" s="228">
        <v>43.49</v>
      </c>
      <c r="DC147" s="228">
        <v>-1.78</v>
      </c>
      <c r="DD147" s="228">
        <v>-1.78</v>
      </c>
      <c r="DE147" s="228">
        <v>42.09</v>
      </c>
      <c r="DF147" s="228">
        <v>42.19</v>
      </c>
      <c r="DG147" s="228">
        <v>-0.38</v>
      </c>
      <c r="DH147" s="228">
        <v>-0.1</v>
      </c>
      <c r="DI147" s="228">
        <v>41.82</v>
      </c>
      <c r="DJ147" s="228">
        <v>43.71</v>
      </c>
      <c r="DK147" s="228">
        <v>-1.89</v>
      </c>
      <c r="DL147" s="228">
        <v>-1.89</v>
      </c>
      <c r="DM147" s="228">
        <v>41.35</v>
      </c>
      <c r="DN147" s="228">
        <v>42.84</v>
      </c>
      <c r="DO147" s="228">
        <v>-1.49</v>
      </c>
      <c r="DP147" s="228">
        <v>-1.49</v>
      </c>
      <c r="DQ147" s="228">
        <v>0.55000000000000004</v>
      </c>
      <c r="DR147" s="228">
        <v>0.52</v>
      </c>
      <c r="DS147" s="228">
        <v>0.03</v>
      </c>
      <c r="DT147" s="229">
        <v>5.7700000000000001E-2</v>
      </c>
      <c r="DU147" s="228">
        <v>500</v>
      </c>
      <c r="DV147" s="228">
        <v>480</v>
      </c>
      <c r="DW147" s="228">
        <v>0.28999999999999998</v>
      </c>
      <c r="DX147" s="228">
        <v>0.35</v>
      </c>
      <c r="DY147" s="228">
        <v>-0.06</v>
      </c>
      <c r="DZ147" s="229">
        <v>-0.1714</v>
      </c>
      <c r="EA147" s="229">
        <v>5.6899999999999999E-2</v>
      </c>
      <c r="EB147" s="230">
        <v>1202600</v>
      </c>
      <c r="EC147" s="229">
        <v>-1.2999999999999999E-3</v>
      </c>
      <c r="ED147" s="229">
        <v>5.6899999999999999E-2</v>
      </c>
      <c r="EE147" s="228">
        <v>-1.88</v>
      </c>
      <c r="EF147" s="229">
        <v>-3.8999999999999998E-3</v>
      </c>
      <c r="EG147" s="230">
        <v>1411443</v>
      </c>
      <c r="EH147" s="230">
        <v>3014764</v>
      </c>
      <c r="EI147" s="229">
        <v>-0.53180000000000005</v>
      </c>
      <c r="EJ147" s="229">
        <v>0.23119999999999999</v>
      </c>
      <c r="EK147" s="231">
        <v>1461.63</v>
      </c>
      <c r="EL147" s="228">
        <v>388.69</v>
      </c>
      <c r="EM147" s="228">
        <v>331.96</v>
      </c>
      <c r="EN147" s="228">
        <v>60.59</v>
      </c>
      <c r="EO147" s="231">
        <v>2182.2800000000002</v>
      </c>
      <c r="EP147" s="231">
        <v>2354.12</v>
      </c>
      <c r="EQ147" s="228">
        <v>-171.84</v>
      </c>
      <c r="ER147" s="229">
        <v>-7.2999999999999995E-2</v>
      </c>
      <c r="ES147" s="231">
        <v>1015.39</v>
      </c>
      <c r="ET147" s="228">
        <v>504.8</v>
      </c>
      <c r="EU147" s="231">
        <v>1169.8699999999999</v>
      </c>
      <c r="EV147" s="231">
        <v>102006452</v>
      </c>
      <c r="EW147" s="231">
        <v>2690.06</v>
      </c>
      <c r="EX147" s="231">
        <v>2718.27</v>
      </c>
      <c r="EY147" s="228">
        <v>-28.21</v>
      </c>
      <c r="EZ147" s="229">
        <v>-1.04E-2</v>
      </c>
      <c r="FA147" s="229">
        <v>0.53959999999999997</v>
      </c>
      <c r="FB147" s="227" t="s">
        <v>567</v>
      </c>
      <c r="FC147">
        <f t="shared" si="2"/>
        <v>67</v>
      </c>
    </row>
    <row r="148" spans="1:159" ht="17.25" thickBot="1" x14ac:dyDescent="0.3">
      <c r="A148" s="226">
        <v>46093</v>
      </c>
      <c r="B148" s="227" t="s">
        <v>193</v>
      </c>
      <c r="C148" s="227" t="s">
        <v>269</v>
      </c>
      <c r="D148" s="228">
        <v>2250</v>
      </c>
      <c r="E148" s="228">
        <v>18</v>
      </c>
      <c r="F148" s="228">
        <v>271.5</v>
      </c>
      <c r="G148" s="228">
        <v>270.95</v>
      </c>
      <c r="H148" s="228">
        <v>0.55000000000000004</v>
      </c>
      <c r="I148" s="229">
        <v>2E-3</v>
      </c>
      <c r="J148" s="228">
        <v>270.55</v>
      </c>
      <c r="K148" s="228">
        <v>270.75</v>
      </c>
      <c r="L148" s="228">
        <v>-0.2</v>
      </c>
      <c r="M148" s="229">
        <v>-6.9999999999999999E-4</v>
      </c>
      <c r="N148" s="228">
        <v>271.5</v>
      </c>
      <c r="O148" s="228">
        <v>270.95</v>
      </c>
      <c r="P148" s="228">
        <v>0.55000000000000004</v>
      </c>
      <c r="Q148" s="229">
        <v>2E-3</v>
      </c>
      <c r="R148" s="228">
        <v>273.14999999999998</v>
      </c>
      <c r="S148" s="228">
        <v>272.64999999999998</v>
      </c>
      <c r="T148" s="228">
        <v>0.5</v>
      </c>
      <c r="U148" s="229">
        <v>1.8E-3</v>
      </c>
      <c r="V148" s="228">
        <v>274.35000000000002</v>
      </c>
      <c r="W148" s="228">
        <v>273.85000000000002</v>
      </c>
      <c r="X148" s="228">
        <v>0.5</v>
      </c>
      <c r="Y148" s="229">
        <v>1.8E-3</v>
      </c>
      <c r="Z148" s="228">
        <v>0.95</v>
      </c>
      <c r="AA148" s="228">
        <v>0.2</v>
      </c>
      <c r="AB148" s="228">
        <v>0.75</v>
      </c>
      <c r="AC148" s="229">
        <v>3.5000000000000001E-3</v>
      </c>
      <c r="AD148" s="228">
        <v>0.95</v>
      </c>
      <c r="AE148" s="228">
        <v>0.2</v>
      </c>
      <c r="AF148" s="228">
        <v>0.75</v>
      </c>
      <c r="AG148" s="229">
        <v>3.5000000000000001E-3</v>
      </c>
      <c r="AH148" s="228">
        <v>2.6</v>
      </c>
      <c r="AI148" s="228">
        <v>1.9</v>
      </c>
      <c r="AJ148" s="228">
        <v>0.7</v>
      </c>
      <c r="AK148" s="229">
        <v>9.5999999999999992E-3</v>
      </c>
      <c r="AL148" s="228">
        <v>3.8</v>
      </c>
      <c r="AM148" s="228">
        <v>3.1</v>
      </c>
      <c r="AN148" s="228">
        <v>0.7</v>
      </c>
      <c r="AO148" s="229">
        <v>1.4E-2</v>
      </c>
      <c r="AP148" s="228">
        <v>271.64999999999998</v>
      </c>
      <c r="AQ148" s="228">
        <v>273.14</v>
      </c>
      <c r="AR148" s="228">
        <v>0</v>
      </c>
      <c r="AS148" s="228">
        <v>574</v>
      </c>
      <c r="AT148" s="228">
        <v>394</v>
      </c>
      <c r="AU148" s="228">
        <v>181</v>
      </c>
      <c r="AV148" s="229">
        <v>0.45910000000000001</v>
      </c>
      <c r="AW148" s="228">
        <v>527</v>
      </c>
      <c r="AX148" s="228">
        <v>365</v>
      </c>
      <c r="AY148" s="228">
        <v>162</v>
      </c>
      <c r="AZ148" s="229">
        <v>0.44340000000000002</v>
      </c>
      <c r="BA148" s="228">
        <v>45</v>
      </c>
      <c r="BB148" s="228">
        <v>26</v>
      </c>
      <c r="BC148" s="228">
        <v>19</v>
      </c>
      <c r="BD148" s="229">
        <v>0.75409999999999999</v>
      </c>
      <c r="BE148" s="228">
        <v>2</v>
      </c>
      <c r="BF148" s="228">
        <v>3</v>
      </c>
      <c r="BG148" s="228">
        <v>-1</v>
      </c>
      <c r="BH148" s="229">
        <v>-0.21740000000000001</v>
      </c>
      <c r="BI148" s="230">
        <v>1829</v>
      </c>
      <c r="BJ148" s="230">
        <v>1737</v>
      </c>
      <c r="BK148" s="228">
        <v>92</v>
      </c>
      <c r="BL148" s="229">
        <v>5.3199999999999997E-2</v>
      </c>
      <c r="BM148" s="228">
        <v>620</v>
      </c>
      <c r="BN148" s="228">
        <v>538</v>
      </c>
      <c r="BO148" s="228">
        <v>82</v>
      </c>
      <c r="BP148" s="229">
        <v>0.1525</v>
      </c>
      <c r="BQ148" s="230">
        <v>3024</v>
      </c>
      <c r="BR148" s="230">
        <v>2669</v>
      </c>
      <c r="BS148" s="228">
        <v>355</v>
      </c>
      <c r="BT148" s="229">
        <v>0.1331</v>
      </c>
      <c r="BU148" s="230">
        <v>20704080</v>
      </c>
      <c r="BV148" s="230">
        <v>17259909</v>
      </c>
      <c r="BW148" s="230">
        <v>3444171</v>
      </c>
      <c r="BX148" s="229">
        <v>0.19950000000000001</v>
      </c>
      <c r="BY148" s="230">
        <v>3403</v>
      </c>
      <c r="BZ148" s="230">
        <v>3409</v>
      </c>
      <c r="CA148" s="228">
        <v>-6</v>
      </c>
      <c r="CB148" s="229">
        <v>-1.6999999999999999E-3</v>
      </c>
      <c r="CC148" s="230">
        <v>3292</v>
      </c>
      <c r="CD148" s="230">
        <v>3303</v>
      </c>
      <c r="CE148" s="228">
        <v>-11</v>
      </c>
      <c r="CF148" s="229">
        <v>-3.5000000000000001E-3</v>
      </c>
      <c r="CG148" s="228">
        <v>100</v>
      </c>
      <c r="CH148" s="228">
        <v>94</v>
      </c>
      <c r="CI148" s="228">
        <v>6</v>
      </c>
      <c r="CJ148" s="229">
        <v>6.4500000000000002E-2</v>
      </c>
      <c r="CK148" s="228">
        <v>12</v>
      </c>
      <c r="CL148" s="228">
        <v>12</v>
      </c>
      <c r="CM148" s="228">
        <v>0</v>
      </c>
      <c r="CN148" s="229">
        <v>-0.03</v>
      </c>
      <c r="CO148" s="230">
        <v>2475</v>
      </c>
      <c r="CP148" s="230">
        <v>2448</v>
      </c>
      <c r="CQ148" s="228">
        <v>27</v>
      </c>
      <c r="CR148" s="229">
        <v>1.12E-2</v>
      </c>
      <c r="CS148" s="230">
        <v>1131</v>
      </c>
      <c r="CT148" s="230">
        <v>1066</v>
      </c>
      <c r="CU148" s="228">
        <v>65</v>
      </c>
      <c r="CV148" s="229">
        <v>6.0900000000000003E-2</v>
      </c>
      <c r="CW148" s="230">
        <v>7010</v>
      </c>
      <c r="CX148" s="230">
        <v>6923</v>
      </c>
      <c r="CY148" s="228">
        <v>86</v>
      </c>
      <c r="CZ148" s="229">
        <v>1.2500000000000001E-2</v>
      </c>
      <c r="DA148" s="228">
        <v>34.67</v>
      </c>
      <c r="DB148" s="228">
        <v>37.08</v>
      </c>
      <c r="DC148" s="228">
        <v>-2.41</v>
      </c>
      <c r="DD148" s="228">
        <v>-2.41</v>
      </c>
      <c r="DE148" s="228">
        <v>32.130000000000003</v>
      </c>
      <c r="DF148" s="228">
        <v>32.21</v>
      </c>
      <c r="DG148" s="228">
        <v>2.54</v>
      </c>
      <c r="DH148" s="228">
        <v>-0.08</v>
      </c>
      <c r="DI148" s="228">
        <v>34.81</v>
      </c>
      <c r="DJ148" s="228">
        <v>37.51</v>
      </c>
      <c r="DK148" s="228">
        <v>-2.7</v>
      </c>
      <c r="DL148" s="228">
        <v>-2.7</v>
      </c>
      <c r="DM148" s="228">
        <v>34.26</v>
      </c>
      <c r="DN148" s="228">
        <v>35.700000000000003</v>
      </c>
      <c r="DO148" s="228">
        <v>-1.44</v>
      </c>
      <c r="DP148" s="228">
        <v>-1.44</v>
      </c>
      <c r="DQ148" s="228">
        <v>0.46</v>
      </c>
      <c r="DR148" s="228">
        <v>0.44</v>
      </c>
      <c r="DS148" s="228">
        <v>0.02</v>
      </c>
      <c r="DT148" s="229">
        <v>4.5499999999999999E-2</v>
      </c>
      <c r="DU148" s="228">
        <v>300</v>
      </c>
      <c r="DV148" s="228">
        <v>265</v>
      </c>
      <c r="DW148" s="228">
        <v>0.34</v>
      </c>
      <c r="DX148" s="228">
        <v>0.31</v>
      </c>
      <c r="DY148" s="228">
        <v>0.03</v>
      </c>
      <c r="DZ148" s="229">
        <v>9.6799999999999997E-2</v>
      </c>
      <c r="EA148" s="229">
        <v>3.2800000000000003E-2</v>
      </c>
      <c r="EB148" s="230">
        <v>3901500</v>
      </c>
      <c r="EC148" s="229">
        <v>6.1000000000000004E-3</v>
      </c>
      <c r="ED148" s="229">
        <v>3.2800000000000003E-2</v>
      </c>
      <c r="EE148" s="228">
        <v>1.49</v>
      </c>
      <c r="EF148" s="229">
        <v>5.4999999999999997E-3</v>
      </c>
      <c r="EG148" s="230">
        <v>9518556</v>
      </c>
      <c r="EH148" s="230">
        <v>9415324</v>
      </c>
      <c r="EI148" s="229">
        <v>1.0999999999999999E-2</v>
      </c>
      <c r="EJ148" s="229">
        <v>0.4597</v>
      </c>
      <c r="EK148" s="231">
        <v>1928.55</v>
      </c>
      <c r="EL148" s="228">
        <v>620.29999999999995</v>
      </c>
      <c r="EM148" s="228">
        <v>575.05999999999995</v>
      </c>
      <c r="EN148" s="228">
        <v>168.25</v>
      </c>
      <c r="EO148" s="231">
        <v>3123.92</v>
      </c>
      <c r="EP148" s="231">
        <v>2773.59</v>
      </c>
      <c r="EQ148" s="228">
        <v>350.33</v>
      </c>
      <c r="ER148" s="229">
        <v>0.1263</v>
      </c>
      <c r="ES148" s="231">
        <v>2615.09</v>
      </c>
      <c r="ET148" s="231">
        <v>1106.96</v>
      </c>
      <c r="EU148" s="231">
        <v>3404.1</v>
      </c>
      <c r="EV148" s="231">
        <v>517141211</v>
      </c>
      <c r="EW148" s="231">
        <v>7126.15</v>
      </c>
      <c r="EX148" s="231">
        <v>7031.77</v>
      </c>
      <c r="EY148" s="228">
        <v>94.38</v>
      </c>
      <c r="EZ148" s="229">
        <v>1.34E-2</v>
      </c>
      <c r="FA148" s="229">
        <v>0.49930000000000002</v>
      </c>
      <c r="FB148" s="227" t="s">
        <v>556</v>
      </c>
      <c r="FC148">
        <f>BY214-CC214</f>
        <v>0</v>
      </c>
    </row>
    <row r="149" spans="1:159" ht="17.25" thickBot="1" x14ac:dyDescent="0.3">
      <c r="A149" s="226">
        <v>46093</v>
      </c>
      <c r="B149" s="227" t="s">
        <v>197</v>
      </c>
      <c r="C149" s="227" t="s">
        <v>270</v>
      </c>
      <c r="D149" s="228">
        <v>15</v>
      </c>
      <c r="E149" s="228">
        <v>18</v>
      </c>
      <c r="F149" s="231">
        <v>30915</v>
      </c>
      <c r="G149" s="231">
        <v>31750</v>
      </c>
      <c r="H149" s="228">
        <v>-835</v>
      </c>
      <c r="I149" s="229">
        <v>-2.63E-2</v>
      </c>
      <c r="J149" s="231">
        <v>30860</v>
      </c>
      <c r="K149" s="231">
        <v>31595</v>
      </c>
      <c r="L149" s="228">
        <v>-735</v>
      </c>
      <c r="M149" s="229">
        <v>-2.3300000000000001E-2</v>
      </c>
      <c r="N149" s="231">
        <v>30915</v>
      </c>
      <c r="O149" s="231">
        <v>31750</v>
      </c>
      <c r="P149" s="228">
        <v>-835</v>
      </c>
      <c r="Q149" s="229">
        <v>-2.63E-2</v>
      </c>
      <c r="R149" s="231">
        <v>30825</v>
      </c>
      <c r="S149" s="231">
        <v>31575</v>
      </c>
      <c r="T149" s="228">
        <v>-750</v>
      </c>
      <c r="U149" s="229">
        <v>-2.3800000000000002E-2</v>
      </c>
      <c r="V149" s="231">
        <v>30770</v>
      </c>
      <c r="W149" s="231">
        <v>31750</v>
      </c>
      <c r="X149" s="228">
        <v>-980</v>
      </c>
      <c r="Y149" s="229">
        <v>-3.09E-2</v>
      </c>
      <c r="Z149" s="228">
        <v>55</v>
      </c>
      <c r="AA149" s="228">
        <v>155</v>
      </c>
      <c r="AB149" s="228">
        <v>-100</v>
      </c>
      <c r="AC149" s="229">
        <v>1.8E-3</v>
      </c>
      <c r="AD149" s="228">
        <v>55</v>
      </c>
      <c r="AE149" s="228">
        <v>155</v>
      </c>
      <c r="AF149" s="228">
        <v>-100</v>
      </c>
      <c r="AG149" s="229">
        <v>1.8E-3</v>
      </c>
      <c r="AH149" s="228">
        <v>-35</v>
      </c>
      <c r="AI149" s="228">
        <v>-20</v>
      </c>
      <c r="AJ149" s="228">
        <v>-15</v>
      </c>
      <c r="AK149" s="229">
        <v>-1.1000000000000001E-3</v>
      </c>
      <c r="AL149" s="228">
        <v>-90</v>
      </c>
      <c r="AM149" s="228">
        <v>155</v>
      </c>
      <c r="AN149" s="228">
        <v>-245</v>
      </c>
      <c r="AO149" s="229">
        <v>-2.8999999999999998E-3</v>
      </c>
      <c r="AP149" s="231">
        <v>31052.799999999999</v>
      </c>
      <c r="AQ149" s="231">
        <v>30952.33</v>
      </c>
      <c r="AR149" s="228">
        <v>0</v>
      </c>
      <c r="AS149" s="228">
        <v>116</v>
      </c>
      <c r="AT149" s="228">
        <v>159</v>
      </c>
      <c r="AU149" s="228">
        <v>-44</v>
      </c>
      <c r="AV149" s="229">
        <v>-0.27400000000000002</v>
      </c>
      <c r="AW149" s="228">
        <v>107</v>
      </c>
      <c r="AX149" s="228">
        <v>153</v>
      </c>
      <c r="AY149" s="228">
        <v>-46</v>
      </c>
      <c r="AZ149" s="229">
        <v>-0.3</v>
      </c>
      <c r="BA149" s="228">
        <v>8</v>
      </c>
      <c r="BB149" s="228">
        <v>6</v>
      </c>
      <c r="BC149" s="228">
        <v>2</v>
      </c>
      <c r="BD149" s="229">
        <v>0.39839999999999998</v>
      </c>
      <c r="BE149" s="228">
        <v>1</v>
      </c>
      <c r="BF149" s="228">
        <v>1</v>
      </c>
      <c r="BG149" s="228">
        <v>0</v>
      </c>
      <c r="BH149" s="229">
        <v>-0.16</v>
      </c>
      <c r="BI149" s="228">
        <v>446</v>
      </c>
      <c r="BJ149" s="228">
        <v>378</v>
      </c>
      <c r="BK149" s="228">
        <v>68</v>
      </c>
      <c r="BL149" s="229">
        <v>0.1804</v>
      </c>
      <c r="BM149" s="228">
        <v>186</v>
      </c>
      <c r="BN149" s="228">
        <v>160</v>
      </c>
      <c r="BO149" s="228">
        <v>26</v>
      </c>
      <c r="BP149" s="229">
        <v>0.16039999999999999</v>
      </c>
      <c r="BQ149" s="228">
        <v>747</v>
      </c>
      <c r="BR149" s="228">
        <v>697</v>
      </c>
      <c r="BS149" s="228">
        <v>50</v>
      </c>
      <c r="BT149" s="229">
        <v>7.1900000000000006E-2</v>
      </c>
      <c r="BU149" s="230">
        <v>19374</v>
      </c>
      <c r="BV149" s="230">
        <v>16227</v>
      </c>
      <c r="BW149" s="230">
        <v>3147</v>
      </c>
      <c r="BX149" s="229">
        <v>0.19389999999999999</v>
      </c>
      <c r="BY149" s="228">
        <v>751</v>
      </c>
      <c r="BZ149" s="228">
        <v>738</v>
      </c>
      <c r="CA149" s="228">
        <v>13</v>
      </c>
      <c r="CB149" s="229">
        <v>1.7000000000000001E-2</v>
      </c>
      <c r="CC149" s="228">
        <v>708</v>
      </c>
      <c r="CD149" s="228">
        <v>700</v>
      </c>
      <c r="CE149" s="228">
        <v>9</v>
      </c>
      <c r="CF149" s="229">
        <v>1.23E-2</v>
      </c>
      <c r="CG149" s="228">
        <v>37</v>
      </c>
      <c r="CH149" s="228">
        <v>34</v>
      </c>
      <c r="CI149" s="228">
        <v>3</v>
      </c>
      <c r="CJ149" s="229">
        <v>0.1022</v>
      </c>
      <c r="CK149" s="228">
        <v>5</v>
      </c>
      <c r="CL149" s="228">
        <v>5</v>
      </c>
      <c r="CM149" s="228">
        <v>1</v>
      </c>
      <c r="CN149" s="229">
        <v>0.1048</v>
      </c>
      <c r="CO149" s="228">
        <v>393</v>
      </c>
      <c r="CP149" s="228">
        <v>311</v>
      </c>
      <c r="CQ149" s="228">
        <v>82</v>
      </c>
      <c r="CR149" s="229">
        <v>0.26419999999999999</v>
      </c>
      <c r="CS149" s="228">
        <v>164</v>
      </c>
      <c r="CT149" s="228">
        <v>167</v>
      </c>
      <c r="CU149" s="228">
        <v>-3</v>
      </c>
      <c r="CV149" s="229">
        <v>-1.83E-2</v>
      </c>
      <c r="CW149" s="230">
        <v>1308</v>
      </c>
      <c r="CX149" s="230">
        <v>1217</v>
      </c>
      <c r="CY149" s="228">
        <v>92</v>
      </c>
      <c r="CZ149" s="229">
        <v>7.5399999999999995E-2</v>
      </c>
      <c r="DA149" s="228">
        <v>32.36</v>
      </c>
      <c r="DB149" s="228">
        <v>35.93</v>
      </c>
      <c r="DC149" s="228">
        <v>-3.57</v>
      </c>
      <c r="DD149" s="228">
        <v>-3.57</v>
      </c>
      <c r="DE149" s="228">
        <v>27.5</v>
      </c>
      <c r="DF149" s="228">
        <v>27.39</v>
      </c>
      <c r="DG149" s="228">
        <v>4.8600000000000003</v>
      </c>
      <c r="DH149" s="228">
        <v>0.11</v>
      </c>
      <c r="DI149" s="228">
        <v>31.54</v>
      </c>
      <c r="DJ149" s="228">
        <v>36.4</v>
      </c>
      <c r="DK149" s="228">
        <v>-4.8600000000000003</v>
      </c>
      <c r="DL149" s="228">
        <v>-4.8600000000000003</v>
      </c>
      <c r="DM149" s="228">
        <v>34.31</v>
      </c>
      <c r="DN149" s="228">
        <v>34.799999999999997</v>
      </c>
      <c r="DO149" s="228">
        <v>-0.49</v>
      </c>
      <c r="DP149" s="228">
        <v>-0.49</v>
      </c>
      <c r="DQ149" s="228">
        <v>0.42</v>
      </c>
      <c r="DR149" s="228">
        <v>0.54</v>
      </c>
      <c r="DS149" s="228">
        <v>-0.12</v>
      </c>
      <c r="DT149" s="229">
        <v>-0.22220000000000001</v>
      </c>
      <c r="DU149" s="231">
        <v>32000</v>
      </c>
      <c r="DV149" s="231">
        <v>33000</v>
      </c>
      <c r="DW149" s="228">
        <v>0.42</v>
      </c>
      <c r="DX149" s="228">
        <v>0.42</v>
      </c>
      <c r="DY149" s="228">
        <v>0</v>
      </c>
      <c r="DZ149" s="229">
        <v>0</v>
      </c>
      <c r="EA149" s="229">
        <v>5.6500000000000002E-2</v>
      </c>
      <c r="EB149" s="230">
        <v>12435</v>
      </c>
      <c r="EC149" s="229">
        <v>-2.8999999999999998E-3</v>
      </c>
      <c r="ED149" s="229">
        <v>5.6500000000000002E-2</v>
      </c>
      <c r="EE149" s="228">
        <v>-100.47</v>
      </c>
      <c r="EF149" s="229">
        <v>-3.2000000000000002E-3</v>
      </c>
      <c r="EG149" s="230">
        <v>7964</v>
      </c>
      <c r="EH149" s="230">
        <v>8095</v>
      </c>
      <c r="EI149" s="229">
        <v>-1.6199999999999999E-2</v>
      </c>
      <c r="EJ149" s="229">
        <v>0.41110000000000002</v>
      </c>
      <c r="EK149" s="228">
        <v>500.15</v>
      </c>
      <c r="EL149" s="228">
        <v>172.67</v>
      </c>
      <c r="EM149" s="228">
        <v>116.23</v>
      </c>
      <c r="EN149" s="228">
        <v>25.69</v>
      </c>
      <c r="EO149" s="228">
        <v>789.05</v>
      </c>
      <c r="EP149" s="228">
        <v>759.43</v>
      </c>
      <c r="EQ149" s="228">
        <v>29.62</v>
      </c>
      <c r="ER149" s="229">
        <v>3.9E-2</v>
      </c>
      <c r="ES149" s="228">
        <v>428.52</v>
      </c>
      <c r="ET149" s="228">
        <v>167.04</v>
      </c>
      <c r="EU149" s="228">
        <v>750.45</v>
      </c>
      <c r="EV149" s="231">
        <v>955549</v>
      </c>
      <c r="EW149" s="231">
        <v>1346.01</v>
      </c>
      <c r="EX149" s="231">
        <v>1271.45</v>
      </c>
      <c r="EY149" s="228">
        <v>74.56</v>
      </c>
      <c r="EZ149" s="229">
        <v>5.8599999999999999E-2</v>
      </c>
      <c r="FA149" s="229">
        <v>0.44290000000000002</v>
      </c>
      <c r="FB149" s="227" t="s">
        <v>567</v>
      </c>
      <c r="FC149">
        <f t="shared" ref="FC149:FC194" si="3">BY213-CC213</f>
        <v>29</v>
      </c>
    </row>
    <row r="150" spans="1:159" ht="17.25" thickBot="1" x14ac:dyDescent="0.3">
      <c r="A150" s="226">
        <v>46093</v>
      </c>
      <c r="B150" s="227" t="s">
        <v>168</v>
      </c>
      <c r="C150" s="227" t="s">
        <v>665</v>
      </c>
      <c r="D150" s="228">
        <v>900</v>
      </c>
      <c r="E150" s="228">
        <v>18</v>
      </c>
      <c r="F150" s="228">
        <v>490.4</v>
      </c>
      <c r="G150" s="228">
        <v>497.05</v>
      </c>
      <c r="H150" s="228">
        <v>-6.65</v>
      </c>
      <c r="I150" s="229">
        <v>-1.34E-2</v>
      </c>
      <c r="J150" s="228">
        <v>490.6</v>
      </c>
      <c r="K150" s="228">
        <v>497.85</v>
      </c>
      <c r="L150" s="228">
        <v>-7.25</v>
      </c>
      <c r="M150" s="229">
        <v>-1.46E-2</v>
      </c>
      <c r="N150" s="228">
        <v>490.4</v>
      </c>
      <c r="O150" s="228">
        <v>497.05</v>
      </c>
      <c r="P150" s="228">
        <v>-6.65</v>
      </c>
      <c r="Q150" s="229">
        <v>-1.34E-2</v>
      </c>
      <c r="R150" s="228">
        <v>493.55</v>
      </c>
      <c r="S150" s="228">
        <v>500.25</v>
      </c>
      <c r="T150" s="228">
        <v>-6.7</v>
      </c>
      <c r="U150" s="229">
        <v>-1.34E-2</v>
      </c>
      <c r="V150" s="228">
        <v>496</v>
      </c>
      <c r="W150" s="228">
        <v>504.5</v>
      </c>
      <c r="X150" s="228">
        <v>-8.5</v>
      </c>
      <c r="Y150" s="229">
        <v>-1.6799999999999999E-2</v>
      </c>
      <c r="Z150" s="228">
        <v>-0.2</v>
      </c>
      <c r="AA150" s="228">
        <v>-0.8</v>
      </c>
      <c r="AB150" s="228">
        <v>0.6</v>
      </c>
      <c r="AC150" s="229">
        <v>-4.0000000000000002E-4</v>
      </c>
      <c r="AD150" s="228">
        <v>-0.2</v>
      </c>
      <c r="AE150" s="228">
        <v>-0.8</v>
      </c>
      <c r="AF150" s="228">
        <v>0.6</v>
      </c>
      <c r="AG150" s="229">
        <v>-4.0000000000000002E-4</v>
      </c>
      <c r="AH150" s="228">
        <v>2.95</v>
      </c>
      <c r="AI150" s="228">
        <v>2.4</v>
      </c>
      <c r="AJ150" s="228">
        <v>0.55000000000000004</v>
      </c>
      <c r="AK150" s="229">
        <v>6.0000000000000001E-3</v>
      </c>
      <c r="AL150" s="228">
        <v>5.4</v>
      </c>
      <c r="AM150" s="228">
        <v>6.65</v>
      </c>
      <c r="AN150" s="228">
        <v>-1.25</v>
      </c>
      <c r="AO150" s="229">
        <v>1.0999999999999999E-2</v>
      </c>
      <c r="AP150" s="228">
        <v>491.31</v>
      </c>
      <c r="AQ150" s="228">
        <v>494.1</v>
      </c>
      <c r="AR150" s="228">
        <v>0</v>
      </c>
      <c r="AS150" s="228">
        <v>206</v>
      </c>
      <c r="AT150" s="228">
        <v>96</v>
      </c>
      <c r="AU150" s="228">
        <v>111</v>
      </c>
      <c r="AV150" s="229">
        <v>1.1538999999999999</v>
      </c>
      <c r="AW150" s="228">
        <v>185</v>
      </c>
      <c r="AX150" s="228">
        <v>95</v>
      </c>
      <c r="AY150" s="228">
        <v>91</v>
      </c>
      <c r="AZ150" s="229">
        <v>0.95399999999999996</v>
      </c>
      <c r="BA150" s="228">
        <v>21</v>
      </c>
      <c r="BB150" s="228">
        <v>1</v>
      </c>
      <c r="BC150" s="228">
        <v>20</v>
      </c>
      <c r="BD150" s="229">
        <v>23.7895</v>
      </c>
      <c r="BE150" s="228">
        <v>0</v>
      </c>
      <c r="BF150" s="228">
        <v>0</v>
      </c>
      <c r="BG150" s="228">
        <v>0</v>
      </c>
      <c r="BH150" s="229">
        <v>1</v>
      </c>
      <c r="BI150" s="228">
        <v>137</v>
      </c>
      <c r="BJ150" s="228">
        <v>133</v>
      </c>
      <c r="BK150" s="228">
        <v>4</v>
      </c>
      <c r="BL150" s="229">
        <v>3.3599999999999998E-2</v>
      </c>
      <c r="BM150" s="228">
        <v>106</v>
      </c>
      <c r="BN150" s="228">
        <v>78</v>
      </c>
      <c r="BO150" s="228">
        <v>28</v>
      </c>
      <c r="BP150" s="229">
        <v>0.35349999999999998</v>
      </c>
      <c r="BQ150" s="228">
        <v>449</v>
      </c>
      <c r="BR150" s="228">
        <v>307</v>
      </c>
      <c r="BS150" s="228">
        <v>143</v>
      </c>
      <c r="BT150" s="229">
        <v>0.46489999999999998</v>
      </c>
      <c r="BU150" s="230">
        <v>2397312</v>
      </c>
      <c r="BV150" s="230">
        <v>1127456</v>
      </c>
      <c r="BW150" s="230">
        <v>1269856</v>
      </c>
      <c r="BX150" s="229">
        <v>1.1263000000000001</v>
      </c>
      <c r="BY150" s="230">
        <v>1865</v>
      </c>
      <c r="BZ150" s="230">
        <v>1842</v>
      </c>
      <c r="CA150" s="228">
        <v>23</v>
      </c>
      <c r="CB150" s="229">
        <v>1.24E-2</v>
      </c>
      <c r="CC150" s="230">
        <v>1837</v>
      </c>
      <c r="CD150" s="230">
        <v>1833</v>
      </c>
      <c r="CE150" s="228">
        <v>3</v>
      </c>
      <c r="CF150" s="229">
        <v>1.8E-3</v>
      </c>
      <c r="CG150" s="228">
        <v>28</v>
      </c>
      <c r="CH150" s="228">
        <v>9</v>
      </c>
      <c r="CI150" s="228">
        <v>19</v>
      </c>
      <c r="CJ150" s="229">
        <v>2.2614999999999998</v>
      </c>
      <c r="CK150" s="228">
        <v>0</v>
      </c>
      <c r="CL150" s="228">
        <v>0</v>
      </c>
      <c r="CM150" s="228">
        <v>0</v>
      </c>
      <c r="CN150" s="229">
        <v>0.28570000000000001</v>
      </c>
      <c r="CO150" s="228">
        <v>155</v>
      </c>
      <c r="CP150" s="228">
        <v>147</v>
      </c>
      <c r="CQ150" s="228">
        <v>9</v>
      </c>
      <c r="CR150" s="229">
        <v>5.96E-2</v>
      </c>
      <c r="CS150" s="228">
        <v>137</v>
      </c>
      <c r="CT150" s="228">
        <v>107</v>
      </c>
      <c r="CU150" s="228">
        <v>30</v>
      </c>
      <c r="CV150" s="229">
        <v>0.28179999999999999</v>
      </c>
      <c r="CW150" s="230">
        <v>2158</v>
      </c>
      <c r="CX150" s="230">
        <v>2096</v>
      </c>
      <c r="CY150" s="228">
        <v>62</v>
      </c>
      <c r="CZ150" s="229">
        <v>2.9399999999999999E-2</v>
      </c>
      <c r="DA150" s="228">
        <v>31.49</v>
      </c>
      <c r="DB150" s="228">
        <v>31.11</v>
      </c>
      <c r="DC150" s="228">
        <v>0.38</v>
      </c>
      <c r="DD150" s="228">
        <v>0.38</v>
      </c>
      <c r="DE150" s="228">
        <v>31.83</v>
      </c>
      <c r="DF150" s="228">
        <v>31.86</v>
      </c>
      <c r="DG150" s="228">
        <v>-0.34</v>
      </c>
      <c r="DH150" s="228">
        <v>-0.03</v>
      </c>
      <c r="DI150" s="228">
        <v>29.46</v>
      </c>
      <c r="DJ150" s="228">
        <v>29.63</v>
      </c>
      <c r="DK150" s="228">
        <v>-0.17</v>
      </c>
      <c r="DL150" s="228">
        <v>-0.17</v>
      </c>
      <c r="DM150" s="228">
        <v>34.119999999999997</v>
      </c>
      <c r="DN150" s="228">
        <v>33.619999999999997</v>
      </c>
      <c r="DO150" s="228">
        <v>0.5</v>
      </c>
      <c r="DP150" s="228">
        <v>0.5</v>
      </c>
      <c r="DQ150" s="228">
        <v>0.88</v>
      </c>
      <c r="DR150" s="228">
        <v>0.73</v>
      </c>
      <c r="DS150" s="228">
        <v>0.15</v>
      </c>
      <c r="DT150" s="229">
        <v>0.20549999999999999</v>
      </c>
      <c r="DU150" s="228">
        <v>540</v>
      </c>
      <c r="DV150" s="228">
        <v>490</v>
      </c>
      <c r="DW150" s="228">
        <v>0.77</v>
      </c>
      <c r="DX150" s="228">
        <v>0.59</v>
      </c>
      <c r="DY150" s="228">
        <v>0.18</v>
      </c>
      <c r="DZ150" s="229">
        <v>0.30509999999999998</v>
      </c>
      <c r="EA150" s="229">
        <v>1.5299999999999999E-2</v>
      </c>
      <c r="EB150" s="230">
        <v>181800</v>
      </c>
      <c r="EC150" s="229">
        <v>6.4000000000000003E-3</v>
      </c>
      <c r="ED150" s="229">
        <v>1.5299999999999999E-2</v>
      </c>
      <c r="EE150" s="228">
        <v>2.79</v>
      </c>
      <c r="EF150" s="229">
        <v>5.7000000000000002E-3</v>
      </c>
      <c r="EG150" s="230">
        <v>1209742</v>
      </c>
      <c r="EH150" s="230">
        <v>485845</v>
      </c>
      <c r="EI150" s="229">
        <v>1.49</v>
      </c>
      <c r="EJ150" s="229">
        <v>0.50460000000000005</v>
      </c>
      <c r="EK150" s="228">
        <v>145.78</v>
      </c>
      <c r="EL150" s="228">
        <v>104.65</v>
      </c>
      <c r="EM150" s="228">
        <v>206.79</v>
      </c>
      <c r="EN150" s="228">
        <v>29.78</v>
      </c>
      <c r="EO150" s="228">
        <v>457.23</v>
      </c>
      <c r="EP150" s="228">
        <v>317.73</v>
      </c>
      <c r="EQ150" s="228">
        <v>139.5</v>
      </c>
      <c r="ER150" s="229">
        <v>0.439</v>
      </c>
      <c r="ES150" s="228">
        <v>168.03</v>
      </c>
      <c r="ET150" s="228">
        <v>139.63</v>
      </c>
      <c r="EU150" s="231">
        <v>1865.2</v>
      </c>
      <c r="EV150" s="231">
        <v>50886533</v>
      </c>
      <c r="EW150" s="231">
        <v>2172.86</v>
      </c>
      <c r="EX150" s="231">
        <v>2136.7600000000002</v>
      </c>
      <c r="EY150" s="228">
        <v>36.1</v>
      </c>
      <c r="EZ150" s="229">
        <v>1.6899999999999998E-2</v>
      </c>
      <c r="FA150" s="229">
        <v>0.86460000000000004</v>
      </c>
      <c r="FB150" s="227" t="s">
        <v>567</v>
      </c>
      <c r="FC150">
        <f t="shared" si="3"/>
        <v>0</v>
      </c>
    </row>
    <row r="151" spans="1:159" ht="17.25" thickBot="1" x14ac:dyDescent="0.3">
      <c r="A151" s="226">
        <v>46093</v>
      </c>
      <c r="B151" s="227" t="s">
        <v>615</v>
      </c>
      <c r="C151" s="227" t="s">
        <v>575</v>
      </c>
      <c r="D151" s="228">
        <v>725</v>
      </c>
      <c r="E151" s="228">
        <v>18</v>
      </c>
      <c r="F151" s="231">
        <v>1012.9</v>
      </c>
      <c r="G151" s="231">
        <v>1026.3</v>
      </c>
      <c r="H151" s="228">
        <v>-13.4</v>
      </c>
      <c r="I151" s="229">
        <v>-1.3100000000000001E-2</v>
      </c>
      <c r="J151" s="231">
        <v>1009.1</v>
      </c>
      <c r="K151" s="231">
        <v>1025.7</v>
      </c>
      <c r="L151" s="228">
        <v>-16.600000000000001</v>
      </c>
      <c r="M151" s="229">
        <v>-1.6199999999999999E-2</v>
      </c>
      <c r="N151" s="231">
        <v>1012.9</v>
      </c>
      <c r="O151" s="231">
        <v>1026.3</v>
      </c>
      <c r="P151" s="228">
        <v>-13.4</v>
      </c>
      <c r="Q151" s="229">
        <v>-1.3100000000000001E-2</v>
      </c>
      <c r="R151" s="231">
        <v>1018.9</v>
      </c>
      <c r="S151" s="231">
        <v>1032</v>
      </c>
      <c r="T151" s="228">
        <v>-13.1</v>
      </c>
      <c r="U151" s="229">
        <v>-1.2699999999999999E-2</v>
      </c>
      <c r="V151" s="231">
        <v>1027.8</v>
      </c>
      <c r="W151" s="231">
        <v>1038.0999999999999</v>
      </c>
      <c r="X151" s="228">
        <v>-10.3</v>
      </c>
      <c r="Y151" s="229">
        <v>-9.9000000000000008E-3</v>
      </c>
      <c r="Z151" s="228">
        <v>3.8</v>
      </c>
      <c r="AA151" s="228">
        <v>0.6</v>
      </c>
      <c r="AB151" s="228">
        <v>3.2</v>
      </c>
      <c r="AC151" s="229">
        <v>3.8E-3</v>
      </c>
      <c r="AD151" s="228">
        <v>3.8</v>
      </c>
      <c r="AE151" s="228">
        <v>0.6</v>
      </c>
      <c r="AF151" s="228">
        <v>3.2</v>
      </c>
      <c r="AG151" s="229">
        <v>3.8E-3</v>
      </c>
      <c r="AH151" s="228">
        <v>9.8000000000000007</v>
      </c>
      <c r="AI151" s="228">
        <v>6.3</v>
      </c>
      <c r="AJ151" s="228">
        <v>3.5</v>
      </c>
      <c r="AK151" s="229">
        <v>9.7000000000000003E-3</v>
      </c>
      <c r="AL151" s="228">
        <v>18.7</v>
      </c>
      <c r="AM151" s="228">
        <v>12.4</v>
      </c>
      <c r="AN151" s="228">
        <v>6.3</v>
      </c>
      <c r="AO151" s="229">
        <v>1.8499999999999999E-2</v>
      </c>
      <c r="AP151" s="231">
        <v>1013.46</v>
      </c>
      <c r="AQ151" s="231">
        <v>1022.62</v>
      </c>
      <c r="AR151" s="228">
        <v>0</v>
      </c>
      <c r="AS151" s="228">
        <v>241</v>
      </c>
      <c r="AT151" s="228">
        <v>288</v>
      </c>
      <c r="AU151" s="228">
        <v>-47</v>
      </c>
      <c r="AV151" s="229">
        <v>-0.16450000000000001</v>
      </c>
      <c r="AW151" s="228">
        <v>220</v>
      </c>
      <c r="AX151" s="228">
        <v>259</v>
      </c>
      <c r="AY151" s="228">
        <v>-39</v>
      </c>
      <c r="AZ151" s="229">
        <v>-0.1517</v>
      </c>
      <c r="BA151" s="228">
        <v>20</v>
      </c>
      <c r="BB151" s="228">
        <v>28</v>
      </c>
      <c r="BC151" s="228">
        <v>-8</v>
      </c>
      <c r="BD151" s="229">
        <v>-0.27150000000000002</v>
      </c>
      <c r="BE151" s="228">
        <v>0</v>
      </c>
      <c r="BF151" s="228">
        <v>1</v>
      </c>
      <c r="BG151" s="228">
        <v>0</v>
      </c>
      <c r="BH151" s="229">
        <v>-0.54549999999999998</v>
      </c>
      <c r="BI151" s="228">
        <v>568</v>
      </c>
      <c r="BJ151" s="228">
        <v>542</v>
      </c>
      <c r="BK151" s="228">
        <v>26</v>
      </c>
      <c r="BL151" s="229">
        <v>4.82E-2</v>
      </c>
      <c r="BM151" s="228">
        <v>352</v>
      </c>
      <c r="BN151" s="228">
        <v>321</v>
      </c>
      <c r="BO151" s="228">
        <v>31</v>
      </c>
      <c r="BP151" s="229">
        <v>9.6600000000000005E-2</v>
      </c>
      <c r="BQ151" s="230">
        <v>1161</v>
      </c>
      <c r="BR151" s="230">
        <v>1151</v>
      </c>
      <c r="BS151" s="228">
        <v>10</v>
      </c>
      <c r="BT151" s="229">
        <v>8.3999999999999995E-3</v>
      </c>
      <c r="BU151" s="230">
        <v>2148607</v>
      </c>
      <c r="BV151" s="230">
        <v>2010973</v>
      </c>
      <c r="BW151" s="230">
        <v>137634</v>
      </c>
      <c r="BX151" s="229">
        <v>6.8400000000000002E-2</v>
      </c>
      <c r="BY151" s="230">
        <v>2263</v>
      </c>
      <c r="BZ151" s="230">
        <v>2258</v>
      </c>
      <c r="CA151" s="228">
        <v>5</v>
      </c>
      <c r="CB151" s="229">
        <v>2.3999999999999998E-3</v>
      </c>
      <c r="CC151" s="230">
        <v>2138</v>
      </c>
      <c r="CD151" s="230">
        <v>2138</v>
      </c>
      <c r="CE151" s="228">
        <v>0</v>
      </c>
      <c r="CF151" s="229">
        <v>0</v>
      </c>
      <c r="CG151" s="228">
        <v>120</v>
      </c>
      <c r="CH151" s="228">
        <v>115</v>
      </c>
      <c r="CI151" s="228">
        <v>5</v>
      </c>
      <c r="CJ151" s="229">
        <v>4.6600000000000003E-2</v>
      </c>
      <c r="CK151" s="228">
        <v>5</v>
      </c>
      <c r="CL151" s="228">
        <v>5</v>
      </c>
      <c r="CM151" s="228">
        <v>0</v>
      </c>
      <c r="CN151" s="229">
        <v>1.5599999999999999E-2</v>
      </c>
      <c r="CO151" s="228">
        <v>865</v>
      </c>
      <c r="CP151" s="228">
        <v>850</v>
      </c>
      <c r="CQ151" s="228">
        <v>15</v>
      </c>
      <c r="CR151" s="229">
        <v>1.7600000000000001E-2</v>
      </c>
      <c r="CS151" s="228">
        <v>580</v>
      </c>
      <c r="CT151" s="228">
        <v>573</v>
      </c>
      <c r="CU151" s="228">
        <v>7</v>
      </c>
      <c r="CV151" s="229">
        <v>1.3100000000000001E-2</v>
      </c>
      <c r="CW151" s="230">
        <v>3709</v>
      </c>
      <c r="CX151" s="230">
        <v>3681</v>
      </c>
      <c r="CY151" s="228">
        <v>28</v>
      </c>
      <c r="CZ151" s="229">
        <v>7.6E-3</v>
      </c>
      <c r="DA151" s="228">
        <v>41.11</v>
      </c>
      <c r="DB151" s="228">
        <v>42.04</v>
      </c>
      <c r="DC151" s="228">
        <v>-0.93</v>
      </c>
      <c r="DD151" s="228">
        <v>-0.93</v>
      </c>
      <c r="DE151" s="228">
        <v>50.62</v>
      </c>
      <c r="DF151" s="228">
        <v>50.72</v>
      </c>
      <c r="DG151" s="228">
        <v>-9.51</v>
      </c>
      <c r="DH151" s="228">
        <v>-0.1</v>
      </c>
      <c r="DI151" s="228">
        <v>40.299999999999997</v>
      </c>
      <c r="DJ151" s="228">
        <v>41.16</v>
      </c>
      <c r="DK151" s="228">
        <v>-0.86</v>
      </c>
      <c r="DL151" s="228">
        <v>-0.86</v>
      </c>
      <c r="DM151" s="228">
        <v>42.43</v>
      </c>
      <c r="DN151" s="228">
        <v>43.53</v>
      </c>
      <c r="DO151" s="228">
        <v>-1.1000000000000001</v>
      </c>
      <c r="DP151" s="228">
        <v>-1.1000000000000001</v>
      </c>
      <c r="DQ151" s="228">
        <v>0.67</v>
      </c>
      <c r="DR151" s="228">
        <v>0.67</v>
      </c>
      <c r="DS151" s="228">
        <v>0</v>
      </c>
      <c r="DT151" s="229">
        <v>0</v>
      </c>
      <c r="DU151" s="231">
        <v>1200</v>
      </c>
      <c r="DV151" s="231">
        <v>1000</v>
      </c>
      <c r="DW151" s="228">
        <v>0.62</v>
      </c>
      <c r="DX151" s="228">
        <v>0.59</v>
      </c>
      <c r="DY151" s="228">
        <v>0.03</v>
      </c>
      <c r="DZ151" s="229">
        <v>5.0799999999999998E-2</v>
      </c>
      <c r="EA151" s="229">
        <v>5.5300000000000002E-2</v>
      </c>
      <c r="EB151" s="230">
        <v>1182475</v>
      </c>
      <c r="EC151" s="229">
        <v>5.8999999999999999E-3</v>
      </c>
      <c r="ED151" s="229">
        <v>5.5300000000000002E-2</v>
      </c>
      <c r="EE151" s="228">
        <v>9.16</v>
      </c>
      <c r="EF151" s="229">
        <v>8.9999999999999993E-3</v>
      </c>
      <c r="EG151" s="230">
        <v>857238</v>
      </c>
      <c r="EH151" s="230">
        <v>823378</v>
      </c>
      <c r="EI151" s="229">
        <v>4.1099999999999998E-2</v>
      </c>
      <c r="EJ151" s="229">
        <v>0.39900000000000002</v>
      </c>
      <c r="EK151" s="228">
        <v>620.05999999999995</v>
      </c>
      <c r="EL151" s="228">
        <v>353.84</v>
      </c>
      <c r="EM151" s="228">
        <v>241.26</v>
      </c>
      <c r="EN151" s="228">
        <v>48.79</v>
      </c>
      <c r="EO151" s="231">
        <v>1215.1600000000001</v>
      </c>
      <c r="EP151" s="231">
        <v>1219.33</v>
      </c>
      <c r="EQ151" s="228">
        <v>-4.16</v>
      </c>
      <c r="ER151" s="229">
        <v>-3.3999999999999998E-3</v>
      </c>
      <c r="ES151" s="228">
        <v>991.54</v>
      </c>
      <c r="ET151" s="228">
        <v>617.34</v>
      </c>
      <c r="EU151" s="231">
        <v>2264.2800000000002</v>
      </c>
      <c r="EV151" s="231">
        <v>95799519</v>
      </c>
      <c r="EW151" s="231">
        <v>3873.17</v>
      </c>
      <c r="EX151" s="231">
        <v>3878.71</v>
      </c>
      <c r="EY151" s="228">
        <v>-5.54</v>
      </c>
      <c r="EZ151" s="229">
        <v>-1.4E-3</v>
      </c>
      <c r="FA151" s="229">
        <v>0.38229999999999997</v>
      </c>
      <c r="FB151" s="227" t="s">
        <v>567</v>
      </c>
      <c r="FC151">
        <f t="shared" si="3"/>
        <v>0</v>
      </c>
    </row>
    <row r="152" spans="1:159" ht="17.25" thickBot="1" x14ac:dyDescent="0.3">
      <c r="A152" s="226">
        <v>46093</v>
      </c>
      <c r="B152" s="227" t="s">
        <v>221</v>
      </c>
      <c r="C152" s="227" t="s">
        <v>529</v>
      </c>
      <c r="D152" s="228">
        <v>100</v>
      </c>
      <c r="E152" s="228">
        <v>18</v>
      </c>
      <c r="F152" s="231">
        <v>4691.3</v>
      </c>
      <c r="G152" s="231">
        <v>4728</v>
      </c>
      <c r="H152" s="228">
        <v>-36.700000000000003</v>
      </c>
      <c r="I152" s="229">
        <v>-7.7999999999999996E-3</v>
      </c>
      <c r="J152" s="231">
        <v>4714.3999999999996</v>
      </c>
      <c r="K152" s="231">
        <v>4747.7</v>
      </c>
      <c r="L152" s="228">
        <v>-33.299999999999997</v>
      </c>
      <c r="M152" s="229">
        <v>-7.0000000000000001E-3</v>
      </c>
      <c r="N152" s="231">
        <v>4691.3</v>
      </c>
      <c r="O152" s="231">
        <v>4728</v>
      </c>
      <c r="P152" s="228">
        <v>-36.700000000000003</v>
      </c>
      <c r="Q152" s="229">
        <v>-7.7999999999999996E-3</v>
      </c>
      <c r="R152" s="231">
        <v>4679.3999999999996</v>
      </c>
      <c r="S152" s="231">
        <v>4717.3</v>
      </c>
      <c r="T152" s="228">
        <v>-37.9</v>
      </c>
      <c r="U152" s="229">
        <v>-8.0000000000000002E-3</v>
      </c>
      <c r="V152" s="231">
        <v>4668.2</v>
      </c>
      <c r="W152" s="231">
        <v>4721</v>
      </c>
      <c r="X152" s="228">
        <v>-52.8</v>
      </c>
      <c r="Y152" s="229">
        <v>-1.12E-2</v>
      </c>
      <c r="Z152" s="228">
        <v>-23.1</v>
      </c>
      <c r="AA152" s="228">
        <v>-19.7</v>
      </c>
      <c r="AB152" s="228">
        <v>-3.4</v>
      </c>
      <c r="AC152" s="229">
        <v>-4.8999999999999998E-3</v>
      </c>
      <c r="AD152" s="228">
        <v>-23.1</v>
      </c>
      <c r="AE152" s="228">
        <v>-19.7</v>
      </c>
      <c r="AF152" s="228">
        <v>-3.4</v>
      </c>
      <c r="AG152" s="229">
        <v>-4.8999999999999998E-3</v>
      </c>
      <c r="AH152" s="228">
        <v>-35</v>
      </c>
      <c r="AI152" s="228">
        <v>-30.4</v>
      </c>
      <c r="AJ152" s="228">
        <v>-4.5999999999999996</v>
      </c>
      <c r="AK152" s="229">
        <v>-7.4000000000000003E-3</v>
      </c>
      <c r="AL152" s="228">
        <v>-46.2</v>
      </c>
      <c r="AM152" s="228">
        <v>-26.7</v>
      </c>
      <c r="AN152" s="228">
        <v>-19.5</v>
      </c>
      <c r="AO152" s="229">
        <v>-9.7999999999999997E-3</v>
      </c>
      <c r="AP152" s="231">
        <v>4662.45</v>
      </c>
      <c r="AQ152" s="231">
        <v>4648.2700000000004</v>
      </c>
      <c r="AR152" s="228">
        <v>0</v>
      </c>
      <c r="AS152" s="228">
        <v>364</v>
      </c>
      <c r="AT152" s="228">
        <v>344</v>
      </c>
      <c r="AU152" s="228">
        <v>20</v>
      </c>
      <c r="AV152" s="229">
        <v>5.7099999999999998E-2</v>
      </c>
      <c r="AW152" s="228">
        <v>308</v>
      </c>
      <c r="AX152" s="228">
        <v>299</v>
      </c>
      <c r="AY152" s="228">
        <v>9</v>
      </c>
      <c r="AZ152" s="229">
        <v>3.0599999999999999E-2</v>
      </c>
      <c r="BA152" s="228">
        <v>55</v>
      </c>
      <c r="BB152" s="228">
        <v>44</v>
      </c>
      <c r="BC152" s="228">
        <v>11</v>
      </c>
      <c r="BD152" s="229">
        <v>0.25209999999999999</v>
      </c>
      <c r="BE152" s="228">
        <v>1</v>
      </c>
      <c r="BF152" s="228">
        <v>2</v>
      </c>
      <c r="BG152" s="228">
        <v>-1</v>
      </c>
      <c r="BH152" s="229">
        <v>-0.28210000000000002</v>
      </c>
      <c r="BI152" s="228">
        <v>767</v>
      </c>
      <c r="BJ152" s="228">
        <v>627</v>
      </c>
      <c r="BK152" s="228">
        <v>140</v>
      </c>
      <c r="BL152" s="229">
        <v>0.22420000000000001</v>
      </c>
      <c r="BM152" s="228">
        <v>399</v>
      </c>
      <c r="BN152" s="228">
        <v>380</v>
      </c>
      <c r="BO152" s="228">
        <v>20</v>
      </c>
      <c r="BP152" s="229">
        <v>5.1799999999999999E-2</v>
      </c>
      <c r="BQ152" s="230">
        <v>1530</v>
      </c>
      <c r="BR152" s="230">
        <v>1350</v>
      </c>
      <c r="BS152" s="228">
        <v>180</v>
      </c>
      <c r="BT152" s="229">
        <v>0.1331</v>
      </c>
      <c r="BU152" s="230">
        <v>602782</v>
      </c>
      <c r="BV152" s="230">
        <v>813503</v>
      </c>
      <c r="BW152" s="230">
        <v>-210721</v>
      </c>
      <c r="BX152" s="229">
        <v>-0.25900000000000001</v>
      </c>
      <c r="BY152" s="230">
        <v>2038</v>
      </c>
      <c r="BZ152" s="230">
        <v>1981</v>
      </c>
      <c r="CA152" s="228">
        <v>57</v>
      </c>
      <c r="CB152" s="229">
        <v>2.8799999999999999E-2</v>
      </c>
      <c r="CC152" s="230">
        <v>1912</v>
      </c>
      <c r="CD152" s="230">
        <v>1872</v>
      </c>
      <c r="CE152" s="228">
        <v>40</v>
      </c>
      <c r="CF152" s="229">
        <v>2.1399999999999999E-2</v>
      </c>
      <c r="CG152" s="228">
        <v>119</v>
      </c>
      <c r="CH152" s="228">
        <v>102</v>
      </c>
      <c r="CI152" s="228">
        <v>17</v>
      </c>
      <c r="CJ152" s="229">
        <v>0.16650000000000001</v>
      </c>
      <c r="CK152" s="228">
        <v>7</v>
      </c>
      <c r="CL152" s="228">
        <v>7</v>
      </c>
      <c r="CM152" s="228">
        <v>0</v>
      </c>
      <c r="CN152" s="229">
        <v>0</v>
      </c>
      <c r="CO152" s="228">
        <v>867</v>
      </c>
      <c r="CP152" s="228">
        <v>861</v>
      </c>
      <c r="CQ152" s="228">
        <v>7</v>
      </c>
      <c r="CR152" s="229">
        <v>7.6E-3</v>
      </c>
      <c r="CS152" s="228">
        <v>557</v>
      </c>
      <c r="CT152" s="228">
        <v>565</v>
      </c>
      <c r="CU152" s="228">
        <v>-8</v>
      </c>
      <c r="CV152" s="229">
        <v>-1.3599999999999999E-2</v>
      </c>
      <c r="CW152" s="230">
        <v>3462</v>
      </c>
      <c r="CX152" s="230">
        <v>3407</v>
      </c>
      <c r="CY152" s="228">
        <v>56</v>
      </c>
      <c r="CZ152" s="229">
        <v>1.6400000000000001E-2</v>
      </c>
      <c r="DA152" s="228">
        <v>44.65</v>
      </c>
      <c r="DB152" s="228">
        <v>43.8</v>
      </c>
      <c r="DC152" s="228">
        <v>0.85</v>
      </c>
      <c r="DD152" s="228">
        <v>0.85</v>
      </c>
      <c r="DE152" s="228">
        <v>40.200000000000003</v>
      </c>
      <c r="DF152" s="228">
        <v>40.29</v>
      </c>
      <c r="DG152" s="228">
        <v>4.45</v>
      </c>
      <c r="DH152" s="228">
        <v>-0.09</v>
      </c>
      <c r="DI152" s="228">
        <v>43.91</v>
      </c>
      <c r="DJ152" s="228">
        <v>42.64</v>
      </c>
      <c r="DK152" s="228">
        <v>1.27</v>
      </c>
      <c r="DL152" s="228">
        <v>1.27</v>
      </c>
      <c r="DM152" s="228">
        <v>46.07</v>
      </c>
      <c r="DN152" s="228">
        <v>45.7</v>
      </c>
      <c r="DO152" s="228">
        <v>0.37</v>
      </c>
      <c r="DP152" s="228">
        <v>0.37</v>
      </c>
      <c r="DQ152" s="228">
        <v>0.64</v>
      </c>
      <c r="DR152" s="228">
        <v>0.66</v>
      </c>
      <c r="DS152" s="228">
        <v>-0.02</v>
      </c>
      <c r="DT152" s="229">
        <v>-3.0300000000000001E-2</v>
      </c>
      <c r="DU152" s="231">
        <v>5500</v>
      </c>
      <c r="DV152" s="231">
        <v>5500</v>
      </c>
      <c r="DW152" s="228">
        <v>0.52</v>
      </c>
      <c r="DX152" s="228">
        <v>0.61</v>
      </c>
      <c r="DY152" s="228">
        <v>-0.09</v>
      </c>
      <c r="DZ152" s="229">
        <v>-0.14749999999999999</v>
      </c>
      <c r="EA152" s="229">
        <v>6.1800000000000001E-2</v>
      </c>
      <c r="EB152" s="230">
        <v>232200</v>
      </c>
      <c r="EC152" s="229">
        <v>-2.5000000000000001E-3</v>
      </c>
      <c r="ED152" s="229">
        <v>6.1800000000000001E-2</v>
      </c>
      <c r="EE152" s="228">
        <v>-14.18</v>
      </c>
      <c r="EF152" s="229">
        <v>-3.0000000000000001E-3</v>
      </c>
      <c r="EG152" s="230">
        <v>277575</v>
      </c>
      <c r="EH152" s="230">
        <v>513180</v>
      </c>
      <c r="EI152" s="229">
        <v>-0.45910000000000001</v>
      </c>
      <c r="EJ152" s="229">
        <v>0.46050000000000002</v>
      </c>
      <c r="EK152" s="228">
        <v>836.22</v>
      </c>
      <c r="EL152" s="228">
        <v>394.81</v>
      </c>
      <c r="EM152" s="228">
        <v>361.44</v>
      </c>
      <c r="EN152" s="228">
        <v>97.76</v>
      </c>
      <c r="EO152" s="231">
        <v>1592.48</v>
      </c>
      <c r="EP152" s="231">
        <v>1421.14</v>
      </c>
      <c r="EQ152" s="228">
        <v>171.34</v>
      </c>
      <c r="ER152" s="229">
        <v>0.1206</v>
      </c>
      <c r="ES152" s="228">
        <v>974.13</v>
      </c>
      <c r="ET152" s="228">
        <v>558.52</v>
      </c>
      <c r="EU152" s="231">
        <v>2037.19</v>
      </c>
      <c r="EV152" s="231">
        <v>15732422</v>
      </c>
      <c r="EW152" s="231">
        <v>3569.85</v>
      </c>
      <c r="EX152" s="231">
        <v>3530.88</v>
      </c>
      <c r="EY152" s="228">
        <v>38.97</v>
      </c>
      <c r="EZ152" s="229">
        <v>1.0999999999999999E-2</v>
      </c>
      <c r="FA152" s="229">
        <v>0.46910000000000002</v>
      </c>
      <c r="FB152" s="227" t="s">
        <v>567</v>
      </c>
      <c r="FC152">
        <f t="shared" si="3"/>
        <v>0</v>
      </c>
    </row>
    <row r="153" spans="1:159" ht="17.25" thickBot="1" x14ac:dyDescent="0.3">
      <c r="A153" s="226">
        <v>46093</v>
      </c>
      <c r="B153" s="227" t="s">
        <v>193</v>
      </c>
      <c r="C153" s="227" t="s">
        <v>272</v>
      </c>
      <c r="D153" s="228">
        <v>1900</v>
      </c>
      <c r="E153" s="228">
        <v>18</v>
      </c>
      <c r="F153" s="228">
        <v>296.35000000000002</v>
      </c>
      <c r="G153" s="228">
        <v>289.75</v>
      </c>
      <c r="H153" s="228">
        <v>6.6</v>
      </c>
      <c r="I153" s="229">
        <v>2.2800000000000001E-2</v>
      </c>
      <c r="J153" s="228">
        <v>296.7</v>
      </c>
      <c r="K153" s="228">
        <v>289.64999999999998</v>
      </c>
      <c r="L153" s="228">
        <v>7.05</v>
      </c>
      <c r="M153" s="229">
        <v>2.4299999999999999E-2</v>
      </c>
      <c r="N153" s="228">
        <v>296.35000000000002</v>
      </c>
      <c r="O153" s="228">
        <v>289.75</v>
      </c>
      <c r="P153" s="228">
        <v>6.6</v>
      </c>
      <c r="Q153" s="229">
        <v>2.2800000000000001E-2</v>
      </c>
      <c r="R153" s="228">
        <v>298.39999999999998</v>
      </c>
      <c r="S153" s="228">
        <v>291.64999999999998</v>
      </c>
      <c r="T153" s="228">
        <v>6.75</v>
      </c>
      <c r="U153" s="229">
        <v>2.3099999999999999E-2</v>
      </c>
      <c r="V153" s="228">
        <v>297.5</v>
      </c>
      <c r="W153" s="228">
        <v>290.95</v>
      </c>
      <c r="X153" s="228">
        <v>6.55</v>
      </c>
      <c r="Y153" s="229">
        <v>2.2499999999999999E-2</v>
      </c>
      <c r="Z153" s="228">
        <v>-0.35</v>
      </c>
      <c r="AA153" s="228">
        <v>0.1</v>
      </c>
      <c r="AB153" s="228">
        <v>-0.45</v>
      </c>
      <c r="AC153" s="229">
        <v>-1.1999999999999999E-3</v>
      </c>
      <c r="AD153" s="228">
        <v>-0.35</v>
      </c>
      <c r="AE153" s="228">
        <v>0.1</v>
      </c>
      <c r="AF153" s="228">
        <v>-0.45</v>
      </c>
      <c r="AG153" s="229">
        <v>-1.1999999999999999E-3</v>
      </c>
      <c r="AH153" s="228">
        <v>1.7</v>
      </c>
      <c r="AI153" s="228">
        <v>2</v>
      </c>
      <c r="AJ153" s="228">
        <v>-0.3</v>
      </c>
      <c r="AK153" s="229">
        <v>5.7000000000000002E-3</v>
      </c>
      <c r="AL153" s="228">
        <v>0.8</v>
      </c>
      <c r="AM153" s="228">
        <v>1.3</v>
      </c>
      <c r="AN153" s="228">
        <v>-0.5</v>
      </c>
      <c r="AO153" s="229">
        <v>2.7000000000000001E-3</v>
      </c>
      <c r="AP153" s="228">
        <v>295.08999999999997</v>
      </c>
      <c r="AQ153" s="228">
        <v>297.62</v>
      </c>
      <c r="AR153" s="228">
        <v>0</v>
      </c>
      <c r="AS153" s="228">
        <v>288</v>
      </c>
      <c r="AT153" s="228">
        <v>176</v>
      </c>
      <c r="AU153" s="228">
        <v>112</v>
      </c>
      <c r="AV153" s="229">
        <v>0.63570000000000004</v>
      </c>
      <c r="AW153" s="228">
        <v>267</v>
      </c>
      <c r="AX153" s="228">
        <v>164</v>
      </c>
      <c r="AY153" s="228">
        <v>103</v>
      </c>
      <c r="AZ153" s="229">
        <v>0.62560000000000004</v>
      </c>
      <c r="BA153" s="228">
        <v>17</v>
      </c>
      <c r="BB153" s="228">
        <v>9</v>
      </c>
      <c r="BC153" s="228">
        <v>8</v>
      </c>
      <c r="BD153" s="229">
        <v>0.86160000000000003</v>
      </c>
      <c r="BE153" s="228">
        <v>4</v>
      </c>
      <c r="BF153" s="228">
        <v>3</v>
      </c>
      <c r="BG153" s="228">
        <v>1</v>
      </c>
      <c r="BH153" s="229">
        <v>0.50980000000000003</v>
      </c>
      <c r="BI153" s="230">
        <v>1281</v>
      </c>
      <c r="BJ153" s="228">
        <v>404</v>
      </c>
      <c r="BK153" s="228">
        <v>877</v>
      </c>
      <c r="BL153" s="229">
        <v>2.1716000000000002</v>
      </c>
      <c r="BM153" s="228">
        <v>522</v>
      </c>
      <c r="BN153" s="228">
        <v>288</v>
      </c>
      <c r="BO153" s="228">
        <v>234</v>
      </c>
      <c r="BP153" s="229">
        <v>0.81379999999999997</v>
      </c>
      <c r="BQ153" s="230">
        <v>2091</v>
      </c>
      <c r="BR153" s="228">
        <v>868</v>
      </c>
      <c r="BS153" s="230">
        <v>1223</v>
      </c>
      <c r="BT153" s="229">
        <v>1.4095</v>
      </c>
      <c r="BU153" s="230">
        <v>9260209</v>
      </c>
      <c r="BV153" s="230">
        <v>3068439</v>
      </c>
      <c r="BW153" s="230">
        <v>6191770</v>
      </c>
      <c r="BX153" s="229">
        <v>2.0179</v>
      </c>
      <c r="BY153" s="228">
        <v>972</v>
      </c>
      <c r="BZ153" s="228">
        <v>992</v>
      </c>
      <c r="CA153" s="228">
        <v>-21</v>
      </c>
      <c r="CB153" s="229">
        <v>-2.0799999999999999E-2</v>
      </c>
      <c r="CC153" s="228">
        <v>770</v>
      </c>
      <c r="CD153" s="228">
        <v>791</v>
      </c>
      <c r="CE153" s="228">
        <v>-21</v>
      </c>
      <c r="CF153" s="229">
        <v>-2.6800000000000001E-2</v>
      </c>
      <c r="CG153" s="228">
        <v>180</v>
      </c>
      <c r="CH153" s="228">
        <v>180</v>
      </c>
      <c r="CI153" s="228">
        <v>0</v>
      </c>
      <c r="CJ153" s="229">
        <v>-2.5000000000000001E-3</v>
      </c>
      <c r="CK153" s="228">
        <v>22</v>
      </c>
      <c r="CL153" s="228">
        <v>21</v>
      </c>
      <c r="CM153" s="228">
        <v>1</v>
      </c>
      <c r="CN153" s="229">
        <v>4.6399999999999997E-2</v>
      </c>
      <c r="CO153" s="228">
        <v>511</v>
      </c>
      <c r="CP153" s="228">
        <v>492</v>
      </c>
      <c r="CQ153" s="228">
        <v>19</v>
      </c>
      <c r="CR153" s="229">
        <v>3.8600000000000002E-2</v>
      </c>
      <c r="CS153" s="228">
        <v>467</v>
      </c>
      <c r="CT153" s="228">
        <v>462</v>
      </c>
      <c r="CU153" s="228">
        <v>5</v>
      </c>
      <c r="CV153" s="229">
        <v>1.12E-2</v>
      </c>
      <c r="CW153" s="230">
        <v>1950</v>
      </c>
      <c r="CX153" s="230">
        <v>1946</v>
      </c>
      <c r="CY153" s="228">
        <v>3</v>
      </c>
      <c r="CZ153" s="229">
        <v>1.8E-3</v>
      </c>
      <c r="DA153" s="228">
        <v>41.08</v>
      </c>
      <c r="DB153" s="228">
        <v>41.25</v>
      </c>
      <c r="DC153" s="228">
        <v>-0.17</v>
      </c>
      <c r="DD153" s="228">
        <v>-0.17</v>
      </c>
      <c r="DE153" s="228">
        <v>35.35</v>
      </c>
      <c r="DF153" s="228">
        <v>35.29</v>
      </c>
      <c r="DG153" s="228">
        <v>5.73</v>
      </c>
      <c r="DH153" s="228">
        <v>0.06</v>
      </c>
      <c r="DI153" s="228">
        <v>40.119999999999997</v>
      </c>
      <c r="DJ153" s="228">
        <v>39.909999999999997</v>
      </c>
      <c r="DK153" s="228">
        <v>0.21</v>
      </c>
      <c r="DL153" s="228">
        <v>0.21</v>
      </c>
      <c r="DM153" s="228">
        <v>43.43</v>
      </c>
      <c r="DN153" s="228">
        <v>43.13</v>
      </c>
      <c r="DO153" s="228">
        <v>0.3</v>
      </c>
      <c r="DP153" s="228">
        <v>0.3</v>
      </c>
      <c r="DQ153" s="228">
        <v>0.91</v>
      </c>
      <c r="DR153" s="228">
        <v>0.94</v>
      </c>
      <c r="DS153" s="228">
        <v>-0.03</v>
      </c>
      <c r="DT153" s="229">
        <v>-3.1899999999999998E-2</v>
      </c>
      <c r="DU153" s="228">
        <v>310</v>
      </c>
      <c r="DV153" s="228">
        <v>290</v>
      </c>
      <c r="DW153" s="228">
        <v>0.41</v>
      </c>
      <c r="DX153" s="228">
        <v>0.71</v>
      </c>
      <c r="DY153" s="228">
        <v>-0.3</v>
      </c>
      <c r="DZ153" s="229">
        <v>-0.42249999999999999</v>
      </c>
      <c r="EA153" s="229">
        <v>0.2072</v>
      </c>
      <c r="EB153" s="230">
        <v>6775400</v>
      </c>
      <c r="EC153" s="229">
        <v>6.8999999999999999E-3</v>
      </c>
      <c r="ED153" s="229">
        <v>0.2072</v>
      </c>
      <c r="EE153" s="228">
        <v>2.5299999999999998</v>
      </c>
      <c r="EF153" s="229">
        <v>8.6E-3</v>
      </c>
      <c r="EG153" s="230">
        <v>3424124</v>
      </c>
      <c r="EH153" s="230">
        <v>1417802</v>
      </c>
      <c r="EI153" s="229">
        <v>1.4151</v>
      </c>
      <c r="EJ153" s="229">
        <v>0.36980000000000002</v>
      </c>
      <c r="EK153" s="231">
        <v>1364.37</v>
      </c>
      <c r="EL153" s="228">
        <v>508.07</v>
      </c>
      <c r="EM153" s="228">
        <v>287.11</v>
      </c>
      <c r="EN153" s="228">
        <v>72.39</v>
      </c>
      <c r="EO153" s="231">
        <v>2159.5500000000002</v>
      </c>
      <c r="EP153" s="228">
        <v>878.57</v>
      </c>
      <c r="EQ153" s="231">
        <v>1280.98</v>
      </c>
      <c r="ER153" s="229">
        <v>1.458</v>
      </c>
      <c r="ES153" s="228">
        <v>535.91</v>
      </c>
      <c r="ET153" s="228">
        <v>447.21</v>
      </c>
      <c r="EU153" s="228">
        <v>972.9</v>
      </c>
      <c r="EV153" s="231">
        <v>108255733</v>
      </c>
      <c r="EW153" s="231">
        <v>1956.02</v>
      </c>
      <c r="EX153" s="231">
        <v>1929.07</v>
      </c>
      <c r="EY153" s="228">
        <v>26.95</v>
      </c>
      <c r="EZ153" s="229">
        <v>1.4E-2</v>
      </c>
      <c r="FA153" s="229">
        <v>0.60780000000000001</v>
      </c>
      <c r="FB153" s="227" t="s">
        <v>556</v>
      </c>
      <c r="FC153">
        <f t="shared" si="3"/>
        <v>0</v>
      </c>
    </row>
    <row r="154" spans="1:159" ht="17.25" thickBot="1" x14ac:dyDescent="0.3">
      <c r="A154" s="226">
        <v>46093</v>
      </c>
      <c r="B154" s="227" t="s">
        <v>175</v>
      </c>
      <c r="C154" s="227" t="s">
        <v>273</v>
      </c>
      <c r="D154" s="228">
        <v>1300</v>
      </c>
      <c r="E154" s="228">
        <v>18</v>
      </c>
      <c r="F154" s="228">
        <v>415.1</v>
      </c>
      <c r="G154" s="228">
        <v>406.65</v>
      </c>
      <c r="H154" s="228">
        <v>8.4499999999999993</v>
      </c>
      <c r="I154" s="229">
        <v>2.0799999999999999E-2</v>
      </c>
      <c r="J154" s="228">
        <v>415.9</v>
      </c>
      <c r="K154" s="228">
        <v>406.9</v>
      </c>
      <c r="L154" s="228">
        <v>9</v>
      </c>
      <c r="M154" s="229">
        <v>2.2100000000000002E-2</v>
      </c>
      <c r="N154" s="228">
        <v>415.1</v>
      </c>
      <c r="O154" s="228">
        <v>406.65</v>
      </c>
      <c r="P154" s="228">
        <v>8.4499999999999993</v>
      </c>
      <c r="Q154" s="229">
        <v>2.0799999999999999E-2</v>
      </c>
      <c r="R154" s="228">
        <v>417.15</v>
      </c>
      <c r="S154" s="228">
        <v>409.25</v>
      </c>
      <c r="T154" s="228">
        <v>7.9</v>
      </c>
      <c r="U154" s="229">
        <v>1.9300000000000001E-2</v>
      </c>
      <c r="V154" s="228">
        <v>418.7</v>
      </c>
      <c r="W154" s="228">
        <v>411.45</v>
      </c>
      <c r="X154" s="228">
        <v>7.25</v>
      </c>
      <c r="Y154" s="229">
        <v>1.7600000000000001E-2</v>
      </c>
      <c r="Z154" s="228">
        <v>-0.8</v>
      </c>
      <c r="AA154" s="228">
        <v>-0.25</v>
      </c>
      <c r="AB154" s="228">
        <v>-0.55000000000000004</v>
      </c>
      <c r="AC154" s="229">
        <v>-1.9E-3</v>
      </c>
      <c r="AD154" s="228">
        <v>-0.8</v>
      </c>
      <c r="AE154" s="228">
        <v>-0.25</v>
      </c>
      <c r="AF154" s="228">
        <v>-0.55000000000000004</v>
      </c>
      <c r="AG154" s="229">
        <v>-1.9E-3</v>
      </c>
      <c r="AH154" s="228">
        <v>1.25</v>
      </c>
      <c r="AI154" s="228">
        <v>2.35</v>
      </c>
      <c r="AJ154" s="228">
        <v>-1.1000000000000001</v>
      </c>
      <c r="AK154" s="229">
        <v>3.0000000000000001E-3</v>
      </c>
      <c r="AL154" s="228">
        <v>2.8</v>
      </c>
      <c r="AM154" s="228">
        <v>4.55</v>
      </c>
      <c r="AN154" s="228">
        <v>-1.75</v>
      </c>
      <c r="AO154" s="229">
        <v>6.7000000000000002E-3</v>
      </c>
      <c r="AP154" s="228">
        <v>410.39</v>
      </c>
      <c r="AQ154" s="228">
        <v>411.38</v>
      </c>
      <c r="AR154" s="228">
        <v>0</v>
      </c>
      <c r="AS154" s="228">
        <v>743</v>
      </c>
      <c r="AT154" s="228">
        <v>390</v>
      </c>
      <c r="AU154" s="228">
        <v>353</v>
      </c>
      <c r="AV154" s="229">
        <v>0.90390000000000004</v>
      </c>
      <c r="AW154" s="228">
        <v>612</v>
      </c>
      <c r="AX154" s="228">
        <v>342</v>
      </c>
      <c r="AY154" s="228">
        <v>271</v>
      </c>
      <c r="AZ154" s="229">
        <v>0.79239999999999999</v>
      </c>
      <c r="BA154" s="228">
        <v>112</v>
      </c>
      <c r="BB154" s="228">
        <v>43</v>
      </c>
      <c r="BC154" s="228">
        <v>69</v>
      </c>
      <c r="BD154" s="229">
        <v>1.5846</v>
      </c>
      <c r="BE154" s="228">
        <v>19</v>
      </c>
      <c r="BF154" s="228">
        <v>5</v>
      </c>
      <c r="BG154" s="228">
        <v>13</v>
      </c>
      <c r="BH154" s="229">
        <v>2.5051000000000001</v>
      </c>
      <c r="BI154" s="230">
        <v>2046</v>
      </c>
      <c r="BJ154" s="228">
        <v>884</v>
      </c>
      <c r="BK154" s="230">
        <v>1162</v>
      </c>
      <c r="BL154" s="229">
        <v>1.3154999999999999</v>
      </c>
      <c r="BM154" s="228">
        <v>852</v>
      </c>
      <c r="BN154" s="228">
        <v>480</v>
      </c>
      <c r="BO154" s="228">
        <v>372</v>
      </c>
      <c r="BP154" s="229">
        <v>0.7742</v>
      </c>
      <c r="BQ154" s="230">
        <v>3641</v>
      </c>
      <c r="BR154" s="230">
        <v>1754</v>
      </c>
      <c r="BS154" s="230">
        <v>1887</v>
      </c>
      <c r="BT154" s="229">
        <v>1.0757000000000001</v>
      </c>
      <c r="BU154" s="230">
        <v>8945360</v>
      </c>
      <c r="BV154" s="230">
        <v>5907275</v>
      </c>
      <c r="BW154" s="230">
        <v>3038085</v>
      </c>
      <c r="BX154" s="229">
        <v>0.51429999999999998</v>
      </c>
      <c r="BY154" s="230">
        <v>2792</v>
      </c>
      <c r="BZ154" s="230">
        <v>2702</v>
      </c>
      <c r="CA154" s="228">
        <v>90</v>
      </c>
      <c r="CB154" s="229">
        <v>3.3399999999999999E-2</v>
      </c>
      <c r="CC154" s="230">
        <v>2260</v>
      </c>
      <c r="CD154" s="230">
        <v>2184</v>
      </c>
      <c r="CE154" s="228">
        <v>76</v>
      </c>
      <c r="CF154" s="229">
        <v>3.4799999999999998E-2</v>
      </c>
      <c r="CG154" s="228">
        <v>404</v>
      </c>
      <c r="CH154" s="228">
        <v>387</v>
      </c>
      <c r="CI154" s="228">
        <v>17</v>
      </c>
      <c r="CJ154" s="229">
        <v>4.2999999999999997E-2</v>
      </c>
      <c r="CK154" s="228">
        <v>129</v>
      </c>
      <c r="CL154" s="228">
        <v>131</v>
      </c>
      <c r="CM154" s="228">
        <v>-2</v>
      </c>
      <c r="CN154" s="229">
        <v>-1.8100000000000002E-2</v>
      </c>
      <c r="CO154" s="230">
        <v>1545</v>
      </c>
      <c r="CP154" s="230">
        <v>1464</v>
      </c>
      <c r="CQ154" s="228">
        <v>81</v>
      </c>
      <c r="CR154" s="229">
        <v>5.5300000000000002E-2</v>
      </c>
      <c r="CS154" s="228">
        <v>728</v>
      </c>
      <c r="CT154" s="228">
        <v>682</v>
      </c>
      <c r="CU154" s="228">
        <v>45</v>
      </c>
      <c r="CV154" s="229">
        <v>6.6699999999999995E-2</v>
      </c>
      <c r="CW154" s="230">
        <v>5065</v>
      </c>
      <c r="CX154" s="230">
        <v>4848</v>
      </c>
      <c r="CY154" s="228">
        <v>217</v>
      </c>
      <c r="CZ154" s="229">
        <v>4.4699999999999997E-2</v>
      </c>
      <c r="DA154" s="228">
        <v>40.1</v>
      </c>
      <c r="DB154" s="228">
        <v>38.5</v>
      </c>
      <c r="DC154" s="228">
        <v>1.6</v>
      </c>
      <c r="DD154" s="228">
        <v>1.6</v>
      </c>
      <c r="DE154" s="228">
        <v>41.62</v>
      </c>
      <c r="DF154" s="228">
        <v>41.63</v>
      </c>
      <c r="DG154" s="228">
        <v>-1.52</v>
      </c>
      <c r="DH154" s="228">
        <v>-0.01</v>
      </c>
      <c r="DI154" s="228">
        <v>39.78</v>
      </c>
      <c r="DJ154" s="228">
        <v>38.32</v>
      </c>
      <c r="DK154" s="228">
        <v>1.46</v>
      </c>
      <c r="DL154" s="228">
        <v>1.46</v>
      </c>
      <c r="DM154" s="228">
        <v>40.880000000000003</v>
      </c>
      <c r="DN154" s="228">
        <v>38.82</v>
      </c>
      <c r="DO154" s="228">
        <v>2.06</v>
      </c>
      <c r="DP154" s="228">
        <v>2.06</v>
      </c>
      <c r="DQ154" s="228">
        <v>0.47</v>
      </c>
      <c r="DR154" s="228">
        <v>0.47</v>
      </c>
      <c r="DS154" s="228">
        <v>0</v>
      </c>
      <c r="DT154" s="229">
        <v>0</v>
      </c>
      <c r="DU154" s="228">
        <v>450</v>
      </c>
      <c r="DV154" s="228">
        <v>400</v>
      </c>
      <c r="DW154" s="228">
        <v>0.42</v>
      </c>
      <c r="DX154" s="228">
        <v>0.54</v>
      </c>
      <c r="DY154" s="228">
        <v>-0.12</v>
      </c>
      <c r="DZ154" s="229">
        <v>-0.22220000000000001</v>
      </c>
      <c r="EA154" s="229">
        <v>0.1905</v>
      </c>
      <c r="EB154" s="230">
        <v>12474800</v>
      </c>
      <c r="EC154" s="229">
        <v>4.8999999999999998E-3</v>
      </c>
      <c r="ED154" s="229">
        <v>0.1905</v>
      </c>
      <c r="EE154" s="228">
        <v>0.99</v>
      </c>
      <c r="EF154" s="229">
        <v>2.3999999999999998E-3</v>
      </c>
      <c r="EG154" s="230">
        <v>3835808</v>
      </c>
      <c r="EH154" s="230">
        <v>2618128</v>
      </c>
      <c r="EI154" s="229">
        <v>0.46510000000000001</v>
      </c>
      <c r="EJ154" s="229">
        <v>0.42880000000000001</v>
      </c>
      <c r="EK154" s="231">
        <v>2132.65</v>
      </c>
      <c r="EL154" s="228">
        <v>838.77</v>
      </c>
      <c r="EM154" s="228">
        <v>735.24</v>
      </c>
      <c r="EN154" s="228">
        <v>116.62</v>
      </c>
      <c r="EO154" s="231">
        <v>3706.65</v>
      </c>
      <c r="EP154" s="231">
        <v>1773.8</v>
      </c>
      <c r="EQ154" s="231">
        <v>1932.85</v>
      </c>
      <c r="ER154" s="229">
        <v>1.0896999999999999</v>
      </c>
      <c r="ES154" s="231">
        <v>1609.27</v>
      </c>
      <c r="ET154" s="228">
        <v>693.88</v>
      </c>
      <c r="EU154" s="231">
        <v>2795.42</v>
      </c>
      <c r="EV154" s="231">
        <v>217835555</v>
      </c>
      <c r="EW154" s="231">
        <v>5098.58</v>
      </c>
      <c r="EX154" s="231">
        <v>4826.3500000000004</v>
      </c>
      <c r="EY154" s="228">
        <v>272.23</v>
      </c>
      <c r="EZ154" s="229">
        <v>5.6399999999999999E-2</v>
      </c>
      <c r="FA154" s="229">
        <v>0.56010000000000004</v>
      </c>
      <c r="FB154" s="227" t="s">
        <v>555</v>
      </c>
      <c r="FC154">
        <f t="shared" si="3"/>
        <v>0</v>
      </c>
    </row>
    <row r="155" spans="1:159" ht="17.25" thickBot="1" x14ac:dyDescent="0.3">
      <c r="A155" s="226">
        <v>46093</v>
      </c>
      <c r="B155" s="227" t="s">
        <v>184</v>
      </c>
      <c r="C155" s="227" t="s">
        <v>679</v>
      </c>
      <c r="D155" s="228">
        <v>950</v>
      </c>
      <c r="E155" s="228">
        <v>18</v>
      </c>
      <c r="F155" s="228">
        <v>531.79999999999995</v>
      </c>
      <c r="G155" s="228">
        <v>551.35</v>
      </c>
      <c r="H155" s="228">
        <v>-19.55</v>
      </c>
      <c r="I155" s="229">
        <v>-3.5499999999999997E-2</v>
      </c>
      <c r="J155" s="228">
        <v>532.20000000000005</v>
      </c>
      <c r="K155" s="228">
        <v>550.1</v>
      </c>
      <c r="L155" s="228">
        <v>-17.899999999999999</v>
      </c>
      <c r="M155" s="229">
        <v>-3.2500000000000001E-2</v>
      </c>
      <c r="N155" s="228">
        <v>531.79999999999995</v>
      </c>
      <c r="O155" s="228">
        <v>551.35</v>
      </c>
      <c r="P155" s="228">
        <v>-19.55</v>
      </c>
      <c r="Q155" s="229">
        <v>-3.5499999999999997E-2</v>
      </c>
      <c r="R155" s="228">
        <v>533.79999999999995</v>
      </c>
      <c r="S155" s="228">
        <v>553.25</v>
      </c>
      <c r="T155" s="228">
        <v>-19.45</v>
      </c>
      <c r="U155" s="229">
        <v>-3.5200000000000002E-2</v>
      </c>
      <c r="V155" s="228">
        <v>536</v>
      </c>
      <c r="W155" s="228">
        <v>555.1</v>
      </c>
      <c r="X155" s="228">
        <v>-19.100000000000001</v>
      </c>
      <c r="Y155" s="229">
        <v>-3.44E-2</v>
      </c>
      <c r="Z155" s="228">
        <v>-0.4</v>
      </c>
      <c r="AA155" s="228">
        <v>1.25</v>
      </c>
      <c r="AB155" s="228">
        <v>-1.65</v>
      </c>
      <c r="AC155" s="229">
        <v>-8.0000000000000004E-4</v>
      </c>
      <c r="AD155" s="228">
        <v>-0.4</v>
      </c>
      <c r="AE155" s="228">
        <v>1.25</v>
      </c>
      <c r="AF155" s="228">
        <v>-1.65</v>
      </c>
      <c r="AG155" s="229">
        <v>-8.0000000000000004E-4</v>
      </c>
      <c r="AH155" s="228">
        <v>1.6</v>
      </c>
      <c r="AI155" s="228">
        <v>3.15</v>
      </c>
      <c r="AJ155" s="228">
        <v>-1.55</v>
      </c>
      <c r="AK155" s="229">
        <v>3.0000000000000001E-3</v>
      </c>
      <c r="AL155" s="228">
        <v>3.8</v>
      </c>
      <c r="AM155" s="228">
        <v>5</v>
      </c>
      <c r="AN155" s="228">
        <v>-1.2</v>
      </c>
      <c r="AO155" s="229">
        <v>7.1000000000000004E-3</v>
      </c>
      <c r="AP155" s="228">
        <v>536.53</v>
      </c>
      <c r="AQ155" s="228">
        <v>538.6</v>
      </c>
      <c r="AR155" s="228">
        <v>0</v>
      </c>
      <c r="AS155" s="228">
        <v>262</v>
      </c>
      <c r="AT155" s="228">
        <v>340</v>
      </c>
      <c r="AU155" s="228">
        <v>-77</v>
      </c>
      <c r="AV155" s="229">
        <v>-0.22789999999999999</v>
      </c>
      <c r="AW155" s="228">
        <v>248</v>
      </c>
      <c r="AX155" s="228">
        <v>322</v>
      </c>
      <c r="AY155" s="228">
        <v>-74</v>
      </c>
      <c r="AZ155" s="229">
        <v>-0.2288</v>
      </c>
      <c r="BA155" s="228">
        <v>13</v>
      </c>
      <c r="BB155" s="228">
        <v>16</v>
      </c>
      <c r="BC155" s="228">
        <v>-3</v>
      </c>
      <c r="BD155" s="229">
        <v>-0.1938</v>
      </c>
      <c r="BE155" s="228">
        <v>1</v>
      </c>
      <c r="BF155" s="228">
        <v>1</v>
      </c>
      <c r="BG155" s="228">
        <v>-1</v>
      </c>
      <c r="BH155" s="229">
        <v>-0.40739999999999998</v>
      </c>
      <c r="BI155" s="228">
        <v>552</v>
      </c>
      <c r="BJ155" s="230">
        <v>1143</v>
      </c>
      <c r="BK155" s="228">
        <v>-591</v>
      </c>
      <c r="BL155" s="229">
        <v>-0.51700000000000002</v>
      </c>
      <c r="BM155" s="228">
        <v>409</v>
      </c>
      <c r="BN155" s="228">
        <v>383</v>
      </c>
      <c r="BO155" s="228">
        <v>26</v>
      </c>
      <c r="BP155" s="229">
        <v>6.7199999999999996E-2</v>
      </c>
      <c r="BQ155" s="230">
        <v>1224</v>
      </c>
      <c r="BR155" s="230">
        <v>1866</v>
      </c>
      <c r="BS155" s="228">
        <v>-643</v>
      </c>
      <c r="BT155" s="229">
        <v>-0.34429999999999999</v>
      </c>
      <c r="BU155" s="230">
        <v>3579154</v>
      </c>
      <c r="BV155" s="230">
        <v>4874038</v>
      </c>
      <c r="BW155" s="230">
        <v>-1294884</v>
      </c>
      <c r="BX155" s="229">
        <v>-0.26569999999999999</v>
      </c>
      <c r="BY155" s="228">
        <v>741</v>
      </c>
      <c r="BZ155" s="228">
        <v>771</v>
      </c>
      <c r="CA155" s="228">
        <v>-31</v>
      </c>
      <c r="CB155" s="229">
        <v>-3.9600000000000003E-2</v>
      </c>
      <c r="CC155" s="228">
        <v>721</v>
      </c>
      <c r="CD155" s="228">
        <v>752</v>
      </c>
      <c r="CE155" s="228">
        <v>-32</v>
      </c>
      <c r="CF155" s="229">
        <v>-4.19E-2</v>
      </c>
      <c r="CG155" s="228">
        <v>17</v>
      </c>
      <c r="CH155" s="228">
        <v>16</v>
      </c>
      <c r="CI155" s="228">
        <v>1</v>
      </c>
      <c r="CJ155" s="229">
        <v>4.2900000000000001E-2</v>
      </c>
      <c r="CK155" s="228">
        <v>2</v>
      </c>
      <c r="CL155" s="228">
        <v>2</v>
      </c>
      <c r="CM155" s="228">
        <v>0</v>
      </c>
      <c r="CN155" s="229">
        <v>0.11360000000000001</v>
      </c>
      <c r="CO155" s="228">
        <v>448</v>
      </c>
      <c r="CP155" s="228">
        <v>456</v>
      </c>
      <c r="CQ155" s="228">
        <v>-7</v>
      </c>
      <c r="CR155" s="229">
        <v>-1.6299999999999999E-2</v>
      </c>
      <c r="CS155" s="228">
        <v>294</v>
      </c>
      <c r="CT155" s="228">
        <v>296</v>
      </c>
      <c r="CU155" s="228">
        <v>-2</v>
      </c>
      <c r="CV155" s="229">
        <v>-6.4999999999999997E-3</v>
      </c>
      <c r="CW155" s="230">
        <v>1483</v>
      </c>
      <c r="CX155" s="230">
        <v>1523</v>
      </c>
      <c r="CY155" s="228">
        <v>-40</v>
      </c>
      <c r="CZ155" s="229">
        <v>-2.6200000000000001E-2</v>
      </c>
      <c r="DA155" s="228">
        <v>53.95</v>
      </c>
      <c r="DB155" s="228">
        <v>54.09</v>
      </c>
      <c r="DC155" s="228">
        <v>-0.14000000000000001</v>
      </c>
      <c r="DD155" s="228">
        <v>-0.14000000000000001</v>
      </c>
      <c r="DE155" s="228">
        <v>64.819999999999993</v>
      </c>
      <c r="DF155" s="228">
        <v>64.8</v>
      </c>
      <c r="DG155" s="228">
        <v>-10.87</v>
      </c>
      <c r="DH155" s="228">
        <v>0.02</v>
      </c>
      <c r="DI155" s="228">
        <v>54.01</v>
      </c>
      <c r="DJ155" s="228">
        <v>52.46</v>
      </c>
      <c r="DK155" s="228">
        <v>1.55</v>
      </c>
      <c r="DL155" s="228">
        <v>1.55</v>
      </c>
      <c r="DM155" s="228">
        <v>53.88</v>
      </c>
      <c r="DN155" s="228">
        <v>58.94</v>
      </c>
      <c r="DO155" s="228">
        <v>-5.0599999999999996</v>
      </c>
      <c r="DP155" s="228">
        <v>-5.0599999999999996</v>
      </c>
      <c r="DQ155" s="228">
        <v>0.66</v>
      </c>
      <c r="DR155" s="228">
        <v>0.65</v>
      </c>
      <c r="DS155" s="228">
        <v>0.01</v>
      </c>
      <c r="DT155" s="229">
        <v>1.54E-2</v>
      </c>
      <c r="DU155" s="228">
        <v>600</v>
      </c>
      <c r="DV155" s="228">
        <v>550</v>
      </c>
      <c r="DW155" s="228">
        <v>0.74</v>
      </c>
      <c r="DX155" s="228">
        <v>0.34</v>
      </c>
      <c r="DY155" s="228">
        <v>0.4</v>
      </c>
      <c r="DZ155" s="229">
        <v>1.1765000000000001</v>
      </c>
      <c r="EA155" s="229">
        <v>2.6499999999999999E-2</v>
      </c>
      <c r="EB155" s="230">
        <v>351500</v>
      </c>
      <c r="EC155" s="229">
        <v>3.8E-3</v>
      </c>
      <c r="ED155" s="229">
        <v>2.6499999999999999E-2</v>
      </c>
      <c r="EE155" s="228">
        <v>2.0699999999999998</v>
      </c>
      <c r="EF155" s="229">
        <v>3.8999999999999998E-3</v>
      </c>
      <c r="EG155" s="230">
        <v>726617</v>
      </c>
      <c r="EH155" s="230">
        <v>872741</v>
      </c>
      <c r="EI155" s="229">
        <v>-0.16739999999999999</v>
      </c>
      <c r="EJ155" s="229">
        <v>0.20300000000000001</v>
      </c>
      <c r="EK155" s="228">
        <v>614.23</v>
      </c>
      <c r="EL155" s="228">
        <v>414.07</v>
      </c>
      <c r="EM155" s="228">
        <v>264.85000000000002</v>
      </c>
      <c r="EN155" s="228">
        <v>83.95</v>
      </c>
      <c r="EO155" s="231">
        <v>1293.1500000000001</v>
      </c>
      <c r="EP155" s="231">
        <v>2038.8</v>
      </c>
      <c r="EQ155" s="228">
        <v>-745.65</v>
      </c>
      <c r="ER155" s="229">
        <v>-0.36570000000000003</v>
      </c>
      <c r="ES155" s="228">
        <v>504.44</v>
      </c>
      <c r="ET155" s="228">
        <v>297.8</v>
      </c>
      <c r="EU155" s="228">
        <v>740.62</v>
      </c>
      <c r="EV155" s="231">
        <v>24030912</v>
      </c>
      <c r="EW155" s="231">
        <v>1542.86</v>
      </c>
      <c r="EX155" s="231">
        <v>1613.82</v>
      </c>
      <c r="EY155" s="228">
        <v>-70.959999999999994</v>
      </c>
      <c r="EZ155" s="229">
        <v>-4.3999999999999997E-2</v>
      </c>
      <c r="FA155" s="229">
        <v>1.1603000000000001</v>
      </c>
      <c r="FB155" s="227" t="s">
        <v>568</v>
      </c>
      <c r="FC155">
        <f t="shared" si="3"/>
        <v>0</v>
      </c>
    </row>
    <row r="156" spans="1:159" ht="17.25" thickBot="1" x14ac:dyDescent="0.3">
      <c r="A156" s="226">
        <v>46093</v>
      </c>
      <c r="B156" s="227" t="s">
        <v>206</v>
      </c>
      <c r="C156" s="227" t="s">
        <v>645</v>
      </c>
      <c r="D156" s="228">
        <v>350</v>
      </c>
      <c r="E156" s="228">
        <v>18</v>
      </c>
      <c r="F156" s="231">
        <v>1562</v>
      </c>
      <c r="G156" s="231">
        <v>1580.2</v>
      </c>
      <c r="H156" s="228">
        <v>-18.2</v>
      </c>
      <c r="I156" s="229">
        <v>-1.15E-2</v>
      </c>
      <c r="J156" s="231">
        <v>1560.2</v>
      </c>
      <c r="K156" s="231">
        <v>1575.7</v>
      </c>
      <c r="L156" s="228">
        <v>-15.5</v>
      </c>
      <c r="M156" s="229">
        <v>-9.7999999999999997E-3</v>
      </c>
      <c r="N156" s="231">
        <v>1562</v>
      </c>
      <c r="O156" s="231">
        <v>1580.2</v>
      </c>
      <c r="P156" s="228">
        <v>-18.2</v>
      </c>
      <c r="Q156" s="229">
        <v>-1.15E-2</v>
      </c>
      <c r="R156" s="231">
        <v>1569.8</v>
      </c>
      <c r="S156" s="231">
        <v>1584.4</v>
      </c>
      <c r="T156" s="228">
        <v>-14.6</v>
      </c>
      <c r="U156" s="229">
        <v>-9.1999999999999998E-3</v>
      </c>
      <c r="V156" s="231">
        <v>1580.3</v>
      </c>
      <c r="W156" s="231">
        <v>1631.7</v>
      </c>
      <c r="X156" s="228">
        <v>-51.4</v>
      </c>
      <c r="Y156" s="229">
        <v>-3.15E-2</v>
      </c>
      <c r="Z156" s="228">
        <v>1.8</v>
      </c>
      <c r="AA156" s="228">
        <v>4.5</v>
      </c>
      <c r="AB156" s="228">
        <v>-2.7</v>
      </c>
      <c r="AC156" s="229">
        <v>1.1999999999999999E-3</v>
      </c>
      <c r="AD156" s="228">
        <v>1.8</v>
      </c>
      <c r="AE156" s="228">
        <v>4.5</v>
      </c>
      <c r="AF156" s="228">
        <v>-2.7</v>
      </c>
      <c r="AG156" s="229">
        <v>1.1999999999999999E-3</v>
      </c>
      <c r="AH156" s="228">
        <v>9.6</v>
      </c>
      <c r="AI156" s="228">
        <v>8.6999999999999993</v>
      </c>
      <c r="AJ156" s="228">
        <v>0.9</v>
      </c>
      <c r="AK156" s="229">
        <v>6.1999999999999998E-3</v>
      </c>
      <c r="AL156" s="228">
        <v>20.100000000000001</v>
      </c>
      <c r="AM156" s="228">
        <v>56</v>
      </c>
      <c r="AN156" s="228">
        <v>-35.9</v>
      </c>
      <c r="AO156" s="229">
        <v>1.29E-2</v>
      </c>
      <c r="AP156" s="231">
        <v>1566.31</v>
      </c>
      <c r="AQ156" s="231">
        <v>1572.56</v>
      </c>
      <c r="AR156" s="228">
        <v>0</v>
      </c>
      <c r="AS156" s="228">
        <v>97</v>
      </c>
      <c r="AT156" s="228">
        <v>52</v>
      </c>
      <c r="AU156" s="228">
        <v>45</v>
      </c>
      <c r="AV156" s="229">
        <v>0.84970000000000001</v>
      </c>
      <c r="AW156" s="228">
        <v>95</v>
      </c>
      <c r="AX156" s="228">
        <v>52</v>
      </c>
      <c r="AY156" s="228">
        <v>43</v>
      </c>
      <c r="AZ156" s="229">
        <v>0.82889999999999997</v>
      </c>
      <c r="BA156" s="228">
        <v>2</v>
      </c>
      <c r="BB156" s="228">
        <v>1</v>
      </c>
      <c r="BC156" s="228">
        <v>1</v>
      </c>
      <c r="BD156" s="229">
        <v>2.4544999999999999</v>
      </c>
      <c r="BE156" s="228">
        <v>0</v>
      </c>
      <c r="BF156" s="228">
        <v>0</v>
      </c>
      <c r="BG156" s="228">
        <v>0</v>
      </c>
      <c r="BH156" s="229">
        <v>0</v>
      </c>
      <c r="BI156" s="228">
        <v>128</v>
      </c>
      <c r="BJ156" s="228">
        <v>65</v>
      </c>
      <c r="BK156" s="228">
        <v>64</v>
      </c>
      <c r="BL156" s="229">
        <v>0.98480000000000001</v>
      </c>
      <c r="BM156" s="228">
        <v>22</v>
      </c>
      <c r="BN156" s="228">
        <v>26</v>
      </c>
      <c r="BO156" s="228">
        <v>-5</v>
      </c>
      <c r="BP156" s="229">
        <v>-0.18090000000000001</v>
      </c>
      <c r="BQ156" s="228">
        <v>247</v>
      </c>
      <c r="BR156" s="228">
        <v>143</v>
      </c>
      <c r="BS156" s="228">
        <v>103</v>
      </c>
      <c r="BT156" s="229">
        <v>0.72150000000000003</v>
      </c>
      <c r="BU156" s="230">
        <v>478009</v>
      </c>
      <c r="BV156" s="230">
        <v>265933</v>
      </c>
      <c r="BW156" s="230">
        <v>212076</v>
      </c>
      <c r="BX156" s="229">
        <v>0.79749999999999999</v>
      </c>
      <c r="BY156" s="228">
        <v>646</v>
      </c>
      <c r="BZ156" s="228">
        <v>644</v>
      </c>
      <c r="CA156" s="228">
        <v>3</v>
      </c>
      <c r="CB156" s="229">
        <v>4.3E-3</v>
      </c>
      <c r="CC156" s="228">
        <v>635</v>
      </c>
      <c r="CD156" s="228">
        <v>632</v>
      </c>
      <c r="CE156" s="228">
        <v>2</v>
      </c>
      <c r="CF156" s="229">
        <v>3.5999999999999999E-3</v>
      </c>
      <c r="CG156" s="228">
        <v>12</v>
      </c>
      <c r="CH156" s="228">
        <v>11</v>
      </c>
      <c r="CI156" s="228">
        <v>0</v>
      </c>
      <c r="CJ156" s="229">
        <v>4.4600000000000001E-2</v>
      </c>
      <c r="CK156" s="228">
        <v>0</v>
      </c>
      <c r="CL156" s="228">
        <v>0</v>
      </c>
      <c r="CM156" s="228">
        <v>0</v>
      </c>
      <c r="CN156" s="229">
        <v>0</v>
      </c>
      <c r="CO156" s="228">
        <v>180</v>
      </c>
      <c r="CP156" s="228">
        <v>177</v>
      </c>
      <c r="CQ156" s="228">
        <v>3</v>
      </c>
      <c r="CR156" s="229">
        <v>1.67E-2</v>
      </c>
      <c r="CS156" s="228">
        <v>107</v>
      </c>
      <c r="CT156" s="228">
        <v>107</v>
      </c>
      <c r="CU156" s="228">
        <v>0</v>
      </c>
      <c r="CV156" s="229">
        <v>-3.0999999999999999E-3</v>
      </c>
      <c r="CW156" s="228">
        <v>933</v>
      </c>
      <c r="CX156" s="228">
        <v>928</v>
      </c>
      <c r="CY156" s="228">
        <v>5</v>
      </c>
      <c r="CZ156" s="229">
        <v>5.7999999999999996E-3</v>
      </c>
      <c r="DA156" s="228">
        <v>29.87</v>
      </c>
      <c r="DB156" s="228">
        <v>31.69</v>
      </c>
      <c r="DC156" s="228">
        <v>-1.82</v>
      </c>
      <c r="DD156" s="228">
        <v>-1.82</v>
      </c>
      <c r="DE156" s="228">
        <v>38.369999999999997</v>
      </c>
      <c r="DF156" s="228">
        <v>38.44</v>
      </c>
      <c r="DG156" s="228">
        <v>-8.5</v>
      </c>
      <c r="DH156" s="228">
        <v>-7.0000000000000007E-2</v>
      </c>
      <c r="DI156" s="228">
        <v>29.88</v>
      </c>
      <c r="DJ156" s="228">
        <v>31.01</v>
      </c>
      <c r="DK156" s="228">
        <v>-1.1299999999999999</v>
      </c>
      <c r="DL156" s="228">
        <v>-1.1299999999999999</v>
      </c>
      <c r="DM156" s="228">
        <v>29.78</v>
      </c>
      <c r="DN156" s="228">
        <v>33.35</v>
      </c>
      <c r="DO156" s="228">
        <v>-3.57</v>
      </c>
      <c r="DP156" s="228">
        <v>-3.57</v>
      </c>
      <c r="DQ156" s="228">
        <v>0.59</v>
      </c>
      <c r="DR156" s="228">
        <v>0.61</v>
      </c>
      <c r="DS156" s="228">
        <v>-0.02</v>
      </c>
      <c r="DT156" s="229">
        <v>-3.2800000000000003E-2</v>
      </c>
      <c r="DU156" s="231">
        <v>1720</v>
      </c>
      <c r="DV156" s="231">
        <v>1600</v>
      </c>
      <c r="DW156" s="228">
        <v>0.17</v>
      </c>
      <c r="DX156" s="228">
        <v>0.41</v>
      </c>
      <c r="DY156" s="228">
        <v>-0.24</v>
      </c>
      <c r="DZ156" s="229">
        <v>-0.58540000000000003</v>
      </c>
      <c r="EA156" s="229">
        <v>1.7999999999999999E-2</v>
      </c>
      <c r="EB156" s="230">
        <v>71400</v>
      </c>
      <c r="EC156" s="229">
        <v>5.0000000000000001E-3</v>
      </c>
      <c r="ED156" s="229">
        <v>1.7999999999999999E-2</v>
      </c>
      <c r="EE156" s="228">
        <v>6.25</v>
      </c>
      <c r="EF156" s="229">
        <v>4.0000000000000001E-3</v>
      </c>
      <c r="EG156" s="230">
        <v>284017</v>
      </c>
      <c r="EH156" s="230">
        <v>141152</v>
      </c>
      <c r="EI156" s="229">
        <v>1.0121</v>
      </c>
      <c r="EJ156" s="229">
        <v>0.59419999999999995</v>
      </c>
      <c r="EK156" s="228">
        <v>138.81</v>
      </c>
      <c r="EL156" s="228">
        <v>21.67</v>
      </c>
      <c r="EM156" s="228">
        <v>97.15</v>
      </c>
      <c r="EN156" s="228">
        <v>22.19</v>
      </c>
      <c r="EO156" s="228">
        <v>257.63</v>
      </c>
      <c r="EP156" s="228">
        <v>150.16999999999999</v>
      </c>
      <c r="EQ156" s="228">
        <v>107.46</v>
      </c>
      <c r="ER156" s="229">
        <v>0.71560000000000001</v>
      </c>
      <c r="ES156" s="228">
        <v>196.34</v>
      </c>
      <c r="ET156" s="228">
        <v>111.41</v>
      </c>
      <c r="EU156" s="228">
        <v>646.41999999999996</v>
      </c>
      <c r="EV156" s="231">
        <v>19533471</v>
      </c>
      <c r="EW156" s="228">
        <v>954.18</v>
      </c>
      <c r="EX156" s="228">
        <v>957.76</v>
      </c>
      <c r="EY156" s="228">
        <v>-3.58</v>
      </c>
      <c r="EZ156" s="229">
        <v>-3.7000000000000002E-3</v>
      </c>
      <c r="FA156" s="229">
        <v>0.30590000000000001</v>
      </c>
      <c r="FB156" s="227" t="s">
        <v>567</v>
      </c>
      <c r="FC156">
        <f t="shared" si="3"/>
        <v>0</v>
      </c>
    </row>
    <row r="157" spans="1:159" ht="17.25" thickBot="1" x14ac:dyDescent="0.3">
      <c r="A157" s="226">
        <v>46093</v>
      </c>
      <c r="B157" s="227" t="s">
        <v>168</v>
      </c>
      <c r="C157" s="227" t="s">
        <v>274</v>
      </c>
      <c r="D157" s="228">
        <v>500</v>
      </c>
      <c r="E157" s="228">
        <v>18</v>
      </c>
      <c r="F157" s="231">
        <v>1387</v>
      </c>
      <c r="G157" s="231">
        <v>1401.4</v>
      </c>
      <c r="H157" s="228">
        <v>-14.4</v>
      </c>
      <c r="I157" s="229">
        <v>-1.03E-2</v>
      </c>
      <c r="J157" s="231">
        <v>1387.4</v>
      </c>
      <c r="K157" s="231">
        <v>1403.4</v>
      </c>
      <c r="L157" s="228">
        <v>-16</v>
      </c>
      <c r="M157" s="229">
        <v>-1.14E-2</v>
      </c>
      <c r="N157" s="231">
        <v>1387</v>
      </c>
      <c r="O157" s="231">
        <v>1401.4</v>
      </c>
      <c r="P157" s="228">
        <v>-14.4</v>
      </c>
      <c r="Q157" s="229">
        <v>-1.03E-2</v>
      </c>
      <c r="R157" s="231">
        <v>1395.3</v>
      </c>
      <c r="S157" s="231">
        <v>1409.3</v>
      </c>
      <c r="T157" s="228">
        <v>-14</v>
      </c>
      <c r="U157" s="229">
        <v>-9.9000000000000008E-3</v>
      </c>
      <c r="V157" s="231">
        <v>1409.7</v>
      </c>
      <c r="W157" s="231">
        <v>1427</v>
      </c>
      <c r="X157" s="228">
        <v>-17.3</v>
      </c>
      <c r="Y157" s="229">
        <v>-1.21E-2</v>
      </c>
      <c r="Z157" s="228">
        <v>-0.4</v>
      </c>
      <c r="AA157" s="228">
        <v>-2</v>
      </c>
      <c r="AB157" s="228">
        <v>1.6</v>
      </c>
      <c r="AC157" s="229">
        <v>-2.9999999999999997E-4</v>
      </c>
      <c r="AD157" s="228">
        <v>-0.4</v>
      </c>
      <c r="AE157" s="228">
        <v>-2</v>
      </c>
      <c r="AF157" s="228">
        <v>1.6</v>
      </c>
      <c r="AG157" s="229">
        <v>-2.9999999999999997E-4</v>
      </c>
      <c r="AH157" s="228">
        <v>7.9</v>
      </c>
      <c r="AI157" s="228">
        <v>5.9</v>
      </c>
      <c r="AJ157" s="228">
        <v>2</v>
      </c>
      <c r="AK157" s="229">
        <v>5.7000000000000002E-3</v>
      </c>
      <c r="AL157" s="228">
        <v>22.3</v>
      </c>
      <c r="AM157" s="228">
        <v>23.6</v>
      </c>
      <c r="AN157" s="228">
        <v>-1.3</v>
      </c>
      <c r="AO157" s="229">
        <v>1.61E-2</v>
      </c>
      <c r="AP157" s="231">
        <v>1386.65</v>
      </c>
      <c r="AQ157" s="231">
        <v>1394.58</v>
      </c>
      <c r="AR157" s="228">
        <v>0</v>
      </c>
      <c r="AS157" s="228">
        <v>87</v>
      </c>
      <c r="AT157" s="228">
        <v>84</v>
      </c>
      <c r="AU157" s="228">
        <v>3</v>
      </c>
      <c r="AV157" s="229">
        <v>3.6400000000000002E-2</v>
      </c>
      <c r="AW157" s="228">
        <v>83</v>
      </c>
      <c r="AX157" s="228">
        <v>81</v>
      </c>
      <c r="AY157" s="228">
        <v>2</v>
      </c>
      <c r="AZ157" s="229">
        <v>2.3099999999999999E-2</v>
      </c>
      <c r="BA157" s="228">
        <v>4</v>
      </c>
      <c r="BB157" s="228">
        <v>2</v>
      </c>
      <c r="BC157" s="228">
        <v>1</v>
      </c>
      <c r="BD157" s="229">
        <v>0.48570000000000002</v>
      </c>
      <c r="BE157" s="228">
        <v>0</v>
      </c>
      <c r="BF157" s="228">
        <v>0</v>
      </c>
      <c r="BG157" s="228">
        <v>0</v>
      </c>
      <c r="BH157" s="229">
        <v>0</v>
      </c>
      <c r="BI157" s="228">
        <v>110</v>
      </c>
      <c r="BJ157" s="228">
        <v>143</v>
      </c>
      <c r="BK157" s="228">
        <v>-33</v>
      </c>
      <c r="BL157" s="229">
        <v>-0.23119999999999999</v>
      </c>
      <c r="BM157" s="228">
        <v>98</v>
      </c>
      <c r="BN157" s="228">
        <v>107</v>
      </c>
      <c r="BO157" s="228">
        <v>-9</v>
      </c>
      <c r="BP157" s="229">
        <v>-8.7099999999999997E-2</v>
      </c>
      <c r="BQ157" s="228">
        <v>295</v>
      </c>
      <c r="BR157" s="228">
        <v>334</v>
      </c>
      <c r="BS157" s="228">
        <v>-39</v>
      </c>
      <c r="BT157" s="229">
        <v>-0.1177</v>
      </c>
      <c r="BU157" s="230">
        <v>866632</v>
      </c>
      <c r="BV157" s="230">
        <v>290718</v>
      </c>
      <c r="BW157" s="230">
        <v>575914</v>
      </c>
      <c r="BX157" s="229">
        <v>1.9810000000000001</v>
      </c>
      <c r="BY157" s="230">
        <v>1126</v>
      </c>
      <c r="BZ157" s="230">
        <v>1122</v>
      </c>
      <c r="CA157" s="228">
        <v>4</v>
      </c>
      <c r="CB157" s="229">
        <v>3.2000000000000002E-3</v>
      </c>
      <c r="CC157" s="230">
        <v>1115</v>
      </c>
      <c r="CD157" s="230">
        <v>1113</v>
      </c>
      <c r="CE157" s="228">
        <v>3</v>
      </c>
      <c r="CF157" s="229">
        <v>2.3999999999999998E-3</v>
      </c>
      <c r="CG157" s="228">
        <v>9</v>
      </c>
      <c r="CH157" s="228">
        <v>8</v>
      </c>
      <c r="CI157" s="228">
        <v>1</v>
      </c>
      <c r="CJ157" s="229">
        <v>0.1081</v>
      </c>
      <c r="CK157" s="228">
        <v>2</v>
      </c>
      <c r="CL157" s="228">
        <v>2</v>
      </c>
      <c r="CM157" s="228">
        <v>0</v>
      </c>
      <c r="CN157" s="229">
        <v>0.04</v>
      </c>
      <c r="CO157" s="228">
        <v>241</v>
      </c>
      <c r="CP157" s="228">
        <v>242</v>
      </c>
      <c r="CQ157" s="228">
        <v>-1</v>
      </c>
      <c r="CR157" s="229">
        <v>-3.3999999999999998E-3</v>
      </c>
      <c r="CS157" s="228">
        <v>141</v>
      </c>
      <c r="CT157" s="228">
        <v>138</v>
      </c>
      <c r="CU157" s="228">
        <v>3</v>
      </c>
      <c r="CV157" s="229">
        <v>1.8599999999999998E-2</v>
      </c>
      <c r="CW157" s="230">
        <v>1507</v>
      </c>
      <c r="CX157" s="230">
        <v>1502</v>
      </c>
      <c r="CY157" s="228">
        <v>5</v>
      </c>
      <c r="CZ157" s="229">
        <v>3.5999999999999999E-3</v>
      </c>
      <c r="DA157" s="228">
        <v>27.53</v>
      </c>
      <c r="DB157" s="228">
        <v>26.45</v>
      </c>
      <c r="DC157" s="228">
        <v>1.08</v>
      </c>
      <c r="DD157" s="228">
        <v>1.08</v>
      </c>
      <c r="DE157" s="228">
        <v>22.21</v>
      </c>
      <c r="DF157" s="228">
        <v>22.22</v>
      </c>
      <c r="DG157" s="228">
        <v>5.32</v>
      </c>
      <c r="DH157" s="228">
        <v>-0.01</v>
      </c>
      <c r="DI157" s="228">
        <v>26.52</v>
      </c>
      <c r="DJ157" s="228">
        <v>25.67</v>
      </c>
      <c r="DK157" s="228">
        <v>0.85</v>
      </c>
      <c r="DL157" s="228">
        <v>0.85</v>
      </c>
      <c r="DM157" s="228">
        <v>28.66</v>
      </c>
      <c r="DN157" s="228">
        <v>27.49</v>
      </c>
      <c r="DO157" s="228">
        <v>1.17</v>
      </c>
      <c r="DP157" s="228">
        <v>1.17</v>
      </c>
      <c r="DQ157" s="228">
        <v>0.57999999999999996</v>
      </c>
      <c r="DR157" s="228">
        <v>0.56999999999999995</v>
      </c>
      <c r="DS157" s="228">
        <v>0.01</v>
      </c>
      <c r="DT157" s="229">
        <v>1.7500000000000002E-2</v>
      </c>
      <c r="DU157" s="231">
        <v>1500</v>
      </c>
      <c r="DV157" s="231">
        <v>1400</v>
      </c>
      <c r="DW157" s="228">
        <v>0.89</v>
      </c>
      <c r="DX157" s="228">
        <v>0.75</v>
      </c>
      <c r="DY157" s="228">
        <v>0.14000000000000001</v>
      </c>
      <c r="DZ157" s="229">
        <v>0.1867</v>
      </c>
      <c r="EA157" s="229">
        <v>9.1999999999999998E-3</v>
      </c>
      <c r="EB157" s="230">
        <v>68000</v>
      </c>
      <c r="EC157" s="229">
        <v>6.0000000000000001E-3</v>
      </c>
      <c r="ED157" s="229">
        <v>9.1999999999999998E-3</v>
      </c>
      <c r="EE157" s="228">
        <v>7.93</v>
      </c>
      <c r="EF157" s="229">
        <v>5.7000000000000002E-3</v>
      </c>
      <c r="EG157" s="230">
        <v>676071</v>
      </c>
      <c r="EH157" s="230">
        <v>157800</v>
      </c>
      <c r="EI157" s="229">
        <v>3.2844000000000002</v>
      </c>
      <c r="EJ157" s="229">
        <v>0.78010000000000002</v>
      </c>
      <c r="EK157" s="228">
        <v>116.79</v>
      </c>
      <c r="EL157" s="228">
        <v>97.6</v>
      </c>
      <c r="EM157" s="228">
        <v>86.83</v>
      </c>
      <c r="EN157" s="228">
        <v>19.52</v>
      </c>
      <c r="EO157" s="228">
        <v>301.20999999999998</v>
      </c>
      <c r="EP157" s="228">
        <v>347.6</v>
      </c>
      <c r="EQ157" s="228">
        <v>-46.39</v>
      </c>
      <c r="ER157" s="229">
        <v>-0.13339999999999999</v>
      </c>
      <c r="ES157" s="228">
        <v>262.32</v>
      </c>
      <c r="ET157" s="228">
        <v>142.47999999999999</v>
      </c>
      <c r="EU157" s="231">
        <v>1125.77</v>
      </c>
      <c r="EV157" s="231">
        <v>31214205</v>
      </c>
      <c r="EW157" s="231">
        <v>1530.57</v>
      </c>
      <c r="EX157" s="231">
        <v>1537.71</v>
      </c>
      <c r="EY157" s="228">
        <v>-7.14</v>
      </c>
      <c r="EZ157" s="229">
        <v>-4.5999999999999999E-3</v>
      </c>
      <c r="FA157" s="229">
        <v>0.34820000000000001</v>
      </c>
      <c r="FB157" s="227" t="s">
        <v>567</v>
      </c>
      <c r="FC157">
        <f t="shared" si="3"/>
        <v>0</v>
      </c>
    </row>
    <row r="158" spans="1:159" ht="17.25" thickBot="1" x14ac:dyDescent="0.3">
      <c r="A158" s="226">
        <v>46093</v>
      </c>
      <c r="B158" s="227" t="s">
        <v>498</v>
      </c>
      <c r="C158" s="227" t="s">
        <v>483</v>
      </c>
      <c r="D158" s="228">
        <v>175</v>
      </c>
      <c r="E158" s="228">
        <v>18</v>
      </c>
      <c r="F158" s="231">
        <v>2958.8</v>
      </c>
      <c r="G158" s="231">
        <v>3009.8</v>
      </c>
      <c r="H158" s="228">
        <v>-51</v>
      </c>
      <c r="I158" s="229">
        <v>-1.6899999999999998E-2</v>
      </c>
      <c r="J158" s="231">
        <v>2952.4</v>
      </c>
      <c r="K158" s="231">
        <v>3012.3</v>
      </c>
      <c r="L158" s="228">
        <v>-59.9</v>
      </c>
      <c r="M158" s="229">
        <v>-1.9900000000000001E-2</v>
      </c>
      <c r="N158" s="231">
        <v>2958.8</v>
      </c>
      <c r="O158" s="231">
        <v>3009.8</v>
      </c>
      <c r="P158" s="228">
        <v>-51</v>
      </c>
      <c r="Q158" s="229">
        <v>-1.6899999999999998E-2</v>
      </c>
      <c r="R158" s="231">
        <v>2928.7</v>
      </c>
      <c r="S158" s="231">
        <v>2976.5</v>
      </c>
      <c r="T158" s="228">
        <v>-47.8</v>
      </c>
      <c r="U158" s="229">
        <v>-1.61E-2</v>
      </c>
      <c r="V158" s="231">
        <v>2917</v>
      </c>
      <c r="W158" s="231">
        <v>2975</v>
      </c>
      <c r="X158" s="228">
        <v>-58</v>
      </c>
      <c r="Y158" s="229">
        <v>-1.95E-2</v>
      </c>
      <c r="Z158" s="228">
        <v>6.4</v>
      </c>
      <c r="AA158" s="228">
        <v>-2.5</v>
      </c>
      <c r="AB158" s="228">
        <v>8.9</v>
      </c>
      <c r="AC158" s="229">
        <v>2.2000000000000001E-3</v>
      </c>
      <c r="AD158" s="228">
        <v>6.4</v>
      </c>
      <c r="AE158" s="228">
        <v>-2.5</v>
      </c>
      <c r="AF158" s="228">
        <v>8.9</v>
      </c>
      <c r="AG158" s="229">
        <v>2.2000000000000001E-3</v>
      </c>
      <c r="AH158" s="228">
        <v>-23.7</v>
      </c>
      <c r="AI158" s="228">
        <v>-35.799999999999997</v>
      </c>
      <c r="AJ158" s="228">
        <v>12.1</v>
      </c>
      <c r="AK158" s="229">
        <v>-8.0000000000000002E-3</v>
      </c>
      <c r="AL158" s="228">
        <v>-35.4</v>
      </c>
      <c r="AM158" s="228">
        <v>-37.299999999999997</v>
      </c>
      <c r="AN158" s="228">
        <v>1.9</v>
      </c>
      <c r="AO158" s="229">
        <v>-1.2E-2</v>
      </c>
      <c r="AP158" s="231">
        <v>2971.46</v>
      </c>
      <c r="AQ158" s="231">
        <v>2939.46</v>
      </c>
      <c r="AR158" s="228">
        <v>0</v>
      </c>
      <c r="AS158" s="228">
        <v>106</v>
      </c>
      <c r="AT158" s="228">
        <v>148</v>
      </c>
      <c r="AU158" s="228">
        <v>-42</v>
      </c>
      <c r="AV158" s="229">
        <v>-0.28060000000000002</v>
      </c>
      <c r="AW158" s="228">
        <v>96</v>
      </c>
      <c r="AX158" s="228">
        <v>137</v>
      </c>
      <c r="AY158" s="228">
        <v>-41</v>
      </c>
      <c r="AZ158" s="229">
        <v>-0.29820000000000002</v>
      </c>
      <c r="BA158" s="228">
        <v>9</v>
      </c>
      <c r="BB158" s="228">
        <v>10</v>
      </c>
      <c r="BC158" s="228">
        <v>-1</v>
      </c>
      <c r="BD158" s="229">
        <v>-0.10050000000000001</v>
      </c>
      <c r="BE158" s="228">
        <v>1</v>
      </c>
      <c r="BF158" s="228">
        <v>1</v>
      </c>
      <c r="BG158" s="228">
        <v>0</v>
      </c>
      <c r="BH158" s="229">
        <v>0.5</v>
      </c>
      <c r="BI158" s="228">
        <v>205</v>
      </c>
      <c r="BJ158" s="228">
        <v>150</v>
      </c>
      <c r="BK158" s="228">
        <v>55</v>
      </c>
      <c r="BL158" s="229">
        <v>0.36809999999999998</v>
      </c>
      <c r="BM158" s="228">
        <v>105</v>
      </c>
      <c r="BN158" s="228">
        <v>137</v>
      </c>
      <c r="BO158" s="228">
        <v>-32</v>
      </c>
      <c r="BP158" s="229">
        <v>-0.23350000000000001</v>
      </c>
      <c r="BQ158" s="228">
        <v>417</v>
      </c>
      <c r="BR158" s="228">
        <v>435</v>
      </c>
      <c r="BS158" s="228">
        <v>-18</v>
      </c>
      <c r="BT158" s="229">
        <v>-4.2099999999999999E-2</v>
      </c>
      <c r="BU158" s="230">
        <v>199733</v>
      </c>
      <c r="BV158" s="230">
        <v>147757</v>
      </c>
      <c r="BW158" s="230">
        <v>51976</v>
      </c>
      <c r="BX158" s="229">
        <v>0.3518</v>
      </c>
      <c r="BY158" s="230">
        <v>1012</v>
      </c>
      <c r="BZ158" s="230">
        <v>1022</v>
      </c>
      <c r="CA158" s="228">
        <v>-10</v>
      </c>
      <c r="CB158" s="229">
        <v>-9.4000000000000004E-3</v>
      </c>
      <c r="CC158" s="228">
        <v>938</v>
      </c>
      <c r="CD158" s="228">
        <v>952</v>
      </c>
      <c r="CE158" s="228">
        <v>-14</v>
      </c>
      <c r="CF158" s="229">
        <v>-1.52E-2</v>
      </c>
      <c r="CG158" s="228">
        <v>72</v>
      </c>
      <c r="CH158" s="228">
        <v>68</v>
      </c>
      <c r="CI158" s="228">
        <v>4</v>
      </c>
      <c r="CJ158" s="229">
        <v>6.25E-2</v>
      </c>
      <c r="CK158" s="228">
        <v>2</v>
      </c>
      <c r="CL158" s="228">
        <v>2</v>
      </c>
      <c r="CM158" s="228">
        <v>1</v>
      </c>
      <c r="CN158" s="229">
        <v>0.37140000000000001</v>
      </c>
      <c r="CO158" s="228">
        <v>222</v>
      </c>
      <c r="CP158" s="228">
        <v>204</v>
      </c>
      <c r="CQ158" s="228">
        <v>18</v>
      </c>
      <c r="CR158" s="229">
        <v>8.7400000000000005E-2</v>
      </c>
      <c r="CS158" s="228">
        <v>130</v>
      </c>
      <c r="CT158" s="228">
        <v>128</v>
      </c>
      <c r="CU158" s="228">
        <v>2</v>
      </c>
      <c r="CV158" s="229">
        <v>1.7000000000000001E-2</v>
      </c>
      <c r="CW158" s="230">
        <v>1364</v>
      </c>
      <c r="CX158" s="230">
        <v>1354</v>
      </c>
      <c r="CY158" s="228">
        <v>10</v>
      </c>
      <c r="CZ158" s="229">
        <v>7.7000000000000002E-3</v>
      </c>
      <c r="DA158" s="228">
        <v>31.1</v>
      </c>
      <c r="DB158" s="228">
        <v>31.02</v>
      </c>
      <c r="DC158" s="228">
        <v>0.08</v>
      </c>
      <c r="DD158" s="228">
        <v>0.08</v>
      </c>
      <c r="DE158" s="228">
        <v>29.32</v>
      </c>
      <c r="DF158" s="228">
        <v>29.31</v>
      </c>
      <c r="DG158" s="228">
        <v>1.78</v>
      </c>
      <c r="DH158" s="228">
        <v>0.01</v>
      </c>
      <c r="DI158" s="228">
        <v>30.62</v>
      </c>
      <c r="DJ158" s="228">
        <v>30.16</v>
      </c>
      <c r="DK158" s="228">
        <v>0.46</v>
      </c>
      <c r="DL158" s="228">
        <v>0.46</v>
      </c>
      <c r="DM158" s="228">
        <v>32.04</v>
      </c>
      <c r="DN158" s="228">
        <v>31.95</v>
      </c>
      <c r="DO158" s="228">
        <v>0.09</v>
      </c>
      <c r="DP158" s="228">
        <v>0.09</v>
      </c>
      <c r="DQ158" s="228">
        <v>0.59</v>
      </c>
      <c r="DR158" s="228">
        <v>0.63</v>
      </c>
      <c r="DS158" s="228">
        <v>-0.04</v>
      </c>
      <c r="DT158" s="229">
        <v>-6.3500000000000001E-2</v>
      </c>
      <c r="DU158" s="231">
        <v>3100</v>
      </c>
      <c r="DV158" s="231">
        <v>2800</v>
      </c>
      <c r="DW158" s="228">
        <v>0.51</v>
      </c>
      <c r="DX158" s="228">
        <v>0.91</v>
      </c>
      <c r="DY158" s="228">
        <v>-0.4</v>
      </c>
      <c r="DZ158" s="229">
        <v>-0.43959999999999999</v>
      </c>
      <c r="EA158" s="229">
        <v>7.3700000000000002E-2</v>
      </c>
      <c r="EB158" s="230">
        <v>235725</v>
      </c>
      <c r="EC158" s="229">
        <v>-1.0200000000000001E-2</v>
      </c>
      <c r="ED158" s="229">
        <v>7.3700000000000002E-2</v>
      </c>
      <c r="EE158" s="228">
        <v>-32</v>
      </c>
      <c r="EF158" s="229">
        <v>-1.0800000000000001E-2</v>
      </c>
      <c r="EG158" s="230">
        <v>113492</v>
      </c>
      <c r="EH158" s="230">
        <v>54573</v>
      </c>
      <c r="EI158" s="229">
        <v>1.0795999999999999</v>
      </c>
      <c r="EJ158" s="229">
        <v>0.56820000000000004</v>
      </c>
      <c r="EK158" s="228">
        <v>219.02</v>
      </c>
      <c r="EL158" s="228">
        <v>104.87</v>
      </c>
      <c r="EM158" s="228">
        <v>106.8</v>
      </c>
      <c r="EN158" s="228">
        <v>23.62</v>
      </c>
      <c r="EO158" s="228">
        <v>430.68</v>
      </c>
      <c r="EP158" s="228">
        <v>455.81</v>
      </c>
      <c r="EQ158" s="228">
        <v>-25.13</v>
      </c>
      <c r="ER158" s="229">
        <v>-5.5100000000000003E-2</v>
      </c>
      <c r="ES158" s="228">
        <v>238.37</v>
      </c>
      <c r="ET158" s="228">
        <v>131.41999999999999</v>
      </c>
      <c r="EU158" s="231">
        <v>1011.67</v>
      </c>
      <c r="EV158" s="231">
        <v>10712372</v>
      </c>
      <c r="EW158" s="231">
        <v>1381.46</v>
      </c>
      <c r="EX158" s="231">
        <v>1389.99</v>
      </c>
      <c r="EY158" s="228">
        <v>-8.5299999999999994</v>
      </c>
      <c r="EZ158" s="229">
        <v>-6.1000000000000004E-3</v>
      </c>
      <c r="FA158" s="229">
        <v>0.4304</v>
      </c>
      <c r="FB158" s="227" t="s">
        <v>568</v>
      </c>
      <c r="FC158">
        <f t="shared" si="3"/>
        <v>0</v>
      </c>
    </row>
    <row r="159" spans="1:159" ht="17.25" thickBot="1" x14ac:dyDescent="0.3">
      <c r="A159" s="226">
        <v>46093</v>
      </c>
      <c r="B159" s="227" t="s">
        <v>172</v>
      </c>
      <c r="C159" s="227" t="s">
        <v>275</v>
      </c>
      <c r="D159" s="228">
        <v>8000</v>
      </c>
      <c r="E159" s="228">
        <v>18</v>
      </c>
      <c r="F159" s="228">
        <v>116.96</v>
      </c>
      <c r="G159" s="228">
        <v>116.01</v>
      </c>
      <c r="H159" s="228">
        <v>0.95</v>
      </c>
      <c r="I159" s="229">
        <v>8.2000000000000007E-3</v>
      </c>
      <c r="J159" s="228">
        <v>116.61</v>
      </c>
      <c r="K159" s="228">
        <v>115.84</v>
      </c>
      <c r="L159" s="228">
        <v>0.77</v>
      </c>
      <c r="M159" s="229">
        <v>6.6E-3</v>
      </c>
      <c r="N159" s="228">
        <v>116.96</v>
      </c>
      <c r="O159" s="228">
        <v>116.01</v>
      </c>
      <c r="P159" s="228">
        <v>0.95</v>
      </c>
      <c r="Q159" s="229">
        <v>8.2000000000000007E-3</v>
      </c>
      <c r="R159" s="228">
        <v>117.73</v>
      </c>
      <c r="S159" s="228">
        <v>116.73</v>
      </c>
      <c r="T159" s="228">
        <v>1</v>
      </c>
      <c r="U159" s="229">
        <v>8.6E-3</v>
      </c>
      <c r="V159" s="228">
        <v>118.3</v>
      </c>
      <c r="W159" s="228">
        <v>117.45</v>
      </c>
      <c r="X159" s="228">
        <v>0.85</v>
      </c>
      <c r="Y159" s="229">
        <v>7.1999999999999998E-3</v>
      </c>
      <c r="Z159" s="228">
        <v>0.35</v>
      </c>
      <c r="AA159" s="228">
        <v>0.17</v>
      </c>
      <c r="AB159" s="228">
        <v>0.18</v>
      </c>
      <c r="AC159" s="229">
        <v>3.0000000000000001E-3</v>
      </c>
      <c r="AD159" s="228">
        <v>0.35</v>
      </c>
      <c r="AE159" s="228">
        <v>0.17</v>
      </c>
      <c r="AF159" s="228">
        <v>0.18</v>
      </c>
      <c r="AG159" s="229">
        <v>3.0000000000000001E-3</v>
      </c>
      <c r="AH159" s="228">
        <v>1.1200000000000001</v>
      </c>
      <c r="AI159" s="228">
        <v>0.89</v>
      </c>
      <c r="AJ159" s="228">
        <v>0.23</v>
      </c>
      <c r="AK159" s="229">
        <v>9.5999999999999992E-3</v>
      </c>
      <c r="AL159" s="228">
        <v>1.69</v>
      </c>
      <c r="AM159" s="228">
        <v>1.61</v>
      </c>
      <c r="AN159" s="228">
        <v>0.08</v>
      </c>
      <c r="AO159" s="229">
        <v>1.4500000000000001E-2</v>
      </c>
      <c r="AP159" s="228">
        <v>116.41</v>
      </c>
      <c r="AQ159" s="228">
        <v>117.17</v>
      </c>
      <c r="AR159" s="228">
        <v>0</v>
      </c>
      <c r="AS159" s="228">
        <v>546</v>
      </c>
      <c r="AT159" s="228">
        <v>405</v>
      </c>
      <c r="AU159" s="228">
        <v>141</v>
      </c>
      <c r="AV159" s="229">
        <v>0.3478</v>
      </c>
      <c r="AW159" s="228">
        <v>479</v>
      </c>
      <c r="AX159" s="228">
        <v>348</v>
      </c>
      <c r="AY159" s="228">
        <v>131</v>
      </c>
      <c r="AZ159" s="229">
        <v>0.377</v>
      </c>
      <c r="BA159" s="228">
        <v>62</v>
      </c>
      <c r="BB159" s="228">
        <v>52</v>
      </c>
      <c r="BC159" s="228">
        <v>10</v>
      </c>
      <c r="BD159" s="229">
        <v>0.18279999999999999</v>
      </c>
      <c r="BE159" s="228">
        <v>6</v>
      </c>
      <c r="BF159" s="228">
        <v>6</v>
      </c>
      <c r="BG159" s="228">
        <v>0</v>
      </c>
      <c r="BH159" s="229">
        <v>6.7799999999999999E-2</v>
      </c>
      <c r="BI159" s="228">
        <v>898</v>
      </c>
      <c r="BJ159" s="228">
        <v>741</v>
      </c>
      <c r="BK159" s="228">
        <v>157</v>
      </c>
      <c r="BL159" s="229">
        <v>0.21190000000000001</v>
      </c>
      <c r="BM159" s="228">
        <v>559</v>
      </c>
      <c r="BN159" s="228">
        <v>514</v>
      </c>
      <c r="BO159" s="228">
        <v>45</v>
      </c>
      <c r="BP159" s="229">
        <v>8.6999999999999994E-2</v>
      </c>
      <c r="BQ159" s="230">
        <v>2003</v>
      </c>
      <c r="BR159" s="230">
        <v>1661</v>
      </c>
      <c r="BS159" s="228">
        <v>343</v>
      </c>
      <c r="BT159" s="229">
        <v>0.2064</v>
      </c>
      <c r="BU159" s="230">
        <v>13879582</v>
      </c>
      <c r="BV159" s="230">
        <v>15133356</v>
      </c>
      <c r="BW159" s="230">
        <v>-1253774</v>
      </c>
      <c r="BX159" s="229">
        <v>-8.2799999999999999E-2</v>
      </c>
      <c r="BY159" s="230">
        <v>3118</v>
      </c>
      <c r="BZ159" s="230">
        <v>3122</v>
      </c>
      <c r="CA159" s="228">
        <v>-4</v>
      </c>
      <c r="CB159" s="229">
        <v>-1.2999999999999999E-3</v>
      </c>
      <c r="CC159" s="230">
        <v>2843</v>
      </c>
      <c r="CD159" s="230">
        <v>2859</v>
      </c>
      <c r="CE159" s="228">
        <v>-17</v>
      </c>
      <c r="CF159" s="229">
        <v>-5.7999999999999996E-3</v>
      </c>
      <c r="CG159" s="228">
        <v>216</v>
      </c>
      <c r="CH159" s="228">
        <v>203</v>
      </c>
      <c r="CI159" s="228">
        <v>13</v>
      </c>
      <c r="CJ159" s="229">
        <v>6.2600000000000003E-2</v>
      </c>
      <c r="CK159" s="228">
        <v>59</v>
      </c>
      <c r="CL159" s="228">
        <v>59</v>
      </c>
      <c r="CM159" s="228">
        <v>0</v>
      </c>
      <c r="CN159" s="229">
        <v>-4.7999999999999996E-3</v>
      </c>
      <c r="CO159" s="230">
        <v>1465</v>
      </c>
      <c r="CP159" s="230">
        <v>1516</v>
      </c>
      <c r="CQ159" s="228">
        <v>-51</v>
      </c>
      <c r="CR159" s="229">
        <v>-3.3599999999999998E-2</v>
      </c>
      <c r="CS159" s="230">
        <v>1010</v>
      </c>
      <c r="CT159" s="228">
        <v>992</v>
      </c>
      <c r="CU159" s="228">
        <v>17</v>
      </c>
      <c r="CV159" s="229">
        <v>1.7500000000000002E-2</v>
      </c>
      <c r="CW159" s="230">
        <v>5593</v>
      </c>
      <c r="CX159" s="230">
        <v>5630</v>
      </c>
      <c r="CY159" s="228">
        <v>-38</v>
      </c>
      <c r="CZ159" s="229">
        <v>-6.7000000000000002E-3</v>
      </c>
      <c r="DA159" s="228">
        <v>38.450000000000003</v>
      </c>
      <c r="DB159" s="228">
        <v>38.340000000000003</v>
      </c>
      <c r="DC159" s="228">
        <v>0.11</v>
      </c>
      <c r="DD159" s="228">
        <v>0.11</v>
      </c>
      <c r="DE159" s="228">
        <v>35.380000000000003</v>
      </c>
      <c r="DF159" s="228">
        <v>35.450000000000003</v>
      </c>
      <c r="DG159" s="228">
        <v>3.07</v>
      </c>
      <c r="DH159" s="228">
        <v>-7.0000000000000007E-2</v>
      </c>
      <c r="DI159" s="228">
        <v>37.24</v>
      </c>
      <c r="DJ159" s="228">
        <v>38</v>
      </c>
      <c r="DK159" s="228">
        <v>-0.76</v>
      </c>
      <c r="DL159" s="228">
        <v>-0.76</v>
      </c>
      <c r="DM159" s="228">
        <v>40.409999999999997</v>
      </c>
      <c r="DN159" s="228">
        <v>38.83</v>
      </c>
      <c r="DO159" s="228">
        <v>1.58</v>
      </c>
      <c r="DP159" s="228">
        <v>1.58</v>
      </c>
      <c r="DQ159" s="228">
        <v>0.69</v>
      </c>
      <c r="DR159" s="228">
        <v>0.65</v>
      </c>
      <c r="DS159" s="228">
        <v>0.04</v>
      </c>
      <c r="DT159" s="229">
        <v>6.1499999999999999E-2</v>
      </c>
      <c r="DU159" s="228">
        <v>130</v>
      </c>
      <c r="DV159" s="228">
        <v>120</v>
      </c>
      <c r="DW159" s="228">
        <v>0.62</v>
      </c>
      <c r="DX159" s="228">
        <v>0.69</v>
      </c>
      <c r="DY159" s="228">
        <v>-7.0000000000000007E-2</v>
      </c>
      <c r="DZ159" s="229">
        <v>-0.1014</v>
      </c>
      <c r="EA159" s="229">
        <v>8.8099999999999998E-2</v>
      </c>
      <c r="EB159" s="230">
        <v>22432000</v>
      </c>
      <c r="EC159" s="229">
        <v>6.6E-3</v>
      </c>
      <c r="ED159" s="229">
        <v>8.8099999999999998E-2</v>
      </c>
      <c r="EE159" s="228">
        <v>0.76</v>
      </c>
      <c r="EF159" s="229">
        <v>6.4999999999999997E-3</v>
      </c>
      <c r="EG159" s="230">
        <v>3974518</v>
      </c>
      <c r="EH159" s="230">
        <v>6468536</v>
      </c>
      <c r="EI159" s="229">
        <v>-0.3856</v>
      </c>
      <c r="EJ159" s="229">
        <v>0.28639999999999999</v>
      </c>
      <c r="EK159" s="228">
        <v>967.93</v>
      </c>
      <c r="EL159" s="228">
        <v>548.95000000000005</v>
      </c>
      <c r="EM159" s="228">
        <v>544.36</v>
      </c>
      <c r="EN159" s="228">
        <v>69.22</v>
      </c>
      <c r="EO159" s="231">
        <v>2061.2399999999998</v>
      </c>
      <c r="EP159" s="231">
        <v>1720.68</v>
      </c>
      <c r="EQ159" s="228">
        <v>340.56</v>
      </c>
      <c r="ER159" s="229">
        <v>0.19789999999999999</v>
      </c>
      <c r="ES159" s="231">
        <v>1615.47</v>
      </c>
      <c r="ET159" s="231">
        <v>1028.9000000000001</v>
      </c>
      <c r="EU159" s="231">
        <v>3119.78</v>
      </c>
      <c r="EV159" s="231">
        <v>515822637</v>
      </c>
      <c r="EW159" s="231">
        <v>5764.15</v>
      </c>
      <c r="EX159" s="231">
        <v>5788.65</v>
      </c>
      <c r="EY159" s="228">
        <v>-24.5</v>
      </c>
      <c r="EZ159" s="229">
        <v>-4.1999999999999997E-3</v>
      </c>
      <c r="FA159" s="229">
        <v>0.92700000000000005</v>
      </c>
      <c r="FB159" s="227" t="s">
        <v>556</v>
      </c>
      <c r="FC159">
        <f t="shared" si="3"/>
        <v>0</v>
      </c>
    </row>
    <row r="160" spans="1:159" ht="17.25" thickBot="1" x14ac:dyDescent="0.3">
      <c r="A160" s="226">
        <v>46093</v>
      </c>
      <c r="B160" s="227" t="s">
        <v>175</v>
      </c>
      <c r="C160" s="227" t="s">
        <v>669</v>
      </c>
      <c r="D160" s="228">
        <v>650</v>
      </c>
      <c r="E160" s="228">
        <v>18</v>
      </c>
      <c r="F160" s="228">
        <v>781.2</v>
      </c>
      <c r="G160" s="228">
        <v>777.35</v>
      </c>
      <c r="H160" s="228">
        <v>3.85</v>
      </c>
      <c r="I160" s="229">
        <v>5.0000000000000001E-3</v>
      </c>
      <c r="J160" s="228">
        <v>780.15</v>
      </c>
      <c r="K160" s="228">
        <v>776.5</v>
      </c>
      <c r="L160" s="228">
        <v>3.65</v>
      </c>
      <c r="M160" s="229">
        <v>4.7000000000000002E-3</v>
      </c>
      <c r="N160" s="228">
        <v>781.2</v>
      </c>
      <c r="O160" s="228">
        <v>777.35</v>
      </c>
      <c r="P160" s="228">
        <v>3.85</v>
      </c>
      <c r="Q160" s="229">
        <v>5.0000000000000001E-3</v>
      </c>
      <c r="R160" s="228">
        <v>786.25</v>
      </c>
      <c r="S160" s="228">
        <v>783.5</v>
      </c>
      <c r="T160" s="228">
        <v>2.75</v>
      </c>
      <c r="U160" s="229">
        <v>3.5000000000000001E-3</v>
      </c>
      <c r="V160" s="228">
        <v>791.85</v>
      </c>
      <c r="W160" s="228">
        <v>786</v>
      </c>
      <c r="X160" s="228">
        <v>5.85</v>
      </c>
      <c r="Y160" s="229">
        <v>7.4000000000000003E-3</v>
      </c>
      <c r="Z160" s="228">
        <v>1.05</v>
      </c>
      <c r="AA160" s="228">
        <v>0.85</v>
      </c>
      <c r="AB160" s="228">
        <v>0.2</v>
      </c>
      <c r="AC160" s="229">
        <v>1.2999999999999999E-3</v>
      </c>
      <c r="AD160" s="228">
        <v>1.05</v>
      </c>
      <c r="AE160" s="228">
        <v>0.85</v>
      </c>
      <c r="AF160" s="228">
        <v>0.2</v>
      </c>
      <c r="AG160" s="229">
        <v>1.2999999999999999E-3</v>
      </c>
      <c r="AH160" s="228">
        <v>6.1</v>
      </c>
      <c r="AI160" s="228">
        <v>7</v>
      </c>
      <c r="AJ160" s="228">
        <v>-0.9</v>
      </c>
      <c r="AK160" s="229">
        <v>7.7999999999999996E-3</v>
      </c>
      <c r="AL160" s="228">
        <v>11.7</v>
      </c>
      <c r="AM160" s="228">
        <v>9.5</v>
      </c>
      <c r="AN160" s="228">
        <v>2.2000000000000002</v>
      </c>
      <c r="AO160" s="229">
        <v>1.4999999999999999E-2</v>
      </c>
      <c r="AP160" s="228">
        <v>773.53</v>
      </c>
      <c r="AQ160" s="228">
        <v>778.02</v>
      </c>
      <c r="AR160" s="228">
        <v>0</v>
      </c>
      <c r="AS160" s="228">
        <v>148</v>
      </c>
      <c r="AT160" s="228">
        <v>160</v>
      </c>
      <c r="AU160" s="228">
        <v>-12</v>
      </c>
      <c r="AV160" s="229">
        <v>-7.46E-2</v>
      </c>
      <c r="AW160" s="228">
        <v>140</v>
      </c>
      <c r="AX160" s="228">
        <v>151</v>
      </c>
      <c r="AY160" s="228">
        <v>-11</v>
      </c>
      <c r="AZ160" s="229">
        <v>-7.3300000000000004E-2</v>
      </c>
      <c r="BA160" s="228">
        <v>7</v>
      </c>
      <c r="BB160" s="228">
        <v>8</v>
      </c>
      <c r="BC160" s="228">
        <v>-1</v>
      </c>
      <c r="BD160" s="229">
        <v>-7.5899999999999995E-2</v>
      </c>
      <c r="BE160" s="228">
        <v>1</v>
      </c>
      <c r="BF160" s="228">
        <v>1</v>
      </c>
      <c r="BG160" s="228">
        <v>0</v>
      </c>
      <c r="BH160" s="229">
        <v>-0.29409999999999997</v>
      </c>
      <c r="BI160" s="228">
        <v>197</v>
      </c>
      <c r="BJ160" s="228">
        <v>330</v>
      </c>
      <c r="BK160" s="228">
        <v>-133</v>
      </c>
      <c r="BL160" s="229">
        <v>-0.4037</v>
      </c>
      <c r="BM160" s="228">
        <v>261</v>
      </c>
      <c r="BN160" s="228">
        <v>255</v>
      </c>
      <c r="BO160" s="228">
        <v>6</v>
      </c>
      <c r="BP160" s="229">
        <v>2.4500000000000001E-2</v>
      </c>
      <c r="BQ160" s="228">
        <v>606</v>
      </c>
      <c r="BR160" s="228">
        <v>745</v>
      </c>
      <c r="BS160" s="228">
        <v>-139</v>
      </c>
      <c r="BT160" s="229">
        <v>-0.1865</v>
      </c>
      <c r="BU160" s="230">
        <v>1043717</v>
      </c>
      <c r="BV160" s="230">
        <v>928142</v>
      </c>
      <c r="BW160" s="230">
        <v>115575</v>
      </c>
      <c r="BX160" s="229">
        <v>0.1245</v>
      </c>
      <c r="BY160" s="230">
        <v>1058</v>
      </c>
      <c r="BZ160" s="230">
        <v>1071</v>
      </c>
      <c r="CA160" s="228">
        <v>-13</v>
      </c>
      <c r="CB160" s="229">
        <v>-1.2200000000000001E-2</v>
      </c>
      <c r="CC160" s="230">
        <v>1021</v>
      </c>
      <c r="CD160" s="230">
        <v>1035</v>
      </c>
      <c r="CE160" s="228">
        <v>-14</v>
      </c>
      <c r="CF160" s="229">
        <v>-1.34E-2</v>
      </c>
      <c r="CG160" s="228">
        <v>35</v>
      </c>
      <c r="CH160" s="228">
        <v>34</v>
      </c>
      <c r="CI160" s="228">
        <v>1</v>
      </c>
      <c r="CJ160" s="229">
        <v>2.2499999999999999E-2</v>
      </c>
      <c r="CK160" s="228">
        <v>3</v>
      </c>
      <c r="CL160" s="228">
        <v>2</v>
      </c>
      <c r="CM160" s="228">
        <v>0</v>
      </c>
      <c r="CN160" s="229">
        <v>4.0800000000000003E-2</v>
      </c>
      <c r="CO160" s="228">
        <v>210</v>
      </c>
      <c r="CP160" s="228">
        <v>202</v>
      </c>
      <c r="CQ160" s="228">
        <v>8</v>
      </c>
      <c r="CR160" s="229">
        <v>4.0300000000000002E-2</v>
      </c>
      <c r="CS160" s="228">
        <v>178</v>
      </c>
      <c r="CT160" s="228">
        <v>169</v>
      </c>
      <c r="CU160" s="228">
        <v>9</v>
      </c>
      <c r="CV160" s="229">
        <v>5.2299999999999999E-2</v>
      </c>
      <c r="CW160" s="230">
        <v>1446</v>
      </c>
      <c r="CX160" s="230">
        <v>1442</v>
      </c>
      <c r="CY160" s="228">
        <v>4</v>
      </c>
      <c r="CZ160" s="229">
        <v>2.7000000000000001E-3</v>
      </c>
      <c r="DA160" s="228">
        <v>36.24</v>
      </c>
      <c r="DB160" s="228">
        <v>34.33</v>
      </c>
      <c r="DC160" s="228">
        <v>1.91</v>
      </c>
      <c r="DD160" s="228">
        <v>1.91</v>
      </c>
      <c r="DE160" s="228">
        <v>45.43</v>
      </c>
      <c r="DF160" s="228">
        <v>45.54</v>
      </c>
      <c r="DG160" s="228">
        <v>-9.19</v>
      </c>
      <c r="DH160" s="228">
        <v>-0.11</v>
      </c>
      <c r="DI160" s="228">
        <v>33.130000000000003</v>
      </c>
      <c r="DJ160" s="228">
        <v>32.51</v>
      </c>
      <c r="DK160" s="228">
        <v>0.62</v>
      </c>
      <c r="DL160" s="228">
        <v>0.62</v>
      </c>
      <c r="DM160" s="228">
        <v>38.58</v>
      </c>
      <c r="DN160" s="228">
        <v>36.700000000000003</v>
      </c>
      <c r="DO160" s="228">
        <v>1.88</v>
      </c>
      <c r="DP160" s="228">
        <v>1.88</v>
      </c>
      <c r="DQ160" s="228">
        <v>0.85</v>
      </c>
      <c r="DR160" s="228">
        <v>0.84</v>
      </c>
      <c r="DS160" s="228">
        <v>0.01</v>
      </c>
      <c r="DT160" s="229">
        <v>1.1900000000000001E-2</v>
      </c>
      <c r="DU160" s="228">
        <v>900</v>
      </c>
      <c r="DV160" s="228">
        <v>800</v>
      </c>
      <c r="DW160" s="228">
        <v>1.33</v>
      </c>
      <c r="DX160" s="228">
        <v>0.77</v>
      </c>
      <c r="DY160" s="228">
        <v>0.56000000000000005</v>
      </c>
      <c r="DZ160" s="229">
        <v>0.72729999999999995</v>
      </c>
      <c r="EA160" s="229">
        <v>3.5099999999999999E-2</v>
      </c>
      <c r="EB160" s="230">
        <v>464750</v>
      </c>
      <c r="EC160" s="229">
        <v>6.4999999999999997E-3</v>
      </c>
      <c r="ED160" s="229">
        <v>3.5099999999999999E-2</v>
      </c>
      <c r="EE160" s="228">
        <v>4.49</v>
      </c>
      <c r="EF160" s="229">
        <v>5.7999999999999996E-3</v>
      </c>
      <c r="EG160" s="230">
        <v>391839</v>
      </c>
      <c r="EH160" s="230">
        <v>346861</v>
      </c>
      <c r="EI160" s="229">
        <v>0.12970000000000001</v>
      </c>
      <c r="EJ160" s="229">
        <v>0.37540000000000001</v>
      </c>
      <c r="EK160" s="228">
        <v>211.87</v>
      </c>
      <c r="EL160" s="228">
        <v>257.08999999999997</v>
      </c>
      <c r="EM160" s="228">
        <v>146.66</v>
      </c>
      <c r="EN160" s="228">
        <v>32.94</v>
      </c>
      <c r="EO160" s="228">
        <v>615.62</v>
      </c>
      <c r="EP160" s="228">
        <v>764.21</v>
      </c>
      <c r="EQ160" s="228">
        <v>-148.59</v>
      </c>
      <c r="ER160" s="229">
        <v>-0.19439999999999999</v>
      </c>
      <c r="ES160" s="228">
        <v>227.04</v>
      </c>
      <c r="ET160" s="228">
        <v>175.81</v>
      </c>
      <c r="EU160" s="231">
        <v>1058.02</v>
      </c>
      <c r="EV160" s="231">
        <v>28118603</v>
      </c>
      <c r="EW160" s="231">
        <v>1460.87</v>
      </c>
      <c r="EX160" s="231">
        <v>1451.84</v>
      </c>
      <c r="EY160" s="228">
        <v>9.0299999999999994</v>
      </c>
      <c r="EZ160" s="229">
        <v>6.1999999999999998E-3</v>
      </c>
      <c r="FA160" s="229">
        <v>0.65810000000000002</v>
      </c>
      <c r="FB160" s="227" t="s">
        <v>556</v>
      </c>
      <c r="FC160">
        <f t="shared" si="3"/>
        <v>0</v>
      </c>
    </row>
    <row r="161" spans="1:159" ht="17.25" thickBot="1" x14ac:dyDescent="0.3">
      <c r="A161" s="226">
        <v>46093</v>
      </c>
      <c r="B161" s="227" t="s">
        <v>615</v>
      </c>
      <c r="C161" s="227" t="s">
        <v>573</v>
      </c>
      <c r="D161" s="228">
        <v>350</v>
      </c>
      <c r="E161" s="228">
        <v>18</v>
      </c>
      <c r="F161" s="231">
        <v>1463.9</v>
      </c>
      <c r="G161" s="231">
        <v>1465.8</v>
      </c>
      <c r="H161" s="228">
        <v>-1.9</v>
      </c>
      <c r="I161" s="229">
        <v>-1.2999999999999999E-3</v>
      </c>
      <c r="J161" s="231">
        <v>1462.7</v>
      </c>
      <c r="K161" s="231">
        <v>1463.2</v>
      </c>
      <c r="L161" s="228">
        <v>-0.5</v>
      </c>
      <c r="M161" s="229">
        <v>-2.9999999999999997E-4</v>
      </c>
      <c r="N161" s="231">
        <v>1463.9</v>
      </c>
      <c r="O161" s="231">
        <v>1465.8</v>
      </c>
      <c r="P161" s="228">
        <v>-1.9</v>
      </c>
      <c r="Q161" s="229">
        <v>-1.2999999999999999E-3</v>
      </c>
      <c r="R161" s="231">
        <v>1471.7</v>
      </c>
      <c r="S161" s="231">
        <v>1474.8</v>
      </c>
      <c r="T161" s="228">
        <v>-3.1</v>
      </c>
      <c r="U161" s="229">
        <v>-2.0999999999999999E-3</v>
      </c>
      <c r="V161" s="231">
        <v>1474.8</v>
      </c>
      <c r="W161" s="231">
        <v>1482.7</v>
      </c>
      <c r="X161" s="228">
        <v>-7.9</v>
      </c>
      <c r="Y161" s="229">
        <v>-5.3E-3</v>
      </c>
      <c r="Z161" s="228">
        <v>1.2</v>
      </c>
      <c r="AA161" s="228">
        <v>2.6</v>
      </c>
      <c r="AB161" s="228">
        <v>-1.4</v>
      </c>
      <c r="AC161" s="229">
        <v>8.0000000000000004E-4</v>
      </c>
      <c r="AD161" s="228">
        <v>1.2</v>
      </c>
      <c r="AE161" s="228">
        <v>2.6</v>
      </c>
      <c r="AF161" s="228">
        <v>-1.4</v>
      </c>
      <c r="AG161" s="229">
        <v>8.0000000000000004E-4</v>
      </c>
      <c r="AH161" s="228">
        <v>9</v>
      </c>
      <c r="AI161" s="228">
        <v>11.6</v>
      </c>
      <c r="AJ161" s="228">
        <v>-2.6</v>
      </c>
      <c r="AK161" s="229">
        <v>6.1999999999999998E-3</v>
      </c>
      <c r="AL161" s="228">
        <v>12.1</v>
      </c>
      <c r="AM161" s="228">
        <v>19.5</v>
      </c>
      <c r="AN161" s="228">
        <v>-7.4</v>
      </c>
      <c r="AO161" s="229">
        <v>8.3000000000000001E-3</v>
      </c>
      <c r="AP161" s="231">
        <v>1460.4</v>
      </c>
      <c r="AQ161" s="231">
        <v>1465.64</v>
      </c>
      <c r="AR161" s="228">
        <v>0</v>
      </c>
      <c r="AS161" s="228">
        <v>148</v>
      </c>
      <c r="AT161" s="228">
        <v>266</v>
      </c>
      <c r="AU161" s="228">
        <v>-118</v>
      </c>
      <c r="AV161" s="229">
        <v>-0.443</v>
      </c>
      <c r="AW161" s="228">
        <v>141</v>
      </c>
      <c r="AX161" s="228">
        <v>254</v>
      </c>
      <c r="AY161" s="228">
        <v>-113</v>
      </c>
      <c r="AZ161" s="229">
        <v>-0.44619999999999999</v>
      </c>
      <c r="BA161" s="228">
        <v>7</v>
      </c>
      <c r="BB161" s="228">
        <v>12</v>
      </c>
      <c r="BC161" s="228">
        <v>-4</v>
      </c>
      <c r="BD161" s="229">
        <v>-0.37340000000000001</v>
      </c>
      <c r="BE161" s="228">
        <v>0</v>
      </c>
      <c r="BF161" s="228">
        <v>0</v>
      </c>
      <c r="BG161" s="228">
        <v>0</v>
      </c>
      <c r="BH161" s="229">
        <v>-0.5</v>
      </c>
      <c r="BI161" s="228">
        <v>118</v>
      </c>
      <c r="BJ161" s="228">
        <v>238</v>
      </c>
      <c r="BK161" s="228">
        <v>-121</v>
      </c>
      <c r="BL161" s="229">
        <v>-0.50619999999999998</v>
      </c>
      <c r="BM161" s="228">
        <v>120</v>
      </c>
      <c r="BN161" s="228">
        <v>143</v>
      </c>
      <c r="BO161" s="228">
        <v>-23</v>
      </c>
      <c r="BP161" s="229">
        <v>-0.1615</v>
      </c>
      <c r="BQ161" s="228">
        <v>386</v>
      </c>
      <c r="BR161" s="228">
        <v>648</v>
      </c>
      <c r="BS161" s="228">
        <v>-262</v>
      </c>
      <c r="BT161" s="229">
        <v>-0.40400000000000003</v>
      </c>
      <c r="BU161" s="230">
        <v>1360972</v>
      </c>
      <c r="BV161" s="230">
        <v>2352596</v>
      </c>
      <c r="BW161" s="230">
        <v>-991624</v>
      </c>
      <c r="BX161" s="229">
        <v>-0.42149999999999999</v>
      </c>
      <c r="BY161" s="230">
        <v>1141</v>
      </c>
      <c r="BZ161" s="230">
        <v>1161</v>
      </c>
      <c r="CA161" s="228">
        <v>-20</v>
      </c>
      <c r="CB161" s="229">
        <v>-1.72E-2</v>
      </c>
      <c r="CC161" s="230">
        <v>1099</v>
      </c>
      <c r="CD161" s="230">
        <v>1122</v>
      </c>
      <c r="CE161" s="228">
        <v>-22</v>
      </c>
      <c r="CF161" s="229">
        <v>-1.9699999999999999E-2</v>
      </c>
      <c r="CG161" s="228">
        <v>41</v>
      </c>
      <c r="CH161" s="228">
        <v>39</v>
      </c>
      <c r="CI161" s="228">
        <v>2</v>
      </c>
      <c r="CJ161" s="229">
        <v>5.3100000000000001E-2</v>
      </c>
      <c r="CK161" s="228">
        <v>1</v>
      </c>
      <c r="CL161" s="228">
        <v>1</v>
      </c>
      <c r="CM161" s="228">
        <v>0</v>
      </c>
      <c r="CN161" s="229">
        <v>0.1053</v>
      </c>
      <c r="CO161" s="228">
        <v>330</v>
      </c>
      <c r="CP161" s="228">
        <v>313</v>
      </c>
      <c r="CQ161" s="228">
        <v>16</v>
      </c>
      <c r="CR161" s="229">
        <v>5.1499999999999997E-2</v>
      </c>
      <c r="CS161" s="228">
        <v>264</v>
      </c>
      <c r="CT161" s="228">
        <v>255</v>
      </c>
      <c r="CU161" s="228">
        <v>8</v>
      </c>
      <c r="CV161" s="229">
        <v>3.3099999999999997E-2</v>
      </c>
      <c r="CW161" s="230">
        <v>1735</v>
      </c>
      <c r="CX161" s="230">
        <v>1730</v>
      </c>
      <c r="CY161" s="228">
        <v>5</v>
      </c>
      <c r="CZ161" s="229">
        <v>2.7000000000000001E-3</v>
      </c>
      <c r="DA161" s="228">
        <v>42.43</v>
      </c>
      <c r="DB161" s="228">
        <v>41.75</v>
      </c>
      <c r="DC161" s="228">
        <v>0.68</v>
      </c>
      <c r="DD161" s="228">
        <v>0.68</v>
      </c>
      <c r="DE161" s="228">
        <v>46.04</v>
      </c>
      <c r="DF161" s="228">
        <v>46.16</v>
      </c>
      <c r="DG161" s="228">
        <v>-3.61</v>
      </c>
      <c r="DH161" s="228">
        <v>-0.12</v>
      </c>
      <c r="DI161" s="228">
        <v>40.36</v>
      </c>
      <c r="DJ161" s="228">
        <v>40.28</v>
      </c>
      <c r="DK161" s="228">
        <v>0.08</v>
      </c>
      <c r="DL161" s="228">
        <v>0.08</v>
      </c>
      <c r="DM161" s="228">
        <v>44.47</v>
      </c>
      <c r="DN161" s="228">
        <v>44.17</v>
      </c>
      <c r="DO161" s="228">
        <v>0.3</v>
      </c>
      <c r="DP161" s="228">
        <v>0.3</v>
      </c>
      <c r="DQ161" s="228">
        <v>0.8</v>
      </c>
      <c r="DR161" s="228">
        <v>0.81</v>
      </c>
      <c r="DS161" s="228">
        <v>-0.01</v>
      </c>
      <c r="DT161" s="229">
        <v>-1.23E-2</v>
      </c>
      <c r="DU161" s="231">
        <v>1600</v>
      </c>
      <c r="DV161" s="231">
        <v>1500</v>
      </c>
      <c r="DW161" s="228">
        <v>1.02</v>
      </c>
      <c r="DX161" s="228">
        <v>0.6</v>
      </c>
      <c r="DY161" s="228">
        <v>0.42</v>
      </c>
      <c r="DZ161" s="229">
        <v>0.7</v>
      </c>
      <c r="EA161" s="229">
        <v>3.6600000000000001E-2</v>
      </c>
      <c r="EB161" s="230">
        <v>270550</v>
      </c>
      <c r="EC161" s="229">
        <v>5.3E-3</v>
      </c>
      <c r="ED161" s="229">
        <v>3.6600000000000001E-2</v>
      </c>
      <c r="EE161" s="228">
        <v>5.24</v>
      </c>
      <c r="EF161" s="229">
        <v>3.5999999999999999E-3</v>
      </c>
      <c r="EG161" s="230">
        <v>840856</v>
      </c>
      <c r="EH161" s="230">
        <v>1413338</v>
      </c>
      <c r="EI161" s="229">
        <v>-0.40510000000000002</v>
      </c>
      <c r="EJ161" s="229">
        <v>0.61780000000000002</v>
      </c>
      <c r="EK161" s="228">
        <v>124.74</v>
      </c>
      <c r="EL161" s="228">
        <v>117.98</v>
      </c>
      <c r="EM161" s="228">
        <v>148.1</v>
      </c>
      <c r="EN161" s="228">
        <v>53.9</v>
      </c>
      <c r="EO161" s="228">
        <v>390.83</v>
      </c>
      <c r="EP161" s="228">
        <v>669.42</v>
      </c>
      <c r="EQ161" s="228">
        <v>-278.60000000000002</v>
      </c>
      <c r="ER161" s="229">
        <v>-0.41620000000000001</v>
      </c>
      <c r="ES161" s="228">
        <v>350.69</v>
      </c>
      <c r="ET161" s="228">
        <v>265.23</v>
      </c>
      <c r="EU161" s="231">
        <v>1141.47</v>
      </c>
      <c r="EV161" s="231">
        <v>60642005</v>
      </c>
      <c r="EW161" s="231">
        <v>1757.39</v>
      </c>
      <c r="EX161" s="231">
        <v>1755.02</v>
      </c>
      <c r="EY161" s="228">
        <v>2.37</v>
      </c>
      <c r="EZ161" s="229">
        <v>1.4E-3</v>
      </c>
      <c r="FA161" s="229">
        <v>0.19539999999999999</v>
      </c>
      <c r="FB161" s="227" t="s">
        <v>568</v>
      </c>
      <c r="FC161">
        <f t="shared" si="3"/>
        <v>0</v>
      </c>
    </row>
    <row r="162" spans="1:159" ht="17.25" thickBot="1" x14ac:dyDescent="0.3">
      <c r="A162" s="226">
        <v>46093</v>
      </c>
      <c r="B162" s="227" t="s">
        <v>184</v>
      </c>
      <c r="C162" s="227" t="s">
        <v>519</v>
      </c>
      <c r="D162" s="228">
        <v>125</v>
      </c>
      <c r="E162" s="228">
        <v>18</v>
      </c>
      <c r="F162" s="231">
        <v>7458</v>
      </c>
      <c r="G162" s="231">
        <v>7449.5</v>
      </c>
      <c r="H162" s="228">
        <v>8.5</v>
      </c>
      <c r="I162" s="229">
        <v>1.1000000000000001E-3</v>
      </c>
      <c r="J162" s="231">
        <v>7455</v>
      </c>
      <c r="K162" s="231">
        <v>7429.5</v>
      </c>
      <c r="L162" s="228">
        <v>25.5</v>
      </c>
      <c r="M162" s="229">
        <v>3.3999999999999998E-3</v>
      </c>
      <c r="N162" s="231">
        <v>7458</v>
      </c>
      <c r="O162" s="231">
        <v>7449.5</v>
      </c>
      <c r="P162" s="228">
        <v>8.5</v>
      </c>
      <c r="Q162" s="229">
        <v>1.1000000000000001E-3</v>
      </c>
      <c r="R162" s="231">
        <v>7500.5</v>
      </c>
      <c r="S162" s="231">
        <v>7498.5</v>
      </c>
      <c r="T162" s="228">
        <v>2</v>
      </c>
      <c r="U162" s="229">
        <v>2.9999999999999997E-4</v>
      </c>
      <c r="V162" s="231">
        <v>7545.5</v>
      </c>
      <c r="W162" s="231">
        <v>7547.5</v>
      </c>
      <c r="X162" s="228">
        <v>-2</v>
      </c>
      <c r="Y162" s="229">
        <v>-2.9999999999999997E-4</v>
      </c>
      <c r="Z162" s="228">
        <v>3</v>
      </c>
      <c r="AA162" s="228">
        <v>20</v>
      </c>
      <c r="AB162" s="228">
        <v>-17</v>
      </c>
      <c r="AC162" s="229">
        <v>4.0000000000000002E-4</v>
      </c>
      <c r="AD162" s="228">
        <v>3</v>
      </c>
      <c r="AE162" s="228">
        <v>20</v>
      </c>
      <c r="AF162" s="228">
        <v>-17</v>
      </c>
      <c r="AG162" s="229">
        <v>4.0000000000000002E-4</v>
      </c>
      <c r="AH162" s="228">
        <v>45.5</v>
      </c>
      <c r="AI162" s="228">
        <v>69</v>
      </c>
      <c r="AJ162" s="228">
        <v>-23.5</v>
      </c>
      <c r="AK162" s="229">
        <v>6.1000000000000004E-3</v>
      </c>
      <c r="AL162" s="228">
        <v>90.5</v>
      </c>
      <c r="AM162" s="228">
        <v>118</v>
      </c>
      <c r="AN162" s="228">
        <v>-27.5</v>
      </c>
      <c r="AO162" s="229">
        <v>1.21E-2</v>
      </c>
      <c r="AP162" s="231">
        <v>7453.49</v>
      </c>
      <c r="AQ162" s="231">
        <v>7487.96</v>
      </c>
      <c r="AR162" s="228">
        <v>0</v>
      </c>
      <c r="AS162" s="228">
        <v>652</v>
      </c>
      <c r="AT162" s="230">
        <v>1179</v>
      </c>
      <c r="AU162" s="228">
        <v>-527</v>
      </c>
      <c r="AV162" s="229">
        <v>-0.44719999999999999</v>
      </c>
      <c r="AW162" s="228">
        <v>612</v>
      </c>
      <c r="AX162" s="230">
        <v>1072</v>
      </c>
      <c r="AY162" s="228">
        <v>-460</v>
      </c>
      <c r="AZ162" s="229">
        <v>-0.42930000000000001</v>
      </c>
      <c r="BA162" s="228">
        <v>34</v>
      </c>
      <c r="BB162" s="228">
        <v>99</v>
      </c>
      <c r="BC162" s="228">
        <v>-65</v>
      </c>
      <c r="BD162" s="229">
        <v>-0.65780000000000005</v>
      </c>
      <c r="BE162" s="228">
        <v>6</v>
      </c>
      <c r="BF162" s="228">
        <v>8</v>
      </c>
      <c r="BG162" s="228">
        <v>-2</v>
      </c>
      <c r="BH162" s="229">
        <v>-0.23530000000000001</v>
      </c>
      <c r="BI162" s="230">
        <v>2396</v>
      </c>
      <c r="BJ162" s="230">
        <v>3748</v>
      </c>
      <c r="BK162" s="230">
        <v>-1353</v>
      </c>
      <c r="BL162" s="229">
        <v>-0.3609</v>
      </c>
      <c r="BM162" s="230">
        <v>1574</v>
      </c>
      <c r="BN162" s="230">
        <v>4306</v>
      </c>
      <c r="BO162" s="230">
        <v>-2732</v>
      </c>
      <c r="BP162" s="229">
        <v>-0.63449999999999995</v>
      </c>
      <c r="BQ162" s="230">
        <v>4621</v>
      </c>
      <c r="BR162" s="230">
        <v>9233</v>
      </c>
      <c r="BS162" s="230">
        <v>-4612</v>
      </c>
      <c r="BT162" s="229">
        <v>-0.4995</v>
      </c>
      <c r="BU162" s="230">
        <v>530534</v>
      </c>
      <c r="BV162" s="230">
        <v>1153893</v>
      </c>
      <c r="BW162" s="230">
        <v>-623359</v>
      </c>
      <c r="BX162" s="229">
        <v>-0.54020000000000001</v>
      </c>
      <c r="BY162" s="230">
        <v>1537</v>
      </c>
      <c r="BZ162" s="230">
        <v>1566</v>
      </c>
      <c r="CA162" s="228">
        <v>-29</v>
      </c>
      <c r="CB162" s="229">
        <v>-1.8599999999999998E-2</v>
      </c>
      <c r="CC162" s="230">
        <v>1443</v>
      </c>
      <c r="CD162" s="230">
        <v>1476</v>
      </c>
      <c r="CE162" s="228">
        <v>-33</v>
      </c>
      <c r="CF162" s="229">
        <v>-2.2599999999999999E-2</v>
      </c>
      <c r="CG162" s="228">
        <v>82</v>
      </c>
      <c r="CH162" s="228">
        <v>79</v>
      </c>
      <c r="CI162" s="228">
        <v>3</v>
      </c>
      <c r="CJ162" s="229">
        <v>0.04</v>
      </c>
      <c r="CK162" s="228">
        <v>12</v>
      </c>
      <c r="CL162" s="228">
        <v>11</v>
      </c>
      <c r="CM162" s="228">
        <v>1</v>
      </c>
      <c r="CN162" s="229">
        <v>0.1026</v>
      </c>
      <c r="CO162" s="230">
        <v>1456</v>
      </c>
      <c r="CP162" s="230">
        <v>1415</v>
      </c>
      <c r="CQ162" s="228">
        <v>41</v>
      </c>
      <c r="CR162" s="229">
        <v>2.9100000000000001E-2</v>
      </c>
      <c r="CS162" s="230">
        <v>1099</v>
      </c>
      <c r="CT162" s="230">
        <v>1038</v>
      </c>
      <c r="CU162" s="228">
        <v>61</v>
      </c>
      <c r="CV162" s="229">
        <v>5.8700000000000002E-2</v>
      </c>
      <c r="CW162" s="230">
        <v>4092</v>
      </c>
      <c r="CX162" s="230">
        <v>4019</v>
      </c>
      <c r="CY162" s="228">
        <v>73</v>
      </c>
      <c r="CZ162" s="229">
        <v>1.8200000000000001E-2</v>
      </c>
      <c r="DA162" s="228">
        <v>39.51</v>
      </c>
      <c r="DB162" s="228">
        <v>43.24</v>
      </c>
      <c r="DC162" s="228">
        <v>-3.73</v>
      </c>
      <c r="DD162" s="228">
        <v>-3.73</v>
      </c>
      <c r="DE162" s="228">
        <v>40.47</v>
      </c>
      <c r="DF162" s="228">
        <v>40.57</v>
      </c>
      <c r="DG162" s="228">
        <v>-0.96</v>
      </c>
      <c r="DH162" s="228">
        <v>-0.1</v>
      </c>
      <c r="DI162" s="228">
        <v>37.74</v>
      </c>
      <c r="DJ162" s="228">
        <v>40.51</v>
      </c>
      <c r="DK162" s="228">
        <v>-2.77</v>
      </c>
      <c r="DL162" s="228">
        <v>-2.77</v>
      </c>
      <c r="DM162" s="228">
        <v>42.19</v>
      </c>
      <c r="DN162" s="228">
        <v>45.61</v>
      </c>
      <c r="DO162" s="228">
        <v>-3.42</v>
      </c>
      <c r="DP162" s="228">
        <v>-3.42</v>
      </c>
      <c r="DQ162" s="228">
        <v>0.75</v>
      </c>
      <c r="DR162" s="228">
        <v>0.73</v>
      </c>
      <c r="DS162" s="228">
        <v>0.02</v>
      </c>
      <c r="DT162" s="229">
        <v>2.7400000000000001E-2</v>
      </c>
      <c r="DU162" s="231">
        <v>8500</v>
      </c>
      <c r="DV162" s="231">
        <v>7000</v>
      </c>
      <c r="DW162" s="228">
        <v>0.66</v>
      </c>
      <c r="DX162" s="228">
        <v>1.1499999999999999</v>
      </c>
      <c r="DY162" s="228">
        <v>-0.49</v>
      </c>
      <c r="DZ162" s="229">
        <v>-0.42609999999999998</v>
      </c>
      <c r="EA162" s="229">
        <v>6.1400000000000003E-2</v>
      </c>
      <c r="EB162" s="230">
        <v>120875</v>
      </c>
      <c r="EC162" s="229">
        <v>5.7000000000000002E-3</v>
      </c>
      <c r="ED162" s="229">
        <v>6.1400000000000003E-2</v>
      </c>
      <c r="EE162" s="228">
        <v>34.47</v>
      </c>
      <c r="EF162" s="229">
        <v>4.5999999999999999E-3</v>
      </c>
      <c r="EG162" s="230">
        <v>191125</v>
      </c>
      <c r="EH162" s="230">
        <v>514617</v>
      </c>
      <c r="EI162" s="229">
        <v>-0.62860000000000005</v>
      </c>
      <c r="EJ162" s="229">
        <v>0.36030000000000001</v>
      </c>
      <c r="EK162" s="231">
        <v>2651.43</v>
      </c>
      <c r="EL162" s="231">
        <v>1528.97</v>
      </c>
      <c r="EM162" s="228">
        <v>651.35</v>
      </c>
      <c r="EN162" s="228">
        <v>101.2</v>
      </c>
      <c r="EO162" s="231">
        <v>4831.76</v>
      </c>
      <c r="EP162" s="231">
        <v>9526.33</v>
      </c>
      <c r="EQ162" s="231">
        <v>-4694.58</v>
      </c>
      <c r="ER162" s="229">
        <v>-0.49280000000000002</v>
      </c>
      <c r="ES162" s="231">
        <v>1625.41</v>
      </c>
      <c r="ET162" s="231">
        <v>1095.0999999999999</v>
      </c>
      <c r="EU162" s="231">
        <v>1537.61</v>
      </c>
      <c r="EV162" s="231">
        <v>8688405</v>
      </c>
      <c r="EW162" s="231">
        <v>4258.12</v>
      </c>
      <c r="EX162" s="231">
        <v>4191.07</v>
      </c>
      <c r="EY162" s="228">
        <v>67.05</v>
      </c>
      <c r="EZ162" s="229">
        <v>1.6E-2</v>
      </c>
      <c r="FA162" s="229">
        <v>0.63160000000000005</v>
      </c>
      <c r="FB162" s="227" t="s">
        <v>556</v>
      </c>
      <c r="FC162">
        <f t="shared" si="3"/>
        <v>0</v>
      </c>
    </row>
    <row r="163" spans="1:159" ht="17.25" thickBot="1" x14ac:dyDescent="0.3">
      <c r="A163" s="226">
        <v>46093</v>
      </c>
      <c r="B163" s="227" t="s">
        <v>161</v>
      </c>
      <c r="C163" s="227" t="s">
        <v>276</v>
      </c>
      <c r="D163" s="228">
        <v>1900</v>
      </c>
      <c r="E163" s="228">
        <v>18</v>
      </c>
      <c r="F163" s="228">
        <v>304.60000000000002</v>
      </c>
      <c r="G163" s="228">
        <v>299.2</v>
      </c>
      <c r="H163" s="228">
        <v>5.4</v>
      </c>
      <c r="I163" s="229">
        <v>1.7999999999999999E-2</v>
      </c>
      <c r="J163" s="228">
        <v>303.60000000000002</v>
      </c>
      <c r="K163" s="228">
        <v>298.8</v>
      </c>
      <c r="L163" s="228">
        <v>4.8</v>
      </c>
      <c r="M163" s="229">
        <v>1.61E-2</v>
      </c>
      <c r="N163" s="228">
        <v>304.60000000000002</v>
      </c>
      <c r="O163" s="228">
        <v>299.2</v>
      </c>
      <c r="P163" s="228">
        <v>5.4</v>
      </c>
      <c r="Q163" s="229">
        <v>1.7999999999999999E-2</v>
      </c>
      <c r="R163" s="228">
        <v>306.5</v>
      </c>
      <c r="S163" s="228">
        <v>301.05</v>
      </c>
      <c r="T163" s="228">
        <v>5.45</v>
      </c>
      <c r="U163" s="229">
        <v>1.8100000000000002E-2</v>
      </c>
      <c r="V163" s="228">
        <v>307.2</v>
      </c>
      <c r="W163" s="228">
        <v>301.7</v>
      </c>
      <c r="X163" s="228">
        <v>5.5</v>
      </c>
      <c r="Y163" s="229">
        <v>1.8200000000000001E-2</v>
      </c>
      <c r="Z163" s="228">
        <v>1</v>
      </c>
      <c r="AA163" s="228">
        <v>0.4</v>
      </c>
      <c r="AB163" s="228">
        <v>0.6</v>
      </c>
      <c r="AC163" s="229">
        <v>3.3E-3</v>
      </c>
      <c r="AD163" s="228">
        <v>1</v>
      </c>
      <c r="AE163" s="228">
        <v>0.4</v>
      </c>
      <c r="AF163" s="228">
        <v>0.6</v>
      </c>
      <c r="AG163" s="229">
        <v>3.3E-3</v>
      </c>
      <c r="AH163" s="228">
        <v>2.9</v>
      </c>
      <c r="AI163" s="228">
        <v>2.25</v>
      </c>
      <c r="AJ163" s="228">
        <v>0.65</v>
      </c>
      <c r="AK163" s="229">
        <v>9.5999999999999992E-3</v>
      </c>
      <c r="AL163" s="228">
        <v>3.6</v>
      </c>
      <c r="AM163" s="228">
        <v>2.9</v>
      </c>
      <c r="AN163" s="228">
        <v>0.7</v>
      </c>
      <c r="AO163" s="229">
        <v>1.1900000000000001E-2</v>
      </c>
      <c r="AP163" s="228">
        <v>303.39999999999998</v>
      </c>
      <c r="AQ163" s="228">
        <v>305.2</v>
      </c>
      <c r="AR163" s="228">
        <v>0</v>
      </c>
      <c r="AS163" s="228">
        <v>525</v>
      </c>
      <c r="AT163" s="228">
        <v>292</v>
      </c>
      <c r="AU163" s="228">
        <v>233</v>
      </c>
      <c r="AV163" s="229">
        <v>0.79730000000000001</v>
      </c>
      <c r="AW163" s="228">
        <v>487</v>
      </c>
      <c r="AX163" s="228">
        <v>273</v>
      </c>
      <c r="AY163" s="228">
        <v>214</v>
      </c>
      <c r="AZ163" s="229">
        <v>0.78449999999999998</v>
      </c>
      <c r="BA163" s="228">
        <v>35</v>
      </c>
      <c r="BB163" s="228">
        <v>18</v>
      </c>
      <c r="BC163" s="228">
        <v>17</v>
      </c>
      <c r="BD163" s="229">
        <v>0.95779999999999998</v>
      </c>
      <c r="BE163" s="228">
        <v>3</v>
      </c>
      <c r="BF163" s="228">
        <v>1</v>
      </c>
      <c r="BG163" s="228">
        <v>2</v>
      </c>
      <c r="BH163" s="229">
        <v>1.3684000000000001</v>
      </c>
      <c r="BI163" s="230">
        <v>2044</v>
      </c>
      <c r="BJ163" s="230">
        <v>1137</v>
      </c>
      <c r="BK163" s="228">
        <v>907</v>
      </c>
      <c r="BL163" s="229">
        <v>0.79710000000000003</v>
      </c>
      <c r="BM163" s="228">
        <v>482</v>
      </c>
      <c r="BN163" s="228">
        <v>427</v>
      </c>
      <c r="BO163" s="228">
        <v>56</v>
      </c>
      <c r="BP163" s="229">
        <v>0.1303</v>
      </c>
      <c r="BQ163" s="230">
        <v>3051</v>
      </c>
      <c r="BR163" s="230">
        <v>1856</v>
      </c>
      <c r="BS163" s="230">
        <v>1195</v>
      </c>
      <c r="BT163" s="229">
        <v>0.64380000000000004</v>
      </c>
      <c r="BU163" s="230">
        <v>15771703</v>
      </c>
      <c r="BV163" s="230">
        <v>12973197</v>
      </c>
      <c r="BW163" s="230">
        <v>2798506</v>
      </c>
      <c r="BX163" s="229">
        <v>0.2157</v>
      </c>
      <c r="BY163" s="230">
        <v>2421</v>
      </c>
      <c r="BZ163" s="230">
        <v>2421</v>
      </c>
      <c r="CA163" s="228">
        <v>0</v>
      </c>
      <c r="CB163" s="229">
        <v>1E-4</v>
      </c>
      <c r="CC163" s="230">
        <v>2354</v>
      </c>
      <c r="CD163" s="230">
        <v>2365</v>
      </c>
      <c r="CE163" s="228">
        <v>-12</v>
      </c>
      <c r="CF163" s="229">
        <v>-5.0000000000000001E-3</v>
      </c>
      <c r="CG163" s="228">
        <v>59</v>
      </c>
      <c r="CH163" s="228">
        <v>47</v>
      </c>
      <c r="CI163" s="228">
        <v>12</v>
      </c>
      <c r="CJ163" s="229">
        <v>0.2442</v>
      </c>
      <c r="CK163" s="228">
        <v>9</v>
      </c>
      <c r="CL163" s="228">
        <v>8</v>
      </c>
      <c r="CM163" s="228">
        <v>1</v>
      </c>
      <c r="CN163" s="229">
        <v>7.6399999999999996E-2</v>
      </c>
      <c r="CO163" s="230">
        <v>1242</v>
      </c>
      <c r="CP163" s="230">
        <v>1214</v>
      </c>
      <c r="CQ163" s="228">
        <v>28</v>
      </c>
      <c r="CR163" s="229">
        <v>2.3300000000000001E-2</v>
      </c>
      <c r="CS163" s="228">
        <v>555</v>
      </c>
      <c r="CT163" s="228">
        <v>527</v>
      </c>
      <c r="CU163" s="228">
        <v>28</v>
      </c>
      <c r="CV163" s="229">
        <v>5.3100000000000001E-2</v>
      </c>
      <c r="CW163" s="230">
        <v>4218</v>
      </c>
      <c r="CX163" s="230">
        <v>4162</v>
      </c>
      <c r="CY163" s="228">
        <v>57</v>
      </c>
      <c r="CZ163" s="229">
        <v>1.3599999999999999E-2</v>
      </c>
      <c r="DA163" s="228">
        <v>26.89</v>
      </c>
      <c r="DB163" s="228">
        <v>26.26</v>
      </c>
      <c r="DC163" s="228">
        <v>0.63</v>
      </c>
      <c r="DD163" s="228">
        <v>0.63</v>
      </c>
      <c r="DE163" s="228">
        <v>29.47</v>
      </c>
      <c r="DF163" s="228">
        <v>29.46</v>
      </c>
      <c r="DG163" s="228">
        <v>-2.58</v>
      </c>
      <c r="DH163" s="228">
        <v>0.01</v>
      </c>
      <c r="DI163" s="228">
        <v>26.44</v>
      </c>
      <c r="DJ163" s="228">
        <v>25.64</v>
      </c>
      <c r="DK163" s="228">
        <v>0.8</v>
      </c>
      <c r="DL163" s="228">
        <v>0.8</v>
      </c>
      <c r="DM163" s="228">
        <v>28.77</v>
      </c>
      <c r="DN163" s="228">
        <v>27.91</v>
      </c>
      <c r="DO163" s="228">
        <v>0.86</v>
      </c>
      <c r="DP163" s="228">
        <v>0.86</v>
      </c>
      <c r="DQ163" s="228">
        <v>0.45</v>
      </c>
      <c r="DR163" s="228">
        <v>0.43</v>
      </c>
      <c r="DS163" s="228">
        <v>0.02</v>
      </c>
      <c r="DT163" s="229">
        <v>4.65E-2</v>
      </c>
      <c r="DU163" s="228">
        <v>310</v>
      </c>
      <c r="DV163" s="228">
        <v>300</v>
      </c>
      <c r="DW163" s="228">
        <v>0.24</v>
      </c>
      <c r="DX163" s="228">
        <v>0.38</v>
      </c>
      <c r="DY163" s="228">
        <v>-0.14000000000000001</v>
      </c>
      <c r="DZ163" s="229">
        <v>-0.36840000000000001</v>
      </c>
      <c r="EA163" s="229">
        <v>2.7900000000000001E-2</v>
      </c>
      <c r="EB163" s="230">
        <v>1822100</v>
      </c>
      <c r="EC163" s="229">
        <v>6.1999999999999998E-3</v>
      </c>
      <c r="ED163" s="229">
        <v>2.7900000000000001E-2</v>
      </c>
      <c r="EE163" s="228">
        <v>1.8</v>
      </c>
      <c r="EF163" s="229">
        <v>5.8999999999999999E-3</v>
      </c>
      <c r="EG163" s="230">
        <v>9014422</v>
      </c>
      <c r="EH163" s="230">
        <v>8406261</v>
      </c>
      <c r="EI163" s="229">
        <v>7.2300000000000003E-2</v>
      </c>
      <c r="EJ163" s="229">
        <v>0.5716</v>
      </c>
      <c r="EK163" s="231">
        <v>2123</v>
      </c>
      <c r="EL163" s="228">
        <v>473.23</v>
      </c>
      <c r="EM163" s="228">
        <v>523</v>
      </c>
      <c r="EN163" s="228">
        <v>61.38</v>
      </c>
      <c r="EO163" s="231">
        <v>3119.24</v>
      </c>
      <c r="EP163" s="231">
        <v>1872.95</v>
      </c>
      <c r="EQ163" s="231">
        <v>1246.29</v>
      </c>
      <c r="ER163" s="229">
        <v>0.66539999999999999</v>
      </c>
      <c r="ES163" s="231">
        <v>1269.96</v>
      </c>
      <c r="ET163" s="228">
        <v>527.16</v>
      </c>
      <c r="EU163" s="231">
        <v>2421.66</v>
      </c>
      <c r="EV163" s="231">
        <v>678857930</v>
      </c>
      <c r="EW163" s="231">
        <v>4218.78</v>
      </c>
      <c r="EX163" s="231">
        <v>4117.79</v>
      </c>
      <c r="EY163" s="228">
        <v>100.99</v>
      </c>
      <c r="EZ163" s="229">
        <v>2.4500000000000001E-2</v>
      </c>
      <c r="FA163" s="229">
        <v>0.20399999999999999</v>
      </c>
      <c r="FB163" s="227" t="s">
        <v>555</v>
      </c>
      <c r="FC163">
        <f t="shared" si="3"/>
        <v>0</v>
      </c>
    </row>
    <row r="164" spans="1:159" ht="17.25" thickBot="1" x14ac:dyDescent="0.3">
      <c r="A164" s="226">
        <v>46093</v>
      </c>
      <c r="B164" s="227" t="s">
        <v>184</v>
      </c>
      <c r="C164" s="227" t="s">
        <v>686</v>
      </c>
      <c r="D164" s="228">
        <v>50</v>
      </c>
      <c r="E164" s="228">
        <v>18</v>
      </c>
      <c r="F164" s="231">
        <v>24980</v>
      </c>
      <c r="G164" s="231">
        <v>25005</v>
      </c>
      <c r="H164" s="228">
        <v>-25</v>
      </c>
      <c r="I164" s="229">
        <v>-1E-3</v>
      </c>
      <c r="J164" s="231">
        <v>24880</v>
      </c>
      <c r="K164" s="231">
        <v>24955</v>
      </c>
      <c r="L164" s="228">
        <v>-75</v>
      </c>
      <c r="M164" s="229">
        <v>-3.0000000000000001E-3</v>
      </c>
      <c r="N164" s="231">
        <v>24980</v>
      </c>
      <c r="O164" s="231">
        <v>25005</v>
      </c>
      <c r="P164" s="228">
        <v>-25</v>
      </c>
      <c r="Q164" s="229">
        <v>-1E-3</v>
      </c>
      <c r="R164" s="231">
        <v>25085</v>
      </c>
      <c r="S164" s="231">
        <v>25140</v>
      </c>
      <c r="T164" s="228">
        <v>-55</v>
      </c>
      <c r="U164" s="229">
        <v>-2.2000000000000001E-3</v>
      </c>
      <c r="V164" s="231">
        <v>25205</v>
      </c>
      <c r="W164" s="231">
        <v>25190</v>
      </c>
      <c r="X164" s="228">
        <v>15</v>
      </c>
      <c r="Y164" s="229">
        <v>5.9999999999999995E-4</v>
      </c>
      <c r="Z164" s="228">
        <v>100</v>
      </c>
      <c r="AA164" s="228">
        <v>50</v>
      </c>
      <c r="AB164" s="228">
        <v>50</v>
      </c>
      <c r="AC164" s="229">
        <v>4.0000000000000001E-3</v>
      </c>
      <c r="AD164" s="228">
        <v>100</v>
      </c>
      <c r="AE164" s="228">
        <v>50</v>
      </c>
      <c r="AF164" s="228">
        <v>50</v>
      </c>
      <c r="AG164" s="229">
        <v>4.0000000000000001E-3</v>
      </c>
      <c r="AH164" s="228">
        <v>205</v>
      </c>
      <c r="AI164" s="228">
        <v>185</v>
      </c>
      <c r="AJ164" s="228">
        <v>20</v>
      </c>
      <c r="AK164" s="229">
        <v>8.2000000000000007E-3</v>
      </c>
      <c r="AL164" s="228">
        <v>325</v>
      </c>
      <c r="AM164" s="228">
        <v>235</v>
      </c>
      <c r="AN164" s="228">
        <v>90</v>
      </c>
      <c r="AO164" s="229">
        <v>1.3100000000000001E-2</v>
      </c>
      <c r="AP164" s="231">
        <v>24910.45</v>
      </c>
      <c r="AQ164" s="231">
        <v>24975.7</v>
      </c>
      <c r="AR164" s="228">
        <v>0</v>
      </c>
      <c r="AS164" s="228">
        <v>290</v>
      </c>
      <c r="AT164" s="228">
        <v>210</v>
      </c>
      <c r="AU164" s="228">
        <v>80</v>
      </c>
      <c r="AV164" s="229">
        <v>0.37859999999999999</v>
      </c>
      <c r="AW164" s="228">
        <v>266</v>
      </c>
      <c r="AX164" s="228">
        <v>197</v>
      </c>
      <c r="AY164" s="228">
        <v>69</v>
      </c>
      <c r="AZ164" s="229">
        <v>0.35</v>
      </c>
      <c r="BA164" s="228">
        <v>21</v>
      </c>
      <c r="BB164" s="228">
        <v>11</v>
      </c>
      <c r="BC164" s="228">
        <v>10</v>
      </c>
      <c r="BD164" s="229">
        <v>0.86960000000000004</v>
      </c>
      <c r="BE164" s="228">
        <v>3</v>
      </c>
      <c r="BF164" s="228">
        <v>2</v>
      </c>
      <c r="BG164" s="228">
        <v>1</v>
      </c>
      <c r="BH164" s="229">
        <v>0.375</v>
      </c>
      <c r="BI164" s="228">
        <v>791</v>
      </c>
      <c r="BJ164" s="228">
        <v>571</v>
      </c>
      <c r="BK164" s="228">
        <v>220</v>
      </c>
      <c r="BL164" s="229">
        <v>0.38500000000000001</v>
      </c>
      <c r="BM164" s="228">
        <v>286</v>
      </c>
      <c r="BN164" s="228">
        <v>275</v>
      </c>
      <c r="BO164" s="228">
        <v>11</v>
      </c>
      <c r="BP164" s="229">
        <v>0.04</v>
      </c>
      <c r="BQ164" s="230">
        <v>1367</v>
      </c>
      <c r="BR164" s="230">
        <v>1056</v>
      </c>
      <c r="BS164" s="228">
        <v>311</v>
      </c>
      <c r="BT164" s="229">
        <v>0.29399999999999998</v>
      </c>
      <c r="BU164" s="230">
        <v>147778</v>
      </c>
      <c r="BV164" s="230">
        <v>142286</v>
      </c>
      <c r="BW164" s="230">
        <v>5492</v>
      </c>
      <c r="BX164" s="229">
        <v>3.8600000000000002E-2</v>
      </c>
      <c r="BY164" s="228">
        <v>779</v>
      </c>
      <c r="BZ164" s="228">
        <v>756</v>
      </c>
      <c r="CA164" s="228">
        <v>23</v>
      </c>
      <c r="CB164" s="229">
        <v>3.04E-2</v>
      </c>
      <c r="CC164" s="228">
        <v>740</v>
      </c>
      <c r="CD164" s="228">
        <v>716</v>
      </c>
      <c r="CE164" s="228">
        <v>23</v>
      </c>
      <c r="CF164" s="229">
        <v>3.2300000000000002E-2</v>
      </c>
      <c r="CG164" s="228">
        <v>30</v>
      </c>
      <c r="CH164" s="228">
        <v>31</v>
      </c>
      <c r="CI164" s="228">
        <v>0</v>
      </c>
      <c r="CJ164" s="229">
        <v>-4.1000000000000003E-3</v>
      </c>
      <c r="CK164" s="228">
        <v>9</v>
      </c>
      <c r="CL164" s="228">
        <v>9</v>
      </c>
      <c r="CM164" s="228">
        <v>0</v>
      </c>
      <c r="CN164" s="229">
        <v>0</v>
      </c>
      <c r="CO164" s="228">
        <v>542</v>
      </c>
      <c r="CP164" s="228">
        <v>516</v>
      </c>
      <c r="CQ164" s="228">
        <v>26</v>
      </c>
      <c r="CR164" s="229">
        <v>5.04E-2</v>
      </c>
      <c r="CS164" s="228">
        <v>441</v>
      </c>
      <c r="CT164" s="228">
        <v>426</v>
      </c>
      <c r="CU164" s="228">
        <v>15</v>
      </c>
      <c r="CV164" s="229">
        <v>3.5499999999999997E-2</v>
      </c>
      <c r="CW164" s="230">
        <v>1762</v>
      </c>
      <c r="CX164" s="230">
        <v>1698</v>
      </c>
      <c r="CY164" s="228">
        <v>64</v>
      </c>
      <c r="CZ164" s="229">
        <v>3.7699999999999997E-2</v>
      </c>
      <c r="DA164" s="228">
        <v>49.53</v>
      </c>
      <c r="DB164" s="228">
        <v>49.34</v>
      </c>
      <c r="DC164" s="228">
        <v>0.19</v>
      </c>
      <c r="DD164" s="228">
        <v>0.19</v>
      </c>
      <c r="DE164" s="228">
        <v>58.48</v>
      </c>
      <c r="DF164" s="228">
        <v>58.62</v>
      </c>
      <c r="DG164" s="228">
        <v>-8.9499999999999993</v>
      </c>
      <c r="DH164" s="228">
        <v>-0.14000000000000001</v>
      </c>
      <c r="DI164" s="228">
        <v>48.17</v>
      </c>
      <c r="DJ164" s="228">
        <v>47.6</v>
      </c>
      <c r="DK164" s="228">
        <v>0.56999999999999995</v>
      </c>
      <c r="DL164" s="228">
        <v>0.56999999999999995</v>
      </c>
      <c r="DM164" s="228">
        <v>53.29</v>
      </c>
      <c r="DN164" s="228">
        <v>52.95</v>
      </c>
      <c r="DO164" s="228">
        <v>0.34</v>
      </c>
      <c r="DP164" s="228">
        <v>0.34</v>
      </c>
      <c r="DQ164" s="228">
        <v>0.81</v>
      </c>
      <c r="DR164" s="228">
        <v>0.83</v>
      </c>
      <c r="DS164" s="228">
        <v>-0.02</v>
      </c>
      <c r="DT164" s="229">
        <v>-2.41E-2</v>
      </c>
      <c r="DU164" s="231">
        <v>26000</v>
      </c>
      <c r="DV164" s="231">
        <v>25000</v>
      </c>
      <c r="DW164" s="228">
        <v>0.36</v>
      </c>
      <c r="DX164" s="228">
        <v>0.48</v>
      </c>
      <c r="DY164" s="228">
        <v>-0.12</v>
      </c>
      <c r="DZ164" s="229">
        <v>-0.25</v>
      </c>
      <c r="EA164" s="229">
        <v>5.04E-2</v>
      </c>
      <c r="EB164" s="230">
        <v>15750</v>
      </c>
      <c r="EC164" s="229">
        <v>4.1999999999999997E-3</v>
      </c>
      <c r="ED164" s="229">
        <v>5.04E-2</v>
      </c>
      <c r="EE164" s="228">
        <v>65.25</v>
      </c>
      <c r="EF164" s="229">
        <v>2.5999999999999999E-3</v>
      </c>
      <c r="EG164" s="230">
        <v>41526</v>
      </c>
      <c r="EH164" s="230">
        <v>55782</v>
      </c>
      <c r="EI164" s="229">
        <v>-0.25559999999999999</v>
      </c>
      <c r="EJ164" s="229">
        <v>0.28100000000000003</v>
      </c>
      <c r="EK164" s="228">
        <v>862.5</v>
      </c>
      <c r="EL164" s="228">
        <v>271.04000000000002</v>
      </c>
      <c r="EM164" s="228">
        <v>289.41000000000003</v>
      </c>
      <c r="EN164" s="228">
        <v>26.29</v>
      </c>
      <c r="EO164" s="231">
        <v>1422.95</v>
      </c>
      <c r="EP164" s="231">
        <v>1103.03</v>
      </c>
      <c r="EQ164" s="228">
        <v>319.91000000000003</v>
      </c>
      <c r="ER164" s="229">
        <v>0.28999999999999998</v>
      </c>
      <c r="ES164" s="228">
        <v>563.41</v>
      </c>
      <c r="ET164" s="228">
        <v>406.76</v>
      </c>
      <c r="EU164" s="228">
        <v>778.96</v>
      </c>
      <c r="EV164" s="231">
        <v>1917916</v>
      </c>
      <c r="EW164" s="231">
        <v>1749.13</v>
      </c>
      <c r="EX164" s="231">
        <v>1685.41</v>
      </c>
      <c r="EY164" s="228">
        <v>63.72</v>
      </c>
      <c r="EZ164" s="229">
        <v>3.78E-2</v>
      </c>
      <c r="FA164" s="229">
        <v>0.36780000000000002</v>
      </c>
      <c r="FB164" s="227" t="s">
        <v>567</v>
      </c>
      <c r="FC164">
        <f t="shared" si="3"/>
        <v>0</v>
      </c>
    </row>
    <row r="165" spans="1:159" ht="17.25" thickBot="1" x14ac:dyDescent="0.3">
      <c r="A165" s="226">
        <v>46093</v>
      </c>
      <c r="B165" s="227" t="s">
        <v>170</v>
      </c>
      <c r="C165" s="227" t="s">
        <v>677</v>
      </c>
      <c r="D165" s="228">
        <v>2625</v>
      </c>
      <c r="E165" s="228">
        <v>18</v>
      </c>
      <c r="F165" s="228">
        <v>146.11000000000001</v>
      </c>
      <c r="G165" s="228">
        <v>155.91</v>
      </c>
      <c r="H165" s="228">
        <v>-9.8000000000000007</v>
      </c>
      <c r="I165" s="229">
        <v>-6.2899999999999998E-2</v>
      </c>
      <c r="J165" s="228">
        <v>145.54</v>
      </c>
      <c r="K165" s="228">
        <v>155.41999999999999</v>
      </c>
      <c r="L165" s="228">
        <v>-9.8800000000000008</v>
      </c>
      <c r="M165" s="229">
        <v>-6.3600000000000004E-2</v>
      </c>
      <c r="N165" s="228">
        <v>146.11000000000001</v>
      </c>
      <c r="O165" s="228">
        <v>155.91</v>
      </c>
      <c r="P165" s="228">
        <v>-9.8000000000000007</v>
      </c>
      <c r="Q165" s="229">
        <v>-6.2899999999999998E-2</v>
      </c>
      <c r="R165" s="228">
        <v>145.44999999999999</v>
      </c>
      <c r="S165" s="228">
        <v>155.16999999999999</v>
      </c>
      <c r="T165" s="228">
        <v>-9.7200000000000006</v>
      </c>
      <c r="U165" s="229">
        <v>-6.2600000000000003E-2</v>
      </c>
      <c r="V165" s="228">
        <v>0</v>
      </c>
      <c r="W165" s="228">
        <v>0</v>
      </c>
      <c r="X165" s="228">
        <v>0</v>
      </c>
      <c r="Y165" s="229">
        <v>0</v>
      </c>
      <c r="Z165" s="228">
        <v>0.56999999999999995</v>
      </c>
      <c r="AA165" s="228">
        <v>0.49</v>
      </c>
      <c r="AB165" s="228">
        <v>0.08</v>
      </c>
      <c r="AC165" s="229">
        <v>3.8999999999999998E-3</v>
      </c>
      <c r="AD165" s="228">
        <v>0.56999999999999995</v>
      </c>
      <c r="AE165" s="228">
        <v>0.49</v>
      </c>
      <c r="AF165" s="228">
        <v>0.08</v>
      </c>
      <c r="AG165" s="229">
        <v>3.8999999999999998E-3</v>
      </c>
      <c r="AH165" s="228">
        <v>-0.09</v>
      </c>
      <c r="AI165" s="228">
        <v>-0.25</v>
      </c>
      <c r="AJ165" s="228">
        <v>0.16</v>
      </c>
      <c r="AK165" s="229">
        <v>-5.9999999999999995E-4</v>
      </c>
      <c r="AL165" s="228">
        <v>0</v>
      </c>
      <c r="AM165" s="228">
        <v>0</v>
      </c>
      <c r="AN165" s="228">
        <v>0</v>
      </c>
      <c r="AO165" s="229">
        <v>0</v>
      </c>
      <c r="AP165" s="228">
        <v>148.09</v>
      </c>
      <c r="AQ165" s="228">
        <v>147.44</v>
      </c>
      <c r="AR165" s="228">
        <v>0</v>
      </c>
      <c r="AS165" s="228">
        <v>105</v>
      </c>
      <c r="AT165" s="228">
        <v>59</v>
      </c>
      <c r="AU165" s="228">
        <v>46</v>
      </c>
      <c r="AV165" s="229">
        <v>0.76990000000000003</v>
      </c>
      <c r="AW165" s="228">
        <v>93</v>
      </c>
      <c r="AX165" s="228">
        <v>54</v>
      </c>
      <c r="AY165" s="228">
        <v>38</v>
      </c>
      <c r="AZ165" s="229">
        <v>0.70430000000000004</v>
      </c>
      <c r="BA165" s="228">
        <v>12</v>
      </c>
      <c r="BB165" s="228">
        <v>5</v>
      </c>
      <c r="BC165" s="228">
        <v>7</v>
      </c>
      <c r="BD165" s="229">
        <v>1.4845999999999999</v>
      </c>
      <c r="BE165" s="228">
        <v>0</v>
      </c>
      <c r="BF165" s="228">
        <v>0</v>
      </c>
      <c r="BG165" s="228">
        <v>0</v>
      </c>
      <c r="BH165" s="229">
        <v>0</v>
      </c>
      <c r="BI165" s="228">
        <v>192</v>
      </c>
      <c r="BJ165" s="228">
        <v>152</v>
      </c>
      <c r="BK165" s="228">
        <v>40</v>
      </c>
      <c r="BL165" s="229">
        <v>0.26550000000000001</v>
      </c>
      <c r="BM165" s="228">
        <v>204</v>
      </c>
      <c r="BN165" s="228">
        <v>31</v>
      </c>
      <c r="BO165" s="228">
        <v>173</v>
      </c>
      <c r="BP165" s="229">
        <v>5.5740999999999996</v>
      </c>
      <c r="BQ165" s="228">
        <v>501</v>
      </c>
      <c r="BR165" s="228">
        <v>242</v>
      </c>
      <c r="BS165" s="228">
        <v>259</v>
      </c>
      <c r="BT165" s="229">
        <v>1.07</v>
      </c>
      <c r="BU165" s="230">
        <v>8819717</v>
      </c>
      <c r="BV165" s="230">
        <v>2845117</v>
      </c>
      <c r="BW165" s="230">
        <v>5974600</v>
      </c>
      <c r="BX165" s="229">
        <v>2.0998999999999999</v>
      </c>
      <c r="BY165" s="228">
        <v>253</v>
      </c>
      <c r="BZ165" s="228">
        <v>249</v>
      </c>
      <c r="CA165" s="228">
        <v>4</v>
      </c>
      <c r="CB165" s="229">
        <v>1.7600000000000001E-2</v>
      </c>
      <c r="CC165" s="228">
        <v>227</v>
      </c>
      <c r="CD165" s="228">
        <v>227</v>
      </c>
      <c r="CE165" s="228">
        <v>1</v>
      </c>
      <c r="CF165" s="229">
        <v>2.8999999999999998E-3</v>
      </c>
      <c r="CG165" s="228">
        <v>26</v>
      </c>
      <c r="CH165" s="228">
        <v>22</v>
      </c>
      <c r="CI165" s="228">
        <v>4</v>
      </c>
      <c r="CJ165" s="229">
        <v>0.16639999999999999</v>
      </c>
      <c r="CK165" s="228">
        <v>0</v>
      </c>
      <c r="CL165" s="228">
        <v>0</v>
      </c>
      <c r="CM165" s="228">
        <v>0</v>
      </c>
      <c r="CN165" s="229">
        <v>0</v>
      </c>
      <c r="CO165" s="228">
        <v>144</v>
      </c>
      <c r="CP165" s="228">
        <v>113</v>
      </c>
      <c r="CQ165" s="228">
        <v>31</v>
      </c>
      <c r="CR165" s="229">
        <v>0.27939999999999998</v>
      </c>
      <c r="CS165" s="228">
        <v>81</v>
      </c>
      <c r="CT165" s="228">
        <v>64</v>
      </c>
      <c r="CU165" s="228">
        <v>18</v>
      </c>
      <c r="CV165" s="229">
        <v>0.27410000000000001</v>
      </c>
      <c r="CW165" s="228">
        <v>479</v>
      </c>
      <c r="CX165" s="228">
        <v>426</v>
      </c>
      <c r="CY165" s="228">
        <v>53</v>
      </c>
      <c r="CZ165" s="229">
        <v>0.12540000000000001</v>
      </c>
      <c r="DA165" s="228">
        <v>47.15</v>
      </c>
      <c r="DB165" s="228">
        <v>39.020000000000003</v>
      </c>
      <c r="DC165" s="228">
        <v>8.1300000000000008</v>
      </c>
      <c r="DD165" s="228">
        <v>8.1300000000000008</v>
      </c>
      <c r="DE165" s="228">
        <v>42.49</v>
      </c>
      <c r="DF165" s="228">
        <v>41.68</v>
      </c>
      <c r="DG165" s="228">
        <v>4.66</v>
      </c>
      <c r="DH165" s="228">
        <v>0.81</v>
      </c>
      <c r="DI165" s="228">
        <v>45.82</v>
      </c>
      <c r="DJ165" s="228">
        <v>39.17</v>
      </c>
      <c r="DK165" s="228">
        <v>6.65</v>
      </c>
      <c r="DL165" s="228">
        <v>6.65</v>
      </c>
      <c r="DM165" s="228">
        <v>48.4</v>
      </c>
      <c r="DN165" s="228">
        <v>38.29</v>
      </c>
      <c r="DO165" s="228">
        <v>10.11</v>
      </c>
      <c r="DP165" s="228">
        <v>10.11</v>
      </c>
      <c r="DQ165" s="228">
        <v>0.56999999999999995</v>
      </c>
      <c r="DR165" s="228">
        <v>0.56999999999999995</v>
      </c>
      <c r="DS165" s="228">
        <v>0</v>
      </c>
      <c r="DT165" s="229">
        <v>0</v>
      </c>
      <c r="DU165" s="228">
        <v>170</v>
      </c>
      <c r="DV165" s="228">
        <v>145</v>
      </c>
      <c r="DW165" s="228">
        <v>1.06</v>
      </c>
      <c r="DX165" s="228">
        <v>0.2</v>
      </c>
      <c r="DY165" s="228">
        <v>0.86</v>
      </c>
      <c r="DZ165" s="229">
        <v>4.3</v>
      </c>
      <c r="EA165" s="229">
        <v>0.10290000000000001</v>
      </c>
      <c r="EB165" s="230">
        <v>1530375</v>
      </c>
      <c r="EC165" s="229">
        <v>-4.4999999999999997E-3</v>
      </c>
      <c r="ED165" s="229">
        <v>0.10290000000000001</v>
      </c>
      <c r="EE165" s="228">
        <v>-0.65</v>
      </c>
      <c r="EF165" s="229">
        <v>-4.4000000000000003E-3</v>
      </c>
      <c r="EG165" s="230">
        <v>2794218</v>
      </c>
      <c r="EH165" s="230">
        <v>1020272</v>
      </c>
      <c r="EI165" s="229">
        <v>1.7386999999999999</v>
      </c>
      <c r="EJ165" s="229">
        <v>0.31680000000000003</v>
      </c>
      <c r="EK165" s="228">
        <v>212.17</v>
      </c>
      <c r="EL165" s="228">
        <v>207.29</v>
      </c>
      <c r="EM165" s="228">
        <v>106.38</v>
      </c>
      <c r="EN165" s="228">
        <v>10.81</v>
      </c>
      <c r="EO165" s="228">
        <v>525.83000000000004</v>
      </c>
      <c r="EP165" s="228">
        <v>271.93</v>
      </c>
      <c r="EQ165" s="228">
        <v>253.9</v>
      </c>
      <c r="ER165" s="229">
        <v>0.93369999999999997</v>
      </c>
      <c r="ES165" s="228">
        <v>163.02000000000001</v>
      </c>
      <c r="ET165" s="228">
        <v>84.68</v>
      </c>
      <c r="EU165" s="228">
        <v>253.36</v>
      </c>
      <c r="EV165" s="231">
        <v>107697729</v>
      </c>
      <c r="EW165" s="228">
        <v>501.07</v>
      </c>
      <c r="EX165" s="228">
        <v>463.78</v>
      </c>
      <c r="EY165" s="228">
        <v>37.29</v>
      </c>
      <c r="EZ165" s="229">
        <v>8.0399999999999999E-2</v>
      </c>
      <c r="FA165" s="229">
        <v>0.30449999999999999</v>
      </c>
      <c r="FB165" s="227" t="s">
        <v>567</v>
      </c>
      <c r="FC165">
        <f t="shared" si="3"/>
        <v>0</v>
      </c>
    </row>
    <row r="166" spans="1:159" ht="17.25" thickBot="1" x14ac:dyDescent="0.3">
      <c r="A166" s="226">
        <v>46093</v>
      </c>
      <c r="B166" s="227" t="s">
        <v>184</v>
      </c>
      <c r="C166" s="227" t="s">
        <v>689</v>
      </c>
      <c r="D166" s="228">
        <v>575</v>
      </c>
      <c r="E166" s="228">
        <v>18</v>
      </c>
      <c r="F166" s="228">
        <v>776.35</v>
      </c>
      <c r="G166" s="228">
        <v>769.4</v>
      </c>
      <c r="H166" s="228">
        <v>6.95</v>
      </c>
      <c r="I166" s="229">
        <v>8.9999999999999993E-3</v>
      </c>
      <c r="J166" s="228">
        <v>789.35</v>
      </c>
      <c r="K166" s="228">
        <v>788.1</v>
      </c>
      <c r="L166" s="228">
        <v>1.25</v>
      </c>
      <c r="M166" s="229">
        <v>1.6000000000000001E-3</v>
      </c>
      <c r="N166" s="228">
        <v>776.35</v>
      </c>
      <c r="O166" s="228">
        <v>769.4</v>
      </c>
      <c r="P166" s="228">
        <v>6.95</v>
      </c>
      <c r="Q166" s="229">
        <v>8.9999999999999993E-3</v>
      </c>
      <c r="R166" s="228">
        <v>766.2</v>
      </c>
      <c r="S166" s="228">
        <v>764.05</v>
      </c>
      <c r="T166" s="228">
        <v>2.15</v>
      </c>
      <c r="U166" s="229">
        <v>2.8E-3</v>
      </c>
      <c r="V166" s="228">
        <v>764.85</v>
      </c>
      <c r="W166" s="228">
        <v>762.6</v>
      </c>
      <c r="X166" s="228">
        <v>2.25</v>
      </c>
      <c r="Y166" s="229">
        <v>3.0000000000000001E-3</v>
      </c>
      <c r="Z166" s="228">
        <v>-13</v>
      </c>
      <c r="AA166" s="228">
        <v>-18.7</v>
      </c>
      <c r="AB166" s="228">
        <v>5.7</v>
      </c>
      <c r="AC166" s="229">
        <v>-1.6500000000000001E-2</v>
      </c>
      <c r="AD166" s="228">
        <v>-13</v>
      </c>
      <c r="AE166" s="228">
        <v>-18.7</v>
      </c>
      <c r="AF166" s="228">
        <v>5.7</v>
      </c>
      <c r="AG166" s="229">
        <v>-1.6500000000000001E-2</v>
      </c>
      <c r="AH166" s="228">
        <v>-23.15</v>
      </c>
      <c r="AI166" s="228">
        <v>-24.05</v>
      </c>
      <c r="AJ166" s="228">
        <v>0.9</v>
      </c>
      <c r="AK166" s="229">
        <v>-2.93E-2</v>
      </c>
      <c r="AL166" s="228">
        <v>-24.5</v>
      </c>
      <c r="AM166" s="228">
        <v>-25.5</v>
      </c>
      <c r="AN166" s="228">
        <v>1</v>
      </c>
      <c r="AO166" s="229">
        <v>-3.1E-2</v>
      </c>
      <c r="AP166" s="228">
        <v>777.17</v>
      </c>
      <c r="AQ166" s="228">
        <v>771</v>
      </c>
      <c r="AR166" s="228">
        <v>0</v>
      </c>
      <c r="AS166" s="228">
        <v>174</v>
      </c>
      <c r="AT166" s="228">
        <v>442</v>
      </c>
      <c r="AU166" s="228">
        <v>-268</v>
      </c>
      <c r="AV166" s="229">
        <v>-0.60529999999999995</v>
      </c>
      <c r="AW166" s="228">
        <v>159</v>
      </c>
      <c r="AX166" s="228">
        <v>399</v>
      </c>
      <c r="AY166" s="228">
        <v>-240</v>
      </c>
      <c r="AZ166" s="229">
        <v>-0.60250000000000004</v>
      </c>
      <c r="BA166" s="228">
        <v>15</v>
      </c>
      <c r="BB166" s="228">
        <v>40</v>
      </c>
      <c r="BC166" s="228">
        <v>-25</v>
      </c>
      <c r="BD166" s="229">
        <v>-0.61860000000000004</v>
      </c>
      <c r="BE166" s="228">
        <v>1</v>
      </c>
      <c r="BF166" s="228">
        <v>3</v>
      </c>
      <c r="BG166" s="228">
        <v>-3</v>
      </c>
      <c r="BH166" s="229">
        <v>-0.78080000000000005</v>
      </c>
      <c r="BI166" s="228">
        <v>418</v>
      </c>
      <c r="BJ166" s="230">
        <v>1142</v>
      </c>
      <c r="BK166" s="228">
        <v>-724</v>
      </c>
      <c r="BL166" s="229">
        <v>-0.63360000000000005</v>
      </c>
      <c r="BM166" s="228">
        <v>187</v>
      </c>
      <c r="BN166" s="228">
        <v>493</v>
      </c>
      <c r="BO166" s="228">
        <v>-306</v>
      </c>
      <c r="BP166" s="229">
        <v>-0.62039999999999995</v>
      </c>
      <c r="BQ166" s="228">
        <v>780</v>
      </c>
      <c r="BR166" s="230">
        <v>2077</v>
      </c>
      <c r="BS166" s="230">
        <v>-1297</v>
      </c>
      <c r="BT166" s="229">
        <v>-0.62450000000000006</v>
      </c>
      <c r="BU166" s="230">
        <v>1671737</v>
      </c>
      <c r="BV166" s="230">
        <v>5224183</v>
      </c>
      <c r="BW166" s="230">
        <v>-3552446</v>
      </c>
      <c r="BX166" s="229">
        <v>-0.68</v>
      </c>
      <c r="BY166" s="228">
        <v>636</v>
      </c>
      <c r="BZ166" s="228">
        <v>633</v>
      </c>
      <c r="CA166" s="228">
        <v>3</v>
      </c>
      <c r="CB166" s="229">
        <v>4.7000000000000002E-3</v>
      </c>
      <c r="CC166" s="228">
        <v>613</v>
      </c>
      <c r="CD166" s="228">
        <v>616</v>
      </c>
      <c r="CE166" s="228">
        <v>-3</v>
      </c>
      <c r="CF166" s="229">
        <v>-4.1999999999999997E-3</v>
      </c>
      <c r="CG166" s="228">
        <v>20</v>
      </c>
      <c r="CH166" s="228">
        <v>15</v>
      </c>
      <c r="CI166" s="228">
        <v>5</v>
      </c>
      <c r="CJ166" s="229">
        <v>0.3604</v>
      </c>
      <c r="CK166" s="228">
        <v>3</v>
      </c>
      <c r="CL166" s="228">
        <v>3</v>
      </c>
      <c r="CM166" s="228">
        <v>0</v>
      </c>
      <c r="CN166" s="229">
        <v>7.0199999999999999E-2</v>
      </c>
      <c r="CO166" s="228">
        <v>283</v>
      </c>
      <c r="CP166" s="228">
        <v>281</v>
      </c>
      <c r="CQ166" s="228">
        <v>2</v>
      </c>
      <c r="CR166" s="229">
        <v>7.7999999999999996E-3</v>
      </c>
      <c r="CS166" s="228">
        <v>237</v>
      </c>
      <c r="CT166" s="228">
        <v>232</v>
      </c>
      <c r="CU166" s="228">
        <v>6</v>
      </c>
      <c r="CV166" s="229">
        <v>2.3900000000000001E-2</v>
      </c>
      <c r="CW166" s="230">
        <v>1157</v>
      </c>
      <c r="CX166" s="230">
        <v>1146</v>
      </c>
      <c r="CY166" s="228">
        <v>11</v>
      </c>
      <c r="CZ166" s="229">
        <v>9.2999999999999992E-3</v>
      </c>
      <c r="DA166" s="228">
        <v>45.88</v>
      </c>
      <c r="DB166" s="228">
        <v>47.2</v>
      </c>
      <c r="DC166" s="228">
        <v>-1.32</v>
      </c>
      <c r="DD166" s="228">
        <v>-1.32</v>
      </c>
      <c r="DE166" s="228">
        <v>48.12</v>
      </c>
      <c r="DF166" s="228">
        <v>48.23</v>
      </c>
      <c r="DG166" s="228">
        <v>-2.2400000000000002</v>
      </c>
      <c r="DH166" s="228">
        <v>-0.11</v>
      </c>
      <c r="DI166" s="228">
        <v>45.11</v>
      </c>
      <c r="DJ166" s="228">
        <v>46.81</v>
      </c>
      <c r="DK166" s="228">
        <v>-1.7</v>
      </c>
      <c r="DL166" s="228">
        <v>-1.7</v>
      </c>
      <c r="DM166" s="228">
        <v>47.61</v>
      </c>
      <c r="DN166" s="228">
        <v>48.1</v>
      </c>
      <c r="DO166" s="228">
        <v>-0.49</v>
      </c>
      <c r="DP166" s="228">
        <v>-0.49</v>
      </c>
      <c r="DQ166" s="228">
        <v>0.84</v>
      </c>
      <c r="DR166" s="228">
        <v>0.83</v>
      </c>
      <c r="DS166" s="228">
        <v>0.01</v>
      </c>
      <c r="DT166" s="229">
        <v>1.2E-2</v>
      </c>
      <c r="DU166" s="228">
        <v>800</v>
      </c>
      <c r="DV166" s="228">
        <v>700</v>
      </c>
      <c r="DW166" s="228">
        <v>0.45</v>
      </c>
      <c r="DX166" s="228">
        <v>0.43</v>
      </c>
      <c r="DY166" s="228">
        <v>0.02</v>
      </c>
      <c r="DZ166" s="229">
        <v>4.65E-2</v>
      </c>
      <c r="EA166" s="229">
        <v>3.61E-2</v>
      </c>
      <c r="EB166" s="230">
        <v>224250</v>
      </c>
      <c r="EC166" s="229">
        <v>-1.3100000000000001E-2</v>
      </c>
      <c r="ED166" s="229">
        <v>3.61E-2</v>
      </c>
      <c r="EE166" s="228">
        <v>-6.17</v>
      </c>
      <c r="EF166" s="229">
        <v>-7.9000000000000008E-3</v>
      </c>
      <c r="EG166" s="230">
        <v>461468</v>
      </c>
      <c r="EH166" s="230">
        <v>1826731</v>
      </c>
      <c r="EI166" s="229">
        <v>-0.74739999999999995</v>
      </c>
      <c r="EJ166" s="229">
        <v>0.27600000000000002</v>
      </c>
      <c r="EK166" s="228">
        <v>445.9</v>
      </c>
      <c r="EL166" s="228">
        <v>181.85</v>
      </c>
      <c r="EM166" s="228">
        <v>174.56</v>
      </c>
      <c r="EN166" s="228">
        <v>46.97</v>
      </c>
      <c r="EO166" s="228">
        <v>802.31</v>
      </c>
      <c r="EP166" s="231">
        <v>2122.6799999999998</v>
      </c>
      <c r="EQ166" s="231">
        <v>-1320.37</v>
      </c>
      <c r="ER166" s="229">
        <v>-0.622</v>
      </c>
      <c r="ES166" s="228">
        <v>289.42</v>
      </c>
      <c r="ET166" s="228">
        <v>214.87</v>
      </c>
      <c r="EU166" s="228">
        <v>636.08000000000004</v>
      </c>
      <c r="EV166" s="231">
        <v>23923093</v>
      </c>
      <c r="EW166" s="231">
        <v>1140.3699999999999</v>
      </c>
      <c r="EX166" s="231">
        <v>1123.4000000000001</v>
      </c>
      <c r="EY166" s="228">
        <v>16.97</v>
      </c>
      <c r="EZ166" s="229">
        <v>1.5100000000000001E-2</v>
      </c>
      <c r="FA166" s="229">
        <v>0.62280000000000002</v>
      </c>
      <c r="FB166" s="227" t="s">
        <v>555</v>
      </c>
      <c r="FC166">
        <f t="shared" si="3"/>
        <v>0</v>
      </c>
    </row>
    <row r="167" spans="1:159" ht="17.25" thickBot="1" x14ac:dyDescent="0.3">
      <c r="A167" s="226">
        <v>46093</v>
      </c>
      <c r="B167" s="227" t="s">
        <v>206</v>
      </c>
      <c r="C167" s="227" t="s">
        <v>605</v>
      </c>
      <c r="D167" s="228">
        <v>450</v>
      </c>
      <c r="E167" s="228">
        <v>18</v>
      </c>
      <c r="F167" s="231">
        <v>1256.4000000000001</v>
      </c>
      <c r="G167" s="231">
        <v>1276</v>
      </c>
      <c r="H167" s="228">
        <v>-19.600000000000001</v>
      </c>
      <c r="I167" s="229">
        <v>-1.54E-2</v>
      </c>
      <c r="J167" s="231">
        <v>1252.7</v>
      </c>
      <c r="K167" s="231">
        <v>1271.5</v>
      </c>
      <c r="L167" s="228">
        <v>-18.8</v>
      </c>
      <c r="M167" s="229">
        <v>-1.4800000000000001E-2</v>
      </c>
      <c r="N167" s="231">
        <v>1256.4000000000001</v>
      </c>
      <c r="O167" s="231">
        <v>1276</v>
      </c>
      <c r="P167" s="228">
        <v>-19.600000000000001</v>
      </c>
      <c r="Q167" s="229">
        <v>-1.54E-2</v>
      </c>
      <c r="R167" s="231">
        <v>1264.8</v>
      </c>
      <c r="S167" s="231">
        <v>1285.8</v>
      </c>
      <c r="T167" s="228">
        <v>-21</v>
      </c>
      <c r="U167" s="229">
        <v>-1.6299999999999999E-2</v>
      </c>
      <c r="V167" s="231">
        <v>1283.8</v>
      </c>
      <c r="W167" s="231">
        <v>1283.8</v>
      </c>
      <c r="X167" s="228">
        <v>0</v>
      </c>
      <c r="Y167" s="229">
        <v>0</v>
      </c>
      <c r="Z167" s="228">
        <v>3.7</v>
      </c>
      <c r="AA167" s="228">
        <v>4.5</v>
      </c>
      <c r="AB167" s="228">
        <v>-0.8</v>
      </c>
      <c r="AC167" s="229">
        <v>3.0000000000000001E-3</v>
      </c>
      <c r="AD167" s="228">
        <v>3.7</v>
      </c>
      <c r="AE167" s="228">
        <v>4.5</v>
      </c>
      <c r="AF167" s="228">
        <v>-0.8</v>
      </c>
      <c r="AG167" s="229">
        <v>3.0000000000000001E-3</v>
      </c>
      <c r="AH167" s="228">
        <v>12.1</v>
      </c>
      <c r="AI167" s="228">
        <v>14.3</v>
      </c>
      <c r="AJ167" s="228">
        <v>-2.2000000000000002</v>
      </c>
      <c r="AK167" s="229">
        <v>9.7000000000000003E-3</v>
      </c>
      <c r="AL167" s="228">
        <v>31.1</v>
      </c>
      <c r="AM167" s="228">
        <v>12.3</v>
      </c>
      <c r="AN167" s="228">
        <v>18.8</v>
      </c>
      <c r="AO167" s="229">
        <v>2.4799999999999999E-2</v>
      </c>
      <c r="AP167" s="231">
        <v>1262.43</v>
      </c>
      <c r="AQ167" s="231">
        <v>1265.01</v>
      </c>
      <c r="AR167" s="228">
        <v>0</v>
      </c>
      <c r="AS167" s="228">
        <v>130</v>
      </c>
      <c r="AT167" s="228">
        <v>145</v>
      </c>
      <c r="AU167" s="228">
        <v>-15</v>
      </c>
      <c r="AV167" s="229">
        <v>-0.1048</v>
      </c>
      <c r="AW167" s="228">
        <v>121</v>
      </c>
      <c r="AX167" s="228">
        <v>140</v>
      </c>
      <c r="AY167" s="228">
        <v>-19</v>
      </c>
      <c r="AZ167" s="229">
        <v>-0.13669999999999999</v>
      </c>
      <c r="BA167" s="228">
        <v>9</v>
      </c>
      <c r="BB167" s="228">
        <v>5</v>
      </c>
      <c r="BC167" s="228">
        <v>4</v>
      </c>
      <c r="BD167" s="229">
        <v>0.74470000000000003</v>
      </c>
      <c r="BE167" s="228">
        <v>0</v>
      </c>
      <c r="BF167" s="228">
        <v>0</v>
      </c>
      <c r="BG167" s="228">
        <v>0</v>
      </c>
      <c r="BH167" s="229">
        <v>-1</v>
      </c>
      <c r="BI167" s="228">
        <v>126</v>
      </c>
      <c r="BJ167" s="228">
        <v>116</v>
      </c>
      <c r="BK167" s="228">
        <v>11</v>
      </c>
      <c r="BL167" s="229">
        <v>9.1399999999999995E-2</v>
      </c>
      <c r="BM167" s="228">
        <v>128</v>
      </c>
      <c r="BN167" s="228">
        <v>92</v>
      </c>
      <c r="BO167" s="228">
        <v>36</v>
      </c>
      <c r="BP167" s="229">
        <v>0.38919999999999999</v>
      </c>
      <c r="BQ167" s="228">
        <v>384</v>
      </c>
      <c r="BR167" s="228">
        <v>353</v>
      </c>
      <c r="BS167" s="228">
        <v>31</v>
      </c>
      <c r="BT167" s="229">
        <v>8.8400000000000006E-2</v>
      </c>
      <c r="BU167" s="230">
        <v>495102</v>
      </c>
      <c r="BV167" s="230">
        <v>1477143</v>
      </c>
      <c r="BW167" s="230">
        <v>-982041</v>
      </c>
      <c r="BX167" s="229">
        <v>-0.66479999999999995</v>
      </c>
      <c r="BY167" s="228">
        <v>725</v>
      </c>
      <c r="BZ167" s="228">
        <v>731</v>
      </c>
      <c r="CA167" s="228">
        <v>-7</v>
      </c>
      <c r="CB167" s="229">
        <v>-8.9999999999999993E-3</v>
      </c>
      <c r="CC167" s="228">
        <v>713</v>
      </c>
      <c r="CD167" s="228">
        <v>718</v>
      </c>
      <c r="CE167" s="228">
        <v>-6</v>
      </c>
      <c r="CF167" s="229">
        <v>-7.7999999999999996E-3</v>
      </c>
      <c r="CG167" s="228">
        <v>12</v>
      </c>
      <c r="CH167" s="228">
        <v>13</v>
      </c>
      <c r="CI167" s="228">
        <v>-1</v>
      </c>
      <c r="CJ167" s="229">
        <v>-7.46E-2</v>
      </c>
      <c r="CK167" s="228">
        <v>0</v>
      </c>
      <c r="CL167" s="228">
        <v>0</v>
      </c>
      <c r="CM167" s="228">
        <v>0</v>
      </c>
      <c r="CN167" s="229">
        <v>0</v>
      </c>
      <c r="CO167" s="228">
        <v>175</v>
      </c>
      <c r="CP167" s="228">
        <v>171</v>
      </c>
      <c r="CQ167" s="228">
        <v>5</v>
      </c>
      <c r="CR167" s="229">
        <v>2.7099999999999999E-2</v>
      </c>
      <c r="CS167" s="228">
        <v>142</v>
      </c>
      <c r="CT167" s="228">
        <v>131</v>
      </c>
      <c r="CU167" s="228">
        <v>11</v>
      </c>
      <c r="CV167" s="229">
        <v>8.3299999999999999E-2</v>
      </c>
      <c r="CW167" s="230">
        <v>1042</v>
      </c>
      <c r="CX167" s="230">
        <v>1033</v>
      </c>
      <c r="CY167" s="228">
        <v>9</v>
      </c>
      <c r="CZ167" s="229">
        <v>8.6999999999999994E-3</v>
      </c>
      <c r="DA167" s="228">
        <v>41.83</v>
      </c>
      <c r="DB167" s="228">
        <v>42.09</v>
      </c>
      <c r="DC167" s="228">
        <v>-0.26</v>
      </c>
      <c r="DD167" s="228">
        <v>-0.26</v>
      </c>
      <c r="DE167" s="228">
        <v>43.03</v>
      </c>
      <c r="DF167" s="228">
        <v>43.09</v>
      </c>
      <c r="DG167" s="228">
        <v>-1.2</v>
      </c>
      <c r="DH167" s="228">
        <v>-0.06</v>
      </c>
      <c r="DI167" s="228">
        <v>40.659999999999997</v>
      </c>
      <c r="DJ167" s="228">
        <v>40.75</v>
      </c>
      <c r="DK167" s="228">
        <v>-0.09</v>
      </c>
      <c r="DL167" s="228">
        <v>-0.09</v>
      </c>
      <c r="DM167" s="228">
        <v>42.99</v>
      </c>
      <c r="DN167" s="228">
        <v>43.76</v>
      </c>
      <c r="DO167" s="228">
        <v>-0.77</v>
      </c>
      <c r="DP167" s="228">
        <v>-0.77</v>
      </c>
      <c r="DQ167" s="228">
        <v>0.81</v>
      </c>
      <c r="DR167" s="228">
        <v>0.77</v>
      </c>
      <c r="DS167" s="228">
        <v>0.04</v>
      </c>
      <c r="DT167" s="229">
        <v>5.1900000000000002E-2</v>
      </c>
      <c r="DU167" s="231">
        <v>1400</v>
      </c>
      <c r="DV167" s="231">
        <v>1240</v>
      </c>
      <c r="DW167" s="228">
        <v>1.01</v>
      </c>
      <c r="DX167" s="228">
        <v>0.8</v>
      </c>
      <c r="DY167" s="228">
        <v>0.21</v>
      </c>
      <c r="DZ167" s="229">
        <v>0.26250000000000001</v>
      </c>
      <c r="EA167" s="229">
        <v>1.6799999999999999E-2</v>
      </c>
      <c r="EB167" s="230">
        <v>104400</v>
      </c>
      <c r="EC167" s="229">
        <v>6.7000000000000002E-3</v>
      </c>
      <c r="ED167" s="229">
        <v>1.6799999999999999E-2</v>
      </c>
      <c r="EE167" s="228">
        <v>2.58</v>
      </c>
      <c r="EF167" s="229">
        <v>2E-3</v>
      </c>
      <c r="EG167" s="230">
        <v>245417</v>
      </c>
      <c r="EH167" s="230">
        <v>910148</v>
      </c>
      <c r="EI167" s="229">
        <v>-0.73040000000000005</v>
      </c>
      <c r="EJ167" s="229">
        <v>0.49569999999999997</v>
      </c>
      <c r="EK167" s="228">
        <v>139.97999999999999</v>
      </c>
      <c r="EL167" s="228">
        <v>131.94999999999999</v>
      </c>
      <c r="EM167" s="228">
        <v>130.57</v>
      </c>
      <c r="EN167" s="228">
        <v>25.02</v>
      </c>
      <c r="EO167" s="228">
        <v>402.5</v>
      </c>
      <c r="EP167" s="228">
        <v>376.7</v>
      </c>
      <c r="EQ167" s="228">
        <v>25.8</v>
      </c>
      <c r="ER167" s="229">
        <v>6.8500000000000005E-2</v>
      </c>
      <c r="ES167" s="228">
        <v>203.45</v>
      </c>
      <c r="ET167" s="228">
        <v>148.94999999999999</v>
      </c>
      <c r="EU167" s="228">
        <v>724.96</v>
      </c>
      <c r="EV167" s="231">
        <v>22697169</v>
      </c>
      <c r="EW167" s="231">
        <v>1077.3599999999999</v>
      </c>
      <c r="EX167" s="231">
        <v>1082.1300000000001</v>
      </c>
      <c r="EY167" s="228">
        <v>-4.7699999999999996</v>
      </c>
      <c r="EZ167" s="229">
        <v>-4.4000000000000003E-3</v>
      </c>
      <c r="FA167" s="229">
        <v>0.36549999999999999</v>
      </c>
      <c r="FB167" s="227" t="s">
        <v>568</v>
      </c>
      <c r="FC167">
        <f t="shared" si="3"/>
        <v>0</v>
      </c>
    </row>
    <row r="168" spans="1:159" ht="17.25" thickBot="1" x14ac:dyDescent="0.3">
      <c r="A168" s="226">
        <v>46093</v>
      </c>
      <c r="B168" s="227" t="s">
        <v>172</v>
      </c>
      <c r="C168" s="227" t="s">
        <v>279</v>
      </c>
      <c r="D168" s="228">
        <v>3175</v>
      </c>
      <c r="E168" s="228">
        <v>18</v>
      </c>
      <c r="F168" s="228">
        <v>300.39999999999998</v>
      </c>
      <c r="G168" s="228">
        <v>299.2</v>
      </c>
      <c r="H168" s="228">
        <v>1.2</v>
      </c>
      <c r="I168" s="229">
        <v>4.0000000000000001E-3</v>
      </c>
      <c r="J168" s="228">
        <v>299.8</v>
      </c>
      <c r="K168" s="228">
        <v>297.7</v>
      </c>
      <c r="L168" s="228">
        <v>2.1</v>
      </c>
      <c r="M168" s="229">
        <v>7.1000000000000004E-3</v>
      </c>
      <c r="N168" s="228">
        <v>300.39999999999998</v>
      </c>
      <c r="O168" s="228">
        <v>299.2</v>
      </c>
      <c r="P168" s="228">
        <v>1.2</v>
      </c>
      <c r="Q168" s="229">
        <v>4.0000000000000001E-3</v>
      </c>
      <c r="R168" s="228">
        <v>302.45</v>
      </c>
      <c r="S168" s="228">
        <v>301</v>
      </c>
      <c r="T168" s="228">
        <v>1.45</v>
      </c>
      <c r="U168" s="229">
        <v>4.7999999999999996E-3</v>
      </c>
      <c r="V168" s="228">
        <v>303.5</v>
      </c>
      <c r="W168" s="228">
        <v>302.3</v>
      </c>
      <c r="X168" s="228">
        <v>1.2</v>
      </c>
      <c r="Y168" s="229">
        <v>4.0000000000000001E-3</v>
      </c>
      <c r="Z168" s="228">
        <v>0.6</v>
      </c>
      <c r="AA168" s="228">
        <v>1.5</v>
      </c>
      <c r="AB168" s="228">
        <v>-0.9</v>
      </c>
      <c r="AC168" s="229">
        <v>2E-3</v>
      </c>
      <c r="AD168" s="228">
        <v>0.6</v>
      </c>
      <c r="AE168" s="228">
        <v>1.5</v>
      </c>
      <c r="AF168" s="228">
        <v>-0.9</v>
      </c>
      <c r="AG168" s="229">
        <v>2E-3</v>
      </c>
      <c r="AH168" s="228">
        <v>2.65</v>
      </c>
      <c r="AI168" s="228">
        <v>3.3</v>
      </c>
      <c r="AJ168" s="228">
        <v>-0.65</v>
      </c>
      <c r="AK168" s="229">
        <v>8.8000000000000005E-3</v>
      </c>
      <c r="AL168" s="228">
        <v>3.7</v>
      </c>
      <c r="AM168" s="228">
        <v>4.5999999999999996</v>
      </c>
      <c r="AN168" s="228">
        <v>-0.9</v>
      </c>
      <c r="AO168" s="229">
        <v>1.23E-2</v>
      </c>
      <c r="AP168" s="228">
        <v>298.58999999999997</v>
      </c>
      <c r="AQ168" s="228">
        <v>299.89999999999998</v>
      </c>
      <c r="AR168" s="228">
        <v>0</v>
      </c>
      <c r="AS168" s="228">
        <v>376</v>
      </c>
      <c r="AT168" s="228">
        <v>414</v>
      </c>
      <c r="AU168" s="228">
        <v>-38</v>
      </c>
      <c r="AV168" s="229">
        <v>-9.2200000000000004E-2</v>
      </c>
      <c r="AW168" s="228">
        <v>358</v>
      </c>
      <c r="AX168" s="228">
        <v>398</v>
      </c>
      <c r="AY168" s="228">
        <v>-41</v>
      </c>
      <c r="AZ168" s="229">
        <v>-0.1024</v>
      </c>
      <c r="BA168" s="228">
        <v>17</v>
      </c>
      <c r="BB168" s="228">
        <v>15</v>
      </c>
      <c r="BC168" s="228">
        <v>2</v>
      </c>
      <c r="BD168" s="229">
        <v>0.1429</v>
      </c>
      <c r="BE168" s="228">
        <v>1</v>
      </c>
      <c r="BF168" s="228">
        <v>1</v>
      </c>
      <c r="BG168" s="228">
        <v>1</v>
      </c>
      <c r="BH168" s="229">
        <v>0.85709999999999997</v>
      </c>
      <c r="BI168" s="228">
        <v>670</v>
      </c>
      <c r="BJ168" s="228">
        <v>766</v>
      </c>
      <c r="BK168" s="228">
        <v>-95</v>
      </c>
      <c r="BL168" s="229">
        <v>-0.12470000000000001</v>
      </c>
      <c r="BM168" s="228">
        <v>448</v>
      </c>
      <c r="BN168" s="228">
        <v>665</v>
      </c>
      <c r="BO168" s="228">
        <v>-217</v>
      </c>
      <c r="BP168" s="229">
        <v>-0.32629999999999998</v>
      </c>
      <c r="BQ168" s="230">
        <v>1494</v>
      </c>
      <c r="BR168" s="230">
        <v>1844</v>
      </c>
      <c r="BS168" s="228">
        <v>-351</v>
      </c>
      <c r="BT168" s="229">
        <v>-0.19009999999999999</v>
      </c>
      <c r="BU168" s="230">
        <v>3247390</v>
      </c>
      <c r="BV168" s="230">
        <v>3411717</v>
      </c>
      <c r="BW168" s="230">
        <v>-164327</v>
      </c>
      <c r="BX168" s="229">
        <v>-4.82E-2</v>
      </c>
      <c r="BY168" s="230">
        <v>2008</v>
      </c>
      <c r="BZ168" s="230">
        <v>1984</v>
      </c>
      <c r="CA168" s="228">
        <v>25</v>
      </c>
      <c r="CB168" s="229">
        <v>1.24E-2</v>
      </c>
      <c r="CC168" s="230">
        <v>1836</v>
      </c>
      <c r="CD168" s="230">
        <v>1813</v>
      </c>
      <c r="CE168" s="228">
        <v>23</v>
      </c>
      <c r="CF168" s="229">
        <v>1.2500000000000001E-2</v>
      </c>
      <c r="CG168" s="228">
        <v>168</v>
      </c>
      <c r="CH168" s="228">
        <v>167</v>
      </c>
      <c r="CI168" s="228">
        <v>1</v>
      </c>
      <c r="CJ168" s="229">
        <v>8.6E-3</v>
      </c>
      <c r="CK168" s="228">
        <v>4</v>
      </c>
      <c r="CL168" s="228">
        <v>3</v>
      </c>
      <c r="CM168" s="228">
        <v>0</v>
      </c>
      <c r="CN168" s="229">
        <v>0.1111</v>
      </c>
      <c r="CO168" s="228">
        <v>774</v>
      </c>
      <c r="CP168" s="228">
        <v>757</v>
      </c>
      <c r="CQ168" s="228">
        <v>17</v>
      </c>
      <c r="CR168" s="229">
        <v>2.24E-2</v>
      </c>
      <c r="CS168" s="228">
        <v>908</v>
      </c>
      <c r="CT168" s="228">
        <v>853</v>
      </c>
      <c r="CU168" s="228">
        <v>55</v>
      </c>
      <c r="CV168" s="229">
        <v>6.4399999999999999E-2</v>
      </c>
      <c r="CW168" s="230">
        <v>3690</v>
      </c>
      <c r="CX168" s="230">
        <v>3594</v>
      </c>
      <c r="CY168" s="228">
        <v>96</v>
      </c>
      <c r="CZ168" s="229">
        <v>2.6800000000000001E-2</v>
      </c>
      <c r="DA168" s="228">
        <v>33.67</v>
      </c>
      <c r="DB168" s="228">
        <v>33.130000000000003</v>
      </c>
      <c r="DC168" s="228">
        <v>0.54</v>
      </c>
      <c r="DD168" s="228">
        <v>0.54</v>
      </c>
      <c r="DE168" s="228">
        <v>43.03</v>
      </c>
      <c r="DF168" s="228">
        <v>43.12</v>
      </c>
      <c r="DG168" s="228">
        <v>-9.36</v>
      </c>
      <c r="DH168" s="228">
        <v>-0.09</v>
      </c>
      <c r="DI168" s="228">
        <v>33.33</v>
      </c>
      <c r="DJ168" s="228">
        <v>33.35</v>
      </c>
      <c r="DK168" s="228">
        <v>-0.02</v>
      </c>
      <c r="DL168" s="228">
        <v>-0.02</v>
      </c>
      <c r="DM168" s="228">
        <v>34.17</v>
      </c>
      <c r="DN168" s="228">
        <v>32.869999999999997</v>
      </c>
      <c r="DO168" s="228">
        <v>1.3</v>
      </c>
      <c r="DP168" s="228">
        <v>1.3</v>
      </c>
      <c r="DQ168" s="228">
        <v>1.17</v>
      </c>
      <c r="DR168" s="228">
        <v>1.1299999999999999</v>
      </c>
      <c r="DS168" s="228">
        <v>0.04</v>
      </c>
      <c r="DT168" s="229">
        <v>3.5400000000000001E-2</v>
      </c>
      <c r="DU168" s="228">
        <v>330</v>
      </c>
      <c r="DV168" s="228">
        <v>280</v>
      </c>
      <c r="DW168" s="228">
        <v>0.67</v>
      </c>
      <c r="DX168" s="228">
        <v>0.87</v>
      </c>
      <c r="DY168" s="228">
        <v>-0.2</v>
      </c>
      <c r="DZ168" s="229">
        <v>-0.22989999999999999</v>
      </c>
      <c r="EA168" s="229">
        <v>8.5699999999999998E-2</v>
      </c>
      <c r="EB168" s="230">
        <v>5670550</v>
      </c>
      <c r="EC168" s="229">
        <v>6.7999999999999996E-3</v>
      </c>
      <c r="ED168" s="229">
        <v>8.5699999999999998E-2</v>
      </c>
      <c r="EE168" s="228">
        <v>1.31</v>
      </c>
      <c r="EF168" s="229">
        <v>4.4000000000000003E-3</v>
      </c>
      <c r="EG168" s="230">
        <v>920584</v>
      </c>
      <c r="EH168" s="230">
        <v>940443</v>
      </c>
      <c r="EI168" s="229">
        <v>-2.1100000000000001E-2</v>
      </c>
      <c r="EJ168" s="229">
        <v>0.28349999999999997</v>
      </c>
      <c r="EK168" s="228">
        <v>707.12</v>
      </c>
      <c r="EL168" s="228">
        <v>444.54</v>
      </c>
      <c r="EM168" s="228">
        <v>373.51</v>
      </c>
      <c r="EN168" s="228">
        <v>50.89</v>
      </c>
      <c r="EO168" s="231">
        <v>1525.17</v>
      </c>
      <c r="EP168" s="231">
        <v>1912.58</v>
      </c>
      <c r="EQ168" s="228">
        <v>-387.41</v>
      </c>
      <c r="ER168" s="229">
        <v>-0.2026</v>
      </c>
      <c r="ES168" s="228">
        <v>839.64</v>
      </c>
      <c r="ET168" s="228">
        <v>890.38</v>
      </c>
      <c r="EU168" s="231">
        <v>2009.54</v>
      </c>
      <c r="EV168" s="231">
        <v>91953095</v>
      </c>
      <c r="EW168" s="231">
        <v>3739.56</v>
      </c>
      <c r="EX168" s="231">
        <v>3638.03</v>
      </c>
      <c r="EY168" s="228">
        <v>101.53</v>
      </c>
      <c r="EZ168" s="229">
        <v>2.7900000000000001E-2</v>
      </c>
      <c r="FA168" s="229">
        <v>1.3360000000000001</v>
      </c>
      <c r="FB168" s="227" t="s">
        <v>555</v>
      </c>
      <c r="FC168">
        <f t="shared" si="3"/>
        <v>0</v>
      </c>
    </row>
    <row r="169" spans="1:159" ht="17.25" thickBot="1" x14ac:dyDescent="0.3">
      <c r="A169" s="226">
        <v>46093</v>
      </c>
      <c r="B169" s="227" t="s">
        <v>175</v>
      </c>
      <c r="C169" s="227" t="s">
        <v>280</v>
      </c>
      <c r="D169" s="228">
        <v>1400</v>
      </c>
      <c r="E169" s="228">
        <v>18</v>
      </c>
      <c r="F169" s="228">
        <v>341.15</v>
      </c>
      <c r="G169" s="228">
        <v>332.2</v>
      </c>
      <c r="H169" s="228">
        <v>8.9499999999999993</v>
      </c>
      <c r="I169" s="229">
        <v>2.69E-2</v>
      </c>
      <c r="J169" s="228">
        <v>343.5</v>
      </c>
      <c r="K169" s="228">
        <v>333.05</v>
      </c>
      <c r="L169" s="228">
        <v>10.45</v>
      </c>
      <c r="M169" s="229">
        <v>3.1399999999999997E-2</v>
      </c>
      <c r="N169" s="228">
        <v>341.15</v>
      </c>
      <c r="O169" s="228">
        <v>332.2</v>
      </c>
      <c r="P169" s="228">
        <v>8.9499999999999993</v>
      </c>
      <c r="Q169" s="229">
        <v>2.69E-2</v>
      </c>
      <c r="R169" s="228">
        <v>343.5</v>
      </c>
      <c r="S169" s="228">
        <v>334.1</v>
      </c>
      <c r="T169" s="228">
        <v>9.4</v>
      </c>
      <c r="U169" s="229">
        <v>2.81E-2</v>
      </c>
      <c r="V169" s="228">
        <v>344.85</v>
      </c>
      <c r="W169" s="228">
        <v>335.3</v>
      </c>
      <c r="X169" s="228">
        <v>9.5500000000000007</v>
      </c>
      <c r="Y169" s="229">
        <v>2.8500000000000001E-2</v>
      </c>
      <c r="Z169" s="228">
        <v>-2.35</v>
      </c>
      <c r="AA169" s="228">
        <v>-0.85</v>
      </c>
      <c r="AB169" s="228">
        <v>-1.5</v>
      </c>
      <c r="AC169" s="229">
        <v>-6.7999999999999996E-3</v>
      </c>
      <c r="AD169" s="228">
        <v>-2.35</v>
      </c>
      <c r="AE169" s="228">
        <v>-0.85</v>
      </c>
      <c r="AF169" s="228">
        <v>-1.5</v>
      </c>
      <c r="AG169" s="229">
        <v>-6.7999999999999996E-3</v>
      </c>
      <c r="AH169" s="228">
        <v>0</v>
      </c>
      <c r="AI169" s="228">
        <v>1.05</v>
      </c>
      <c r="AJ169" s="228">
        <v>-1.05</v>
      </c>
      <c r="AK169" s="229">
        <v>0</v>
      </c>
      <c r="AL169" s="228">
        <v>1.35</v>
      </c>
      <c r="AM169" s="228">
        <v>2.25</v>
      </c>
      <c r="AN169" s="228">
        <v>-0.9</v>
      </c>
      <c r="AO169" s="229">
        <v>3.8999999999999998E-3</v>
      </c>
      <c r="AP169" s="228">
        <v>338.31</v>
      </c>
      <c r="AQ169" s="228">
        <v>340.63</v>
      </c>
      <c r="AR169" s="228">
        <v>0</v>
      </c>
      <c r="AS169" s="228">
        <v>570</v>
      </c>
      <c r="AT169" s="228">
        <v>294</v>
      </c>
      <c r="AU169" s="228">
        <v>276</v>
      </c>
      <c r="AV169" s="229">
        <v>0.93969999999999998</v>
      </c>
      <c r="AW169" s="228">
        <v>467</v>
      </c>
      <c r="AX169" s="228">
        <v>253</v>
      </c>
      <c r="AY169" s="228">
        <v>214</v>
      </c>
      <c r="AZ169" s="229">
        <v>0.84470000000000001</v>
      </c>
      <c r="BA169" s="228">
        <v>93</v>
      </c>
      <c r="BB169" s="228">
        <v>35</v>
      </c>
      <c r="BC169" s="228">
        <v>58</v>
      </c>
      <c r="BD169" s="229">
        <v>1.6348</v>
      </c>
      <c r="BE169" s="228">
        <v>9</v>
      </c>
      <c r="BF169" s="228">
        <v>5</v>
      </c>
      <c r="BG169" s="228">
        <v>4</v>
      </c>
      <c r="BH169" s="229">
        <v>0.82179999999999997</v>
      </c>
      <c r="BI169" s="230">
        <v>1585</v>
      </c>
      <c r="BJ169" s="228">
        <v>607</v>
      </c>
      <c r="BK169" s="228">
        <v>979</v>
      </c>
      <c r="BL169" s="229">
        <v>1.6134999999999999</v>
      </c>
      <c r="BM169" s="228">
        <v>690</v>
      </c>
      <c r="BN169" s="228">
        <v>310</v>
      </c>
      <c r="BO169" s="228">
        <v>380</v>
      </c>
      <c r="BP169" s="229">
        <v>1.2242</v>
      </c>
      <c r="BQ169" s="230">
        <v>2844</v>
      </c>
      <c r="BR169" s="230">
        <v>1210</v>
      </c>
      <c r="BS169" s="230">
        <v>1634</v>
      </c>
      <c r="BT169" s="229">
        <v>1.3503000000000001</v>
      </c>
      <c r="BU169" s="230">
        <v>10934884</v>
      </c>
      <c r="BV169" s="230">
        <v>6372371</v>
      </c>
      <c r="BW169" s="230">
        <v>4562513</v>
      </c>
      <c r="BX169" s="229">
        <v>0.71599999999999997</v>
      </c>
      <c r="BY169" s="230">
        <v>2640</v>
      </c>
      <c r="BZ169" s="230">
        <v>2671</v>
      </c>
      <c r="CA169" s="228">
        <v>-31</v>
      </c>
      <c r="CB169" s="229">
        <v>-1.17E-2</v>
      </c>
      <c r="CC169" s="230">
        <v>2404</v>
      </c>
      <c r="CD169" s="230">
        <v>2434</v>
      </c>
      <c r="CE169" s="228">
        <v>-30</v>
      </c>
      <c r="CF169" s="229">
        <v>-1.24E-2</v>
      </c>
      <c r="CG169" s="228">
        <v>219</v>
      </c>
      <c r="CH169" s="228">
        <v>221</v>
      </c>
      <c r="CI169" s="228">
        <v>-2</v>
      </c>
      <c r="CJ169" s="229">
        <v>-8.2000000000000007E-3</v>
      </c>
      <c r="CK169" s="228">
        <v>16</v>
      </c>
      <c r="CL169" s="228">
        <v>16</v>
      </c>
      <c r="CM169" s="228">
        <v>1</v>
      </c>
      <c r="CN169" s="229">
        <v>4.5600000000000002E-2</v>
      </c>
      <c r="CO169" s="230">
        <v>1025</v>
      </c>
      <c r="CP169" s="228">
        <v>990</v>
      </c>
      <c r="CQ169" s="228">
        <v>35</v>
      </c>
      <c r="CR169" s="229">
        <v>3.5299999999999998E-2</v>
      </c>
      <c r="CS169" s="230">
        <v>1047</v>
      </c>
      <c r="CT169" s="230">
        <v>1005</v>
      </c>
      <c r="CU169" s="228">
        <v>42</v>
      </c>
      <c r="CV169" s="229">
        <v>4.1399999999999999E-2</v>
      </c>
      <c r="CW169" s="230">
        <v>4712</v>
      </c>
      <c r="CX169" s="230">
        <v>4667</v>
      </c>
      <c r="CY169" s="228">
        <v>45</v>
      </c>
      <c r="CZ169" s="229">
        <v>9.7000000000000003E-3</v>
      </c>
      <c r="DA169" s="228">
        <v>37.57</v>
      </c>
      <c r="DB169" s="228">
        <v>36.72</v>
      </c>
      <c r="DC169" s="228">
        <v>0.85</v>
      </c>
      <c r="DD169" s="228">
        <v>0.85</v>
      </c>
      <c r="DE169" s="228">
        <v>41.55</v>
      </c>
      <c r="DF169" s="228">
        <v>41.5</v>
      </c>
      <c r="DG169" s="228">
        <v>-3.98</v>
      </c>
      <c r="DH169" s="228">
        <v>0.05</v>
      </c>
      <c r="DI169" s="228">
        <v>36.35</v>
      </c>
      <c r="DJ169" s="228">
        <v>35.799999999999997</v>
      </c>
      <c r="DK169" s="228">
        <v>0.55000000000000004</v>
      </c>
      <c r="DL169" s="228">
        <v>0.55000000000000004</v>
      </c>
      <c r="DM169" s="228">
        <v>40.39</v>
      </c>
      <c r="DN169" s="228">
        <v>38.53</v>
      </c>
      <c r="DO169" s="228">
        <v>1.86</v>
      </c>
      <c r="DP169" s="228">
        <v>1.86</v>
      </c>
      <c r="DQ169" s="228">
        <v>1.02</v>
      </c>
      <c r="DR169" s="228">
        <v>1.01</v>
      </c>
      <c r="DS169" s="228">
        <v>0.01</v>
      </c>
      <c r="DT169" s="229">
        <v>9.9000000000000008E-3</v>
      </c>
      <c r="DU169" s="228">
        <v>370</v>
      </c>
      <c r="DV169" s="228">
        <v>320</v>
      </c>
      <c r="DW169" s="228">
        <v>0.43</v>
      </c>
      <c r="DX169" s="228">
        <v>0.51</v>
      </c>
      <c r="DY169" s="228">
        <v>-0.08</v>
      </c>
      <c r="DZ169" s="229">
        <v>-0.15690000000000001</v>
      </c>
      <c r="EA169" s="229">
        <v>8.9300000000000004E-2</v>
      </c>
      <c r="EB169" s="230">
        <v>6942600</v>
      </c>
      <c r="EC169" s="229">
        <v>6.8999999999999999E-3</v>
      </c>
      <c r="ED169" s="229">
        <v>8.9300000000000004E-2</v>
      </c>
      <c r="EE169" s="228">
        <v>2.3199999999999998</v>
      </c>
      <c r="EF169" s="229">
        <v>6.8999999999999999E-3</v>
      </c>
      <c r="EG169" s="230">
        <v>3544377</v>
      </c>
      <c r="EH169" s="230">
        <v>3394421</v>
      </c>
      <c r="EI169" s="229">
        <v>4.4200000000000003E-2</v>
      </c>
      <c r="EJ169" s="229">
        <v>0.3241</v>
      </c>
      <c r="EK169" s="231">
        <v>1687.18</v>
      </c>
      <c r="EL169" s="228">
        <v>673.11</v>
      </c>
      <c r="EM169" s="228">
        <v>565.62</v>
      </c>
      <c r="EN169" s="228">
        <v>93.98</v>
      </c>
      <c r="EO169" s="231">
        <v>2925.92</v>
      </c>
      <c r="EP169" s="231">
        <v>1228.04</v>
      </c>
      <c r="EQ169" s="231">
        <v>1697.87</v>
      </c>
      <c r="ER169" s="229">
        <v>1.3826000000000001</v>
      </c>
      <c r="ES169" s="231">
        <v>1093.31</v>
      </c>
      <c r="ET169" s="231">
        <v>1046.19</v>
      </c>
      <c r="EU169" s="231">
        <v>2641.68</v>
      </c>
      <c r="EV169" s="231">
        <v>187084550</v>
      </c>
      <c r="EW169" s="231">
        <v>4781.18</v>
      </c>
      <c r="EX169" s="231">
        <v>4663.72</v>
      </c>
      <c r="EY169" s="228">
        <v>117.46</v>
      </c>
      <c r="EZ169" s="229">
        <v>2.52E-2</v>
      </c>
      <c r="FA169" s="229">
        <v>0.73829999999999996</v>
      </c>
      <c r="FB169" s="227" t="s">
        <v>556</v>
      </c>
      <c r="FC169">
        <f t="shared" si="3"/>
        <v>0</v>
      </c>
    </row>
    <row r="170" spans="1:159" ht="17.25" thickBot="1" x14ac:dyDescent="0.3">
      <c r="A170" s="226">
        <v>46093</v>
      </c>
      <c r="B170" s="227" t="s">
        <v>193</v>
      </c>
      <c r="C170" s="227" t="s">
        <v>281</v>
      </c>
      <c r="D170" s="228">
        <v>500</v>
      </c>
      <c r="E170" s="228">
        <v>18</v>
      </c>
      <c r="F170" s="231">
        <v>1397</v>
      </c>
      <c r="G170" s="231">
        <v>1391.2</v>
      </c>
      <c r="H170" s="228">
        <v>5.8</v>
      </c>
      <c r="I170" s="229">
        <v>4.1999999999999997E-3</v>
      </c>
      <c r="J170" s="231">
        <v>1392.2</v>
      </c>
      <c r="K170" s="231">
        <v>1390.2</v>
      </c>
      <c r="L170" s="228">
        <v>2</v>
      </c>
      <c r="M170" s="229">
        <v>1.4E-3</v>
      </c>
      <c r="N170" s="231">
        <v>1397</v>
      </c>
      <c r="O170" s="231">
        <v>1391.2</v>
      </c>
      <c r="P170" s="228">
        <v>5.8</v>
      </c>
      <c r="Q170" s="229">
        <v>4.1999999999999997E-3</v>
      </c>
      <c r="R170" s="231">
        <v>1405.6</v>
      </c>
      <c r="S170" s="231">
        <v>1400.1</v>
      </c>
      <c r="T170" s="228">
        <v>5.5</v>
      </c>
      <c r="U170" s="229">
        <v>3.8999999999999998E-3</v>
      </c>
      <c r="V170" s="231">
        <v>1412.9</v>
      </c>
      <c r="W170" s="231">
        <v>1407.5</v>
      </c>
      <c r="X170" s="228">
        <v>5.4</v>
      </c>
      <c r="Y170" s="229">
        <v>3.8E-3</v>
      </c>
      <c r="Z170" s="228">
        <v>4.8</v>
      </c>
      <c r="AA170" s="228">
        <v>1</v>
      </c>
      <c r="AB170" s="228">
        <v>3.8</v>
      </c>
      <c r="AC170" s="229">
        <v>3.3999999999999998E-3</v>
      </c>
      <c r="AD170" s="228">
        <v>4.8</v>
      </c>
      <c r="AE170" s="228">
        <v>1</v>
      </c>
      <c r="AF170" s="228">
        <v>3.8</v>
      </c>
      <c r="AG170" s="229">
        <v>3.3999999999999998E-3</v>
      </c>
      <c r="AH170" s="228">
        <v>13.4</v>
      </c>
      <c r="AI170" s="228">
        <v>9.9</v>
      </c>
      <c r="AJ170" s="228">
        <v>3.5</v>
      </c>
      <c r="AK170" s="229">
        <v>9.5999999999999992E-3</v>
      </c>
      <c r="AL170" s="228">
        <v>20.7</v>
      </c>
      <c r="AM170" s="228">
        <v>17.3</v>
      </c>
      <c r="AN170" s="228">
        <v>3.4</v>
      </c>
      <c r="AO170" s="229">
        <v>1.49E-2</v>
      </c>
      <c r="AP170" s="231">
        <v>1400.72</v>
      </c>
      <c r="AQ170" s="231">
        <v>1409.72</v>
      </c>
      <c r="AR170" s="228">
        <v>0</v>
      </c>
      <c r="AS170" s="230">
        <v>2750</v>
      </c>
      <c r="AT170" s="230">
        <v>3794</v>
      </c>
      <c r="AU170" s="230">
        <v>-1043</v>
      </c>
      <c r="AV170" s="229">
        <v>-0.27500000000000002</v>
      </c>
      <c r="AW170" s="230">
        <v>2439</v>
      </c>
      <c r="AX170" s="230">
        <v>3388</v>
      </c>
      <c r="AY170" s="228">
        <v>-949</v>
      </c>
      <c r="AZ170" s="229">
        <v>-0.28010000000000002</v>
      </c>
      <c r="BA170" s="228">
        <v>280</v>
      </c>
      <c r="BB170" s="228">
        <v>358</v>
      </c>
      <c r="BC170" s="228">
        <v>-78</v>
      </c>
      <c r="BD170" s="229">
        <v>-0.21679999999999999</v>
      </c>
      <c r="BE170" s="228">
        <v>31</v>
      </c>
      <c r="BF170" s="228">
        <v>48</v>
      </c>
      <c r="BG170" s="228">
        <v>-17</v>
      </c>
      <c r="BH170" s="229">
        <v>-0.3493</v>
      </c>
      <c r="BI170" s="230">
        <v>20135</v>
      </c>
      <c r="BJ170" s="230">
        <v>29915</v>
      </c>
      <c r="BK170" s="230">
        <v>-9780</v>
      </c>
      <c r="BL170" s="229">
        <v>-0.32690000000000002</v>
      </c>
      <c r="BM170" s="230">
        <v>9951</v>
      </c>
      <c r="BN170" s="230">
        <v>12183</v>
      </c>
      <c r="BO170" s="230">
        <v>-2232</v>
      </c>
      <c r="BP170" s="229">
        <v>-0.1832</v>
      </c>
      <c r="BQ170" s="230">
        <v>32836</v>
      </c>
      <c r="BR170" s="230">
        <v>45891</v>
      </c>
      <c r="BS170" s="230">
        <v>-13055</v>
      </c>
      <c r="BT170" s="229">
        <v>-0.28449999999999998</v>
      </c>
      <c r="BU170" s="230">
        <v>22673884</v>
      </c>
      <c r="BV170" s="230">
        <v>23715500</v>
      </c>
      <c r="BW170" s="230">
        <v>-1041616</v>
      </c>
      <c r="BX170" s="229">
        <v>-4.3900000000000002E-2</v>
      </c>
      <c r="BY170" s="230">
        <v>14734</v>
      </c>
      <c r="BZ170" s="230">
        <v>14575</v>
      </c>
      <c r="CA170" s="228">
        <v>160</v>
      </c>
      <c r="CB170" s="229">
        <v>1.09E-2</v>
      </c>
      <c r="CC170" s="230">
        <v>13814</v>
      </c>
      <c r="CD170" s="230">
        <v>13699</v>
      </c>
      <c r="CE170" s="228">
        <v>115</v>
      </c>
      <c r="CF170" s="229">
        <v>8.3999999999999995E-3</v>
      </c>
      <c r="CG170" s="228">
        <v>767</v>
      </c>
      <c r="CH170" s="228">
        <v>726</v>
      </c>
      <c r="CI170" s="228">
        <v>41</v>
      </c>
      <c r="CJ170" s="229">
        <v>5.7099999999999998E-2</v>
      </c>
      <c r="CK170" s="228">
        <v>153</v>
      </c>
      <c r="CL170" s="228">
        <v>149</v>
      </c>
      <c r="CM170" s="228">
        <v>3</v>
      </c>
      <c r="CN170" s="229">
        <v>2.3400000000000001E-2</v>
      </c>
      <c r="CO170" s="230">
        <v>11868</v>
      </c>
      <c r="CP170" s="230">
        <v>11416</v>
      </c>
      <c r="CQ170" s="228">
        <v>452</v>
      </c>
      <c r="CR170" s="229">
        <v>3.9600000000000003E-2</v>
      </c>
      <c r="CS170" s="230">
        <v>4970</v>
      </c>
      <c r="CT170" s="230">
        <v>4642</v>
      </c>
      <c r="CU170" s="228">
        <v>329</v>
      </c>
      <c r="CV170" s="229">
        <v>7.0800000000000002E-2</v>
      </c>
      <c r="CW170" s="230">
        <v>31572</v>
      </c>
      <c r="CX170" s="230">
        <v>30632</v>
      </c>
      <c r="CY170" s="228">
        <v>941</v>
      </c>
      <c r="CZ170" s="229">
        <v>3.0700000000000002E-2</v>
      </c>
      <c r="DA170" s="228">
        <v>25.27</v>
      </c>
      <c r="DB170" s="228">
        <v>26.09</v>
      </c>
      <c r="DC170" s="228">
        <v>-0.82</v>
      </c>
      <c r="DD170" s="228">
        <v>-0.82</v>
      </c>
      <c r="DE170" s="228">
        <v>25.09</v>
      </c>
      <c r="DF170" s="228">
        <v>25.15</v>
      </c>
      <c r="DG170" s="228">
        <v>0.18</v>
      </c>
      <c r="DH170" s="228">
        <v>-0.06</v>
      </c>
      <c r="DI170" s="228">
        <v>24.64</v>
      </c>
      <c r="DJ170" s="228">
        <v>25.54</v>
      </c>
      <c r="DK170" s="228">
        <v>-0.9</v>
      </c>
      <c r="DL170" s="228">
        <v>-0.9</v>
      </c>
      <c r="DM170" s="228">
        <v>26.55</v>
      </c>
      <c r="DN170" s="228">
        <v>27.46</v>
      </c>
      <c r="DO170" s="228">
        <v>-0.91</v>
      </c>
      <c r="DP170" s="228">
        <v>-0.91</v>
      </c>
      <c r="DQ170" s="228">
        <v>0.42</v>
      </c>
      <c r="DR170" s="228">
        <v>0.41</v>
      </c>
      <c r="DS170" s="228">
        <v>0.01</v>
      </c>
      <c r="DT170" s="229">
        <v>2.4400000000000002E-2</v>
      </c>
      <c r="DU170" s="231">
        <v>1500</v>
      </c>
      <c r="DV170" s="231">
        <v>1400</v>
      </c>
      <c r="DW170" s="228">
        <v>0.49</v>
      </c>
      <c r="DX170" s="228">
        <v>0.41</v>
      </c>
      <c r="DY170" s="228">
        <v>0.08</v>
      </c>
      <c r="DZ170" s="229">
        <v>0.1951</v>
      </c>
      <c r="EA170" s="229">
        <v>6.25E-2</v>
      </c>
      <c r="EB170" s="230">
        <v>6265500</v>
      </c>
      <c r="EC170" s="229">
        <v>6.1999999999999998E-3</v>
      </c>
      <c r="ED170" s="229">
        <v>6.25E-2</v>
      </c>
      <c r="EE170" s="228">
        <v>9</v>
      </c>
      <c r="EF170" s="229">
        <v>6.4000000000000003E-3</v>
      </c>
      <c r="EG170" s="230">
        <v>9597374</v>
      </c>
      <c r="EH170" s="230">
        <v>11133679</v>
      </c>
      <c r="EI170" s="229">
        <v>-0.13800000000000001</v>
      </c>
      <c r="EJ170" s="229">
        <v>0.42330000000000001</v>
      </c>
      <c r="EK170" s="231">
        <v>21068.78</v>
      </c>
      <c r="EL170" s="231">
        <v>9869.89</v>
      </c>
      <c r="EM170" s="231">
        <v>2759.94</v>
      </c>
      <c r="EN170" s="228">
        <v>453.53</v>
      </c>
      <c r="EO170" s="231">
        <v>33698.61</v>
      </c>
      <c r="EP170" s="231">
        <v>47498.37</v>
      </c>
      <c r="EQ170" s="231">
        <v>-13799.76</v>
      </c>
      <c r="ER170" s="229">
        <v>-0.29049999999999998</v>
      </c>
      <c r="ES170" s="231">
        <v>12405.43</v>
      </c>
      <c r="ET170" s="231">
        <v>4928.25</v>
      </c>
      <c r="EU170" s="231">
        <v>14740.55</v>
      </c>
      <c r="EV170" s="231">
        <v>664266681</v>
      </c>
      <c r="EW170" s="231">
        <v>32074.23</v>
      </c>
      <c r="EX170" s="231">
        <v>31079.84</v>
      </c>
      <c r="EY170" s="228">
        <v>994.39</v>
      </c>
      <c r="EZ170" s="229">
        <v>3.2000000000000001E-2</v>
      </c>
      <c r="FA170" s="229">
        <v>0.3402</v>
      </c>
      <c r="FB170" s="227" t="s">
        <v>555</v>
      </c>
      <c r="FC170">
        <f t="shared" si="3"/>
        <v>0</v>
      </c>
    </row>
    <row r="171" spans="1:159" ht="17.25" thickBot="1" x14ac:dyDescent="0.3">
      <c r="A171" s="226">
        <v>46093</v>
      </c>
      <c r="B171" s="227" t="s">
        <v>215</v>
      </c>
      <c r="C171" s="227" t="s">
        <v>674</v>
      </c>
      <c r="D171" s="228">
        <v>1525</v>
      </c>
      <c r="E171" s="228">
        <v>18</v>
      </c>
      <c r="F171" s="228">
        <v>278.7</v>
      </c>
      <c r="G171" s="228">
        <v>274.14999999999998</v>
      </c>
      <c r="H171" s="228">
        <v>4.55</v>
      </c>
      <c r="I171" s="229">
        <v>1.66E-2</v>
      </c>
      <c r="J171" s="228">
        <v>279.60000000000002</v>
      </c>
      <c r="K171" s="228">
        <v>277.2</v>
      </c>
      <c r="L171" s="228">
        <v>2.4</v>
      </c>
      <c r="M171" s="229">
        <v>8.6999999999999994E-3</v>
      </c>
      <c r="N171" s="228">
        <v>278.7</v>
      </c>
      <c r="O171" s="228">
        <v>274.14999999999998</v>
      </c>
      <c r="P171" s="228">
        <v>4.55</v>
      </c>
      <c r="Q171" s="229">
        <v>1.66E-2</v>
      </c>
      <c r="R171" s="228">
        <v>271.39999999999998</v>
      </c>
      <c r="S171" s="228">
        <v>267.5</v>
      </c>
      <c r="T171" s="228">
        <v>3.9</v>
      </c>
      <c r="U171" s="229">
        <v>1.46E-2</v>
      </c>
      <c r="V171" s="228">
        <v>267.60000000000002</v>
      </c>
      <c r="W171" s="228">
        <v>263.85000000000002</v>
      </c>
      <c r="X171" s="228">
        <v>3.75</v>
      </c>
      <c r="Y171" s="229">
        <v>1.4200000000000001E-2</v>
      </c>
      <c r="Z171" s="228">
        <v>-0.9</v>
      </c>
      <c r="AA171" s="228">
        <v>-3.05</v>
      </c>
      <c r="AB171" s="228">
        <v>2.15</v>
      </c>
      <c r="AC171" s="229">
        <v>-3.2000000000000002E-3</v>
      </c>
      <c r="AD171" s="228">
        <v>-0.9</v>
      </c>
      <c r="AE171" s="228">
        <v>-3.05</v>
      </c>
      <c r="AF171" s="228">
        <v>2.15</v>
      </c>
      <c r="AG171" s="229">
        <v>-3.2000000000000002E-3</v>
      </c>
      <c r="AH171" s="228">
        <v>-8.1999999999999993</v>
      </c>
      <c r="AI171" s="228">
        <v>-9.6999999999999993</v>
      </c>
      <c r="AJ171" s="228">
        <v>1.5</v>
      </c>
      <c r="AK171" s="229">
        <v>-2.93E-2</v>
      </c>
      <c r="AL171" s="228">
        <v>-12</v>
      </c>
      <c r="AM171" s="228">
        <v>-13.35</v>
      </c>
      <c r="AN171" s="228">
        <v>1.35</v>
      </c>
      <c r="AO171" s="229">
        <v>-4.2900000000000001E-2</v>
      </c>
      <c r="AP171" s="228">
        <v>277.57</v>
      </c>
      <c r="AQ171" s="228">
        <v>271.52</v>
      </c>
      <c r="AR171" s="228">
        <v>0</v>
      </c>
      <c r="AS171" s="228">
        <v>289</v>
      </c>
      <c r="AT171" s="228">
        <v>206</v>
      </c>
      <c r="AU171" s="228">
        <v>83</v>
      </c>
      <c r="AV171" s="229">
        <v>0.40189999999999998</v>
      </c>
      <c r="AW171" s="228">
        <v>184</v>
      </c>
      <c r="AX171" s="228">
        <v>156</v>
      </c>
      <c r="AY171" s="228">
        <v>28</v>
      </c>
      <c r="AZ171" s="229">
        <v>0.17699999999999999</v>
      </c>
      <c r="BA171" s="228">
        <v>68</v>
      </c>
      <c r="BB171" s="228">
        <v>43</v>
      </c>
      <c r="BC171" s="228">
        <v>25</v>
      </c>
      <c r="BD171" s="229">
        <v>0.58389999999999997</v>
      </c>
      <c r="BE171" s="228">
        <v>37</v>
      </c>
      <c r="BF171" s="228">
        <v>7</v>
      </c>
      <c r="BG171" s="228">
        <v>30</v>
      </c>
      <c r="BH171" s="229">
        <v>4.3704000000000001</v>
      </c>
      <c r="BI171" s="228">
        <v>659</v>
      </c>
      <c r="BJ171" s="228">
        <v>507</v>
      </c>
      <c r="BK171" s="228">
        <v>153</v>
      </c>
      <c r="BL171" s="229">
        <v>0.30130000000000001</v>
      </c>
      <c r="BM171" s="228">
        <v>259</v>
      </c>
      <c r="BN171" s="228">
        <v>184</v>
      </c>
      <c r="BO171" s="228">
        <v>74</v>
      </c>
      <c r="BP171" s="229">
        <v>0.40339999999999998</v>
      </c>
      <c r="BQ171" s="230">
        <v>1207</v>
      </c>
      <c r="BR171" s="228">
        <v>897</v>
      </c>
      <c r="BS171" s="228">
        <v>310</v>
      </c>
      <c r="BT171" s="229">
        <v>0.34539999999999998</v>
      </c>
      <c r="BU171" s="230">
        <v>7557269</v>
      </c>
      <c r="BV171" s="230">
        <v>6304452</v>
      </c>
      <c r="BW171" s="230">
        <v>1252817</v>
      </c>
      <c r="BX171" s="229">
        <v>0.19869999999999999</v>
      </c>
      <c r="BY171" s="230">
        <v>1773</v>
      </c>
      <c r="BZ171" s="230">
        <v>1759</v>
      </c>
      <c r="CA171" s="228">
        <v>14</v>
      </c>
      <c r="CB171" s="229">
        <v>8.0999999999999996E-3</v>
      </c>
      <c r="CC171" s="230">
        <v>1469</v>
      </c>
      <c r="CD171" s="230">
        <v>1514</v>
      </c>
      <c r="CE171" s="228">
        <v>-45</v>
      </c>
      <c r="CF171" s="229">
        <v>-2.9499999999999998E-2</v>
      </c>
      <c r="CG171" s="228">
        <v>262</v>
      </c>
      <c r="CH171" s="228">
        <v>228</v>
      </c>
      <c r="CI171" s="228">
        <v>35</v>
      </c>
      <c r="CJ171" s="229">
        <v>0.1517</v>
      </c>
      <c r="CK171" s="228">
        <v>41</v>
      </c>
      <c r="CL171" s="228">
        <v>17</v>
      </c>
      <c r="CM171" s="228">
        <v>24</v>
      </c>
      <c r="CN171" s="229">
        <v>1.4278999999999999</v>
      </c>
      <c r="CO171" s="228">
        <v>893</v>
      </c>
      <c r="CP171" s="228">
        <v>908</v>
      </c>
      <c r="CQ171" s="228">
        <v>-15</v>
      </c>
      <c r="CR171" s="229">
        <v>-1.6500000000000001E-2</v>
      </c>
      <c r="CS171" s="228">
        <v>451</v>
      </c>
      <c r="CT171" s="228">
        <v>474</v>
      </c>
      <c r="CU171" s="228">
        <v>-22</v>
      </c>
      <c r="CV171" s="229">
        <v>-4.6899999999999997E-2</v>
      </c>
      <c r="CW171" s="230">
        <v>3118</v>
      </c>
      <c r="CX171" s="230">
        <v>3140</v>
      </c>
      <c r="CY171" s="228">
        <v>-23</v>
      </c>
      <c r="CZ171" s="229">
        <v>-7.3000000000000001E-3</v>
      </c>
      <c r="DA171" s="228">
        <v>50.68</v>
      </c>
      <c r="DB171" s="228">
        <v>49.64</v>
      </c>
      <c r="DC171" s="228">
        <v>1.04</v>
      </c>
      <c r="DD171" s="228">
        <v>1.04</v>
      </c>
      <c r="DE171" s="228">
        <v>57.85</v>
      </c>
      <c r="DF171" s="228">
        <v>57.95</v>
      </c>
      <c r="DG171" s="228">
        <v>-7.17</v>
      </c>
      <c r="DH171" s="228">
        <v>-0.1</v>
      </c>
      <c r="DI171" s="228">
        <v>50.53</v>
      </c>
      <c r="DJ171" s="228">
        <v>49.86</v>
      </c>
      <c r="DK171" s="228">
        <v>0.67</v>
      </c>
      <c r="DL171" s="228">
        <v>0.67</v>
      </c>
      <c r="DM171" s="228">
        <v>51.06</v>
      </c>
      <c r="DN171" s="228">
        <v>49.03</v>
      </c>
      <c r="DO171" s="228">
        <v>2.0299999999999998</v>
      </c>
      <c r="DP171" s="228">
        <v>2.0299999999999998</v>
      </c>
      <c r="DQ171" s="228">
        <v>0.51</v>
      </c>
      <c r="DR171" s="228">
        <v>0.52</v>
      </c>
      <c r="DS171" s="228">
        <v>-0.01</v>
      </c>
      <c r="DT171" s="229">
        <v>-1.9199999999999998E-2</v>
      </c>
      <c r="DU171" s="228">
        <v>300</v>
      </c>
      <c r="DV171" s="228">
        <v>280</v>
      </c>
      <c r="DW171" s="228">
        <v>0.39</v>
      </c>
      <c r="DX171" s="228">
        <v>0.36</v>
      </c>
      <c r="DY171" s="228">
        <v>0.03</v>
      </c>
      <c r="DZ171" s="229">
        <v>8.3299999999999999E-2</v>
      </c>
      <c r="EA171" s="229">
        <v>0.1714</v>
      </c>
      <c r="EB171" s="230">
        <v>8788575</v>
      </c>
      <c r="EC171" s="229">
        <v>-2.6200000000000001E-2</v>
      </c>
      <c r="ED171" s="229">
        <v>0.1714</v>
      </c>
      <c r="EE171" s="228">
        <v>-6.05</v>
      </c>
      <c r="EF171" s="229">
        <v>-2.18E-2</v>
      </c>
      <c r="EG171" s="230">
        <v>1634801</v>
      </c>
      <c r="EH171" s="230">
        <v>1736805</v>
      </c>
      <c r="EI171" s="229">
        <v>-5.8700000000000002E-2</v>
      </c>
      <c r="EJ171" s="229">
        <v>0.21629999999999999</v>
      </c>
      <c r="EK171" s="228">
        <v>728.98</v>
      </c>
      <c r="EL171" s="228">
        <v>256.87</v>
      </c>
      <c r="EM171" s="228">
        <v>284.55</v>
      </c>
      <c r="EN171" s="228">
        <v>76.31</v>
      </c>
      <c r="EO171" s="231">
        <v>1270.4000000000001</v>
      </c>
      <c r="EP171" s="228">
        <v>951.07</v>
      </c>
      <c r="EQ171" s="228">
        <v>319.33</v>
      </c>
      <c r="ER171" s="229">
        <v>0.33579999999999999</v>
      </c>
      <c r="ES171" s="231">
        <v>1019.9</v>
      </c>
      <c r="ET171" s="228">
        <v>466.46</v>
      </c>
      <c r="EU171" s="231">
        <v>1764.31</v>
      </c>
      <c r="EV171" s="231">
        <v>84941460</v>
      </c>
      <c r="EW171" s="231">
        <v>3250.67</v>
      </c>
      <c r="EX171" s="231">
        <v>3249.31</v>
      </c>
      <c r="EY171" s="228">
        <v>1.36</v>
      </c>
      <c r="EZ171" s="229">
        <v>4.0000000000000002E-4</v>
      </c>
      <c r="FA171" s="229">
        <v>1.3169</v>
      </c>
      <c r="FB171" s="227" t="s">
        <v>555</v>
      </c>
      <c r="FC171">
        <f t="shared" si="3"/>
        <v>0</v>
      </c>
    </row>
    <row r="172" spans="1:159" ht="17.25" thickBot="1" x14ac:dyDescent="0.3">
      <c r="A172" s="226">
        <v>46093</v>
      </c>
      <c r="B172" s="227" t="s">
        <v>227</v>
      </c>
      <c r="C172" s="227" t="s">
        <v>282</v>
      </c>
      <c r="D172" s="228">
        <v>4700</v>
      </c>
      <c r="E172" s="228">
        <v>18</v>
      </c>
      <c r="F172" s="228">
        <v>153.85</v>
      </c>
      <c r="G172" s="228">
        <v>155.05000000000001</v>
      </c>
      <c r="H172" s="228">
        <v>-1.2</v>
      </c>
      <c r="I172" s="229">
        <v>-7.7000000000000002E-3</v>
      </c>
      <c r="J172" s="228">
        <v>153.65</v>
      </c>
      <c r="K172" s="228">
        <v>153.88</v>
      </c>
      <c r="L172" s="228">
        <v>-0.23</v>
      </c>
      <c r="M172" s="229">
        <v>-1.5E-3</v>
      </c>
      <c r="N172" s="228">
        <v>153.85</v>
      </c>
      <c r="O172" s="228">
        <v>155.05000000000001</v>
      </c>
      <c r="P172" s="228">
        <v>-1.2</v>
      </c>
      <c r="Q172" s="229">
        <v>-7.7000000000000002E-3</v>
      </c>
      <c r="R172" s="228">
        <v>154.44</v>
      </c>
      <c r="S172" s="228">
        <v>155.78</v>
      </c>
      <c r="T172" s="228">
        <v>-1.34</v>
      </c>
      <c r="U172" s="229">
        <v>-8.6E-3</v>
      </c>
      <c r="V172" s="228">
        <v>152.61000000000001</v>
      </c>
      <c r="W172" s="228">
        <v>147.65</v>
      </c>
      <c r="X172" s="228">
        <v>4.96</v>
      </c>
      <c r="Y172" s="229">
        <v>3.3599999999999998E-2</v>
      </c>
      <c r="Z172" s="228">
        <v>0.2</v>
      </c>
      <c r="AA172" s="228">
        <v>1.17</v>
      </c>
      <c r="AB172" s="228">
        <v>-0.97</v>
      </c>
      <c r="AC172" s="229">
        <v>1.2999999999999999E-3</v>
      </c>
      <c r="AD172" s="228">
        <v>0.2</v>
      </c>
      <c r="AE172" s="228">
        <v>1.17</v>
      </c>
      <c r="AF172" s="228">
        <v>-0.97</v>
      </c>
      <c r="AG172" s="229">
        <v>1.2999999999999999E-3</v>
      </c>
      <c r="AH172" s="228">
        <v>0.79</v>
      </c>
      <c r="AI172" s="228">
        <v>1.9</v>
      </c>
      <c r="AJ172" s="228">
        <v>-1.1100000000000001</v>
      </c>
      <c r="AK172" s="229">
        <v>5.1000000000000004E-3</v>
      </c>
      <c r="AL172" s="228">
        <v>-1.04</v>
      </c>
      <c r="AM172" s="228">
        <v>-6.23</v>
      </c>
      <c r="AN172" s="228">
        <v>5.19</v>
      </c>
      <c r="AO172" s="229">
        <v>-6.7999999999999996E-3</v>
      </c>
      <c r="AP172" s="228">
        <v>152.94</v>
      </c>
      <c r="AQ172" s="228">
        <v>154.58000000000001</v>
      </c>
      <c r="AR172" s="228">
        <v>0</v>
      </c>
      <c r="AS172" s="228">
        <v>25</v>
      </c>
      <c r="AT172" s="228">
        <v>30</v>
      </c>
      <c r="AU172" s="228">
        <v>-5</v>
      </c>
      <c r="AV172" s="229">
        <v>-0.16070000000000001</v>
      </c>
      <c r="AW172" s="228">
        <v>22</v>
      </c>
      <c r="AX172" s="228">
        <v>29</v>
      </c>
      <c r="AY172" s="228">
        <v>-6</v>
      </c>
      <c r="AZ172" s="229">
        <v>-0.21909999999999999</v>
      </c>
      <c r="BA172" s="228">
        <v>3</v>
      </c>
      <c r="BB172" s="228">
        <v>1</v>
      </c>
      <c r="BC172" s="228">
        <v>1</v>
      </c>
      <c r="BD172" s="229">
        <v>0.95</v>
      </c>
      <c r="BE172" s="228">
        <v>0</v>
      </c>
      <c r="BF172" s="228">
        <v>0</v>
      </c>
      <c r="BG172" s="228">
        <v>0</v>
      </c>
      <c r="BH172" s="229">
        <v>0</v>
      </c>
      <c r="BI172" s="228">
        <v>2</v>
      </c>
      <c r="BJ172" s="228">
        <v>4</v>
      </c>
      <c r="BK172" s="228">
        <v>-2</v>
      </c>
      <c r="BL172" s="229">
        <v>-0.4138</v>
      </c>
      <c r="BM172" s="228">
        <v>4</v>
      </c>
      <c r="BN172" s="228">
        <v>2</v>
      </c>
      <c r="BO172" s="228">
        <v>2</v>
      </c>
      <c r="BP172" s="229">
        <v>0.6774</v>
      </c>
      <c r="BQ172" s="228">
        <v>32</v>
      </c>
      <c r="BR172" s="228">
        <v>37</v>
      </c>
      <c r="BS172" s="228">
        <v>-5</v>
      </c>
      <c r="BT172" s="229">
        <v>-0.13830000000000001</v>
      </c>
      <c r="BU172" s="230">
        <v>10334010</v>
      </c>
      <c r="BV172" s="230">
        <v>15015872</v>
      </c>
      <c r="BW172" s="230">
        <v>-4681862</v>
      </c>
      <c r="BX172" s="229">
        <v>-0.31180000000000002</v>
      </c>
      <c r="BY172" s="230">
        <v>3188</v>
      </c>
      <c r="BZ172" s="230">
        <v>3201</v>
      </c>
      <c r="CA172" s="228">
        <v>-13</v>
      </c>
      <c r="CB172" s="229">
        <v>-4.0000000000000001E-3</v>
      </c>
      <c r="CC172" s="230">
        <v>2682</v>
      </c>
      <c r="CD172" s="230">
        <v>2696</v>
      </c>
      <c r="CE172" s="228">
        <v>-14</v>
      </c>
      <c r="CF172" s="229">
        <v>-5.3E-3</v>
      </c>
      <c r="CG172" s="228">
        <v>498</v>
      </c>
      <c r="CH172" s="228">
        <v>496</v>
      </c>
      <c r="CI172" s="228">
        <v>2</v>
      </c>
      <c r="CJ172" s="229">
        <v>3.5999999999999999E-3</v>
      </c>
      <c r="CK172" s="228">
        <v>9</v>
      </c>
      <c r="CL172" s="228">
        <v>9</v>
      </c>
      <c r="CM172" s="228">
        <v>0</v>
      </c>
      <c r="CN172" s="229">
        <v>-8.0999999999999996E-3</v>
      </c>
      <c r="CO172" s="228">
        <v>342</v>
      </c>
      <c r="CP172" s="228">
        <v>343</v>
      </c>
      <c r="CQ172" s="228">
        <v>-1</v>
      </c>
      <c r="CR172" s="229">
        <v>-2.3E-3</v>
      </c>
      <c r="CS172" s="228">
        <v>231</v>
      </c>
      <c r="CT172" s="228">
        <v>231</v>
      </c>
      <c r="CU172" s="228">
        <v>0</v>
      </c>
      <c r="CV172" s="229">
        <v>-1.6000000000000001E-3</v>
      </c>
      <c r="CW172" s="230">
        <v>3761</v>
      </c>
      <c r="CX172" s="230">
        <v>3775</v>
      </c>
      <c r="CY172" s="228">
        <v>-14</v>
      </c>
      <c r="CZ172" s="229">
        <v>-3.7000000000000002E-3</v>
      </c>
      <c r="DA172" s="228">
        <v>30.43</v>
      </c>
      <c r="DB172" s="228">
        <v>28.13</v>
      </c>
      <c r="DC172" s="228">
        <v>2.2999999999999998</v>
      </c>
      <c r="DD172" s="228">
        <v>2.2999999999999998</v>
      </c>
      <c r="DE172" s="228">
        <v>43.31</v>
      </c>
      <c r="DF172" s="228">
        <v>43.41</v>
      </c>
      <c r="DG172" s="228">
        <v>-12.88</v>
      </c>
      <c r="DH172" s="228">
        <v>-0.1</v>
      </c>
      <c r="DI172" s="228">
        <v>31.84</v>
      </c>
      <c r="DJ172" s="228">
        <v>30.8</v>
      </c>
      <c r="DK172" s="228">
        <v>1.04</v>
      </c>
      <c r="DL172" s="228">
        <v>1.04</v>
      </c>
      <c r="DM172" s="228">
        <v>29.51</v>
      </c>
      <c r="DN172" s="228">
        <v>23.14</v>
      </c>
      <c r="DO172" s="228">
        <v>6.37</v>
      </c>
      <c r="DP172" s="228">
        <v>6.37</v>
      </c>
      <c r="DQ172" s="228">
        <v>0.67</v>
      </c>
      <c r="DR172" s="228">
        <v>0.67</v>
      </c>
      <c r="DS172" s="228">
        <v>0</v>
      </c>
      <c r="DT172" s="229">
        <v>0</v>
      </c>
      <c r="DU172" s="228">
        <v>170</v>
      </c>
      <c r="DV172" s="228">
        <v>160</v>
      </c>
      <c r="DW172" s="228">
        <v>1.53</v>
      </c>
      <c r="DX172" s="228">
        <v>0.53</v>
      </c>
      <c r="DY172" s="228">
        <v>1</v>
      </c>
      <c r="DZ172" s="229">
        <v>1.8868</v>
      </c>
      <c r="EA172" s="229">
        <v>0.15890000000000001</v>
      </c>
      <c r="EB172" s="230">
        <v>32815400</v>
      </c>
      <c r="EC172" s="229">
        <v>3.8E-3</v>
      </c>
      <c r="ED172" s="229">
        <v>0.15890000000000001</v>
      </c>
      <c r="EE172" s="228">
        <v>1.64</v>
      </c>
      <c r="EF172" s="229">
        <v>1.0699999999999999E-2</v>
      </c>
      <c r="EG172" s="230">
        <v>1859675</v>
      </c>
      <c r="EH172" s="230">
        <v>5071174</v>
      </c>
      <c r="EI172" s="229">
        <v>-0.63329999999999997</v>
      </c>
      <c r="EJ172" s="229">
        <v>0.18</v>
      </c>
      <c r="EK172" s="228">
        <v>2.69</v>
      </c>
      <c r="EL172" s="228">
        <v>3.82</v>
      </c>
      <c r="EM172" s="228">
        <v>25.19</v>
      </c>
      <c r="EN172" s="228">
        <v>5.01</v>
      </c>
      <c r="EO172" s="228">
        <v>31.7</v>
      </c>
      <c r="EP172" s="228">
        <v>37.29</v>
      </c>
      <c r="EQ172" s="228">
        <v>-5.59</v>
      </c>
      <c r="ER172" s="229">
        <v>-0.15</v>
      </c>
      <c r="ES172" s="228">
        <v>373.53</v>
      </c>
      <c r="ET172" s="228">
        <v>236.43</v>
      </c>
      <c r="EU172" s="231">
        <v>3190.25</v>
      </c>
      <c r="EV172" s="231">
        <v>216861410</v>
      </c>
      <c r="EW172" s="231">
        <v>3800.21</v>
      </c>
      <c r="EX172" s="231">
        <v>3839.21</v>
      </c>
      <c r="EY172" s="228">
        <v>-39</v>
      </c>
      <c r="EZ172" s="229">
        <v>-1.0200000000000001E-2</v>
      </c>
      <c r="FA172" s="229">
        <v>1.1272</v>
      </c>
      <c r="FB172" s="227" t="s">
        <v>568</v>
      </c>
      <c r="FC172">
        <f t="shared" si="3"/>
        <v>0</v>
      </c>
    </row>
    <row r="173" spans="1:159" ht="17.25" thickBot="1" x14ac:dyDescent="0.3">
      <c r="A173" s="226">
        <v>46093</v>
      </c>
      <c r="B173" s="227" t="s">
        <v>175</v>
      </c>
      <c r="C173" s="227" t="s">
        <v>685</v>
      </c>
      <c r="D173" s="228">
        <v>4300</v>
      </c>
      <c r="E173" s="228">
        <v>18</v>
      </c>
      <c r="F173" s="228">
        <v>143.08000000000001</v>
      </c>
      <c r="G173" s="228">
        <v>146.03</v>
      </c>
      <c r="H173" s="228">
        <v>-2.95</v>
      </c>
      <c r="I173" s="229">
        <v>-2.0199999999999999E-2</v>
      </c>
      <c r="J173" s="228">
        <v>142.41999999999999</v>
      </c>
      <c r="K173" s="228">
        <v>145.72</v>
      </c>
      <c r="L173" s="228">
        <v>-3.3</v>
      </c>
      <c r="M173" s="229">
        <v>-2.2599999999999999E-2</v>
      </c>
      <c r="N173" s="228">
        <v>143.08000000000001</v>
      </c>
      <c r="O173" s="228">
        <v>146.03</v>
      </c>
      <c r="P173" s="228">
        <v>-2.95</v>
      </c>
      <c r="Q173" s="229">
        <v>-2.0199999999999999E-2</v>
      </c>
      <c r="R173" s="228">
        <v>143.58000000000001</v>
      </c>
      <c r="S173" s="228">
        <v>149.55000000000001</v>
      </c>
      <c r="T173" s="228">
        <v>-5.97</v>
      </c>
      <c r="U173" s="229">
        <v>-3.9899999999999998E-2</v>
      </c>
      <c r="V173" s="228">
        <v>139.6</v>
      </c>
      <c r="W173" s="228">
        <v>139.6</v>
      </c>
      <c r="X173" s="228">
        <v>0</v>
      </c>
      <c r="Y173" s="229">
        <v>0</v>
      </c>
      <c r="Z173" s="228">
        <v>0.66</v>
      </c>
      <c r="AA173" s="228">
        <v>0.31</v>
      </c>
      <c r="AB173" s="228">
        <v>0.35</v>
      </c>
      <c r="AC173" s="229">
        <v>4.5999999999999999E-3</v>
      </c>
      <c r="AD173" s="228">
        <v>0.66</v>
      </c>
      <c r="AE173" s="228">
        <v>0.31</v>
      </c>
      <c r="AF173" s="228">
        <v>0.35</v>
      </c>
      <c r="AG173" s="229">
        <v>4.5999999999999999E-3</v>
      </c>
      <c r="AH173" s="228">
        <v>1.1599999999999999</v>
      </c>
      <c r="AI173" s="228">
        <v>3.83</v>
      </c>
      <c r="AJ173" s="228">
        <v>-2.67</v>
      </c>
      <c r="AK173" s="229">
        <v>8.0999999999999996E-3</v>
      </c>
      <c r="AL173" s="228">
        <v>-2.82</v>
      </c>
      <c r="AM173" s="228">
        <v>-6.12</v>
      </c>
      <c r="AN173" s="228">
        <v>3.3</v>
      </c>
      <c r="AO173" s="229">
        <v>-1.9800000000000002E-2</v>
      </c>
      <c r="AP173" s="228">
        <v>142.65</v>
      </c>
      <c r="AQ173" s="228">
        <v>143.37</v>
      </c>
      <c r="AR173" s="228">
        <v>0</v>
      </c>
      <c r="AS173" s="228">
        <v>10</v>
      </c>
      <c r="AT173" s="228">
        <v>7</v>
      </c>
      <c r="AU173" s="228">
        <v>3</v>
      </c>
      <c r="AV173" s="229">
        <v>0.37609999999999999</v>
      </c>
      <c r="AW173" s="228">
        <v>8</v>
      </c>
      <c r="AX173" s="228">
        <v>7</v>
      </c>
      <c r="AY173" s="228">
        <v>1</v>
      </c>
      <c r="AZ173" s="229">
        <v>0.1739</v>
      </c>
      <c r="BA173" s="228">
        <v>2</v>
      </c>
      <c r="BB173" s="228">
        <v>0</v>
      </c>
      <c r="BC173" s="228">
        <v>1</v>
      </c>
      <c r="BD173" s="229">
        <v>12</v>
      </c>
      <c r="BE173" s="228">
        <v>0</v>
      </c>
      <c r="BF173" s="228">
        <v>0</v>
      </c>
      <c r="BG173" s="228">
        <v>0</v>
      </c>
      <c r="BH173" s="229">
        <v>0</v>
      </c>
      <c r="BI173" s="228">
        <v>1</v>
      </c>
      <c r="BJ173" s="228">
        <v>0</v>
      </c>
      <c r="BK173" s="228">
        <v>1</v>
      </c>
      <c r="BL173" s="229">
        <v>3.8</v>
      </c>
      <c r="BM173" s="228">
        <v>0</v>
      </c>
      <c r="BN173" s="228">
        <v>0</v>
      </c>
      <c r="BO173" s="228">
        <v>0</v>
      </c>
      <c r="BP173" s="229">
        <v>-0.33329999999999999</v>
      </c>
      <c r="BQ173" s="228">
        <v>12</v>
      </c>
      <c r="BR173" s="228">
        <v>8</v>
      </c>
      <c r="BS173" s="228">
        <v>4</v>
      </c>
      <c r="BT173" s="229">
        <v>0.496</v>
      </c>
      <c r="BU173" s="230">
        <v>4852687</v>
      </c>
      <c r="BV173" s="230">
        <v>8245128</v>
      </c>
      <c r="BW173" s="230">
        <v>-3392441</v>
      </c>
      <c r="BX173" s="229">
        <v>-0.41139999999999999</v>
      </c>
      <c r="BY173" s="230">
        <v>1577</v>
      </c>
      <c r="BZ173" s="230">
        <v>1582</v>
      </c>
      <c r="CA173" s="228">
        <v>-5</v>
      </c>
      <c r="CB173" s="229">
        <v>-3.2000000000000002E-3</v>
      </c>
      <c r="CC173" s="230">
        <v>1513</v>
      </c>
      <c r="CD173" s="230">
        <v>1518</v>
      </c>
      <c r="CE173" s="228">
        <v>-5</v>
      </c>
      <c r="CF173" s="229">
        <v>-3.3E-3</v>
      </c>
      <c r="CG173" s="228">
        <v>62</v>
      </c>
      <c r="CH173" s="228">
        <v>62</v>
      </c>
      <c r="CI173" s="228">
        <v>0</v>
      </c>
      <c r="CJ173" s="229">
        <v>0</v>
      </c>
      <c r="CK173" s="228">
        <v>3</v>
      </c>
      <c r="CL173" s="228">
        <v>3</v>
      </c>
      <c r="CM173" s="228">
        <v>0</v>
      </c>
      <c r="CN173" s="229">
        <v>0</v>
      </c>
      <c r="CO173" s="228">
        <v>330</v>
      </c>
      <c r="CP173" s="228">
        <v>331</v>
      </c>
      <c r="CQ173" s="228">
        <v>-1</v>
      </c>
      <c r="CR173" s="229">
        <v>-3.5000000000000001E-3</v>
      </c>
      <c r="CS173" s="228">
        <v>146</v>
      </c>
      <c r="CT173" s="228">
        <v>146</v>
      </c>
      <c r="CU173" s="228">
        <v>0</v>
      </c>
      <c r="CV173" s="229">
        <v>0</v>
      </c>
      <c r="CW173" s="230">
        <v>2053</v>
      </c>
      <c r="CX173" s="230">
        <v>2059</v>
      </c>
      <c r="CY173" s="228">
        <v>-6</v>
      </c>
      <c r="CZ173" s="229">
        <v>-3.0000000000000001E-3</v>
      </c>
      <c r="DA173" s="228">
        <v>49.54</v>
      </c>
      <c r="DB173" s="228">
        <v>41.49</v>
      </c>
      <c r="DC173" s="228">
        <v>8.0500000000000007</v>
      </c>
      <c r="DD173" s="228">
        <v>8.0500000000000007</v>
      </c>
      <c r="DE173" s="228">
        <v>53.45</v>
      </c>
      <c r="DF173" s="228">
        <v>53.51</v>
      </c>
      <c r="DG173" s="228">
        <v>-3.91</v>
      </c>
      <c r="DH173" s="228">
        <v>-0.06</v>
      </c>
      <c r="DI173" s="228">
        <v>50.7</v>
      </c>
      <c r="DJ173" s="228">
        <v>49.98</v>
      </c>
      <c r="DK173" s="228">
        <v>0.72</v>
      </c>
      <c r="DL173" s="228">
        <v>0.72</v>
      </c>
      <c r="DM173" s="228">
        <v>35.65</v>
      </c>
      <c r="DN173" s="228">
        <v>27.35</v>
      </c>
      <c r="DO173" s="228">
        <v>8.3000000000000007</v>
      </c>
      <c r="DP173" s="228">
        <v>8.3000000000000007</v>
      </c>
      <c r="DQ173" s="228">
        <v>0.44</v>
      </c>
      <c r="DR173" s="228">
        <v>0.44</v>
      </c>
      <c r="DS173" s="228">
        <v>0</v>
      </c>
      <c r="DT173" s="229">
        <v>0</v>
      </c>
      <c r="DU173" s="228">
        <v>160</v>
      </c>
      <c r="DV173" s="228">
        <v>140</v>
      </c>
      <c r="DW173" s="228">
        <v>0.08</v>
      </c>
      <c r="DX173" s="228">
        <v>0.6</v>
      </c>
      <c r="DY173" s="228">
        <v>-0.52</v>
      </c>
      <c r="DZ173" s="229">
        <v>-0.86670000000000003</v>
      </c>
      <c r="EA173" s="229">
        <v>4.1000000000000002E-2</v>
      </c>
      <c r="EB173" s="230">
        <v>4515000</v>
      </c>
      <c r="EC173" s="229">
        <v>3.5000000000000001E-3</v>
      </c>
      <c r="ED173" s="229">
        <v>4.1000000000000002E-2</v>
      </c>
      <c r="EE173" s="228">
        <v>0.72</v>
      </c>
      <c r="EF173" s="229">
        <v>5.0000000000000001E-3</v>
      </c>
      <c r="EG173" s="230">
        <v>1946979</v>
      </c>
      <c r="EH173" s="230">
        <v>3713205</v>
      </c>
      <c r="EI173" s="229">
        <v>-0.47570000000000001</v>
      </c>
      <c r="EJ173" s="229">
        <v>0.4012</v>
      </c>
      <c r="EK173" s="228">
        <v>1.71</v>
      </c>
      <c r="EL173" s="228">
        <v>0.12</v>
      </c>
      <c r="EM173" s="228">
        <v>9.8800000000000008</v>
      </c>
      <c r="EN173" s="228">
        <v>1.77</v>
      </c>
      <c r="EO173" s="228">
        <v>11.71</v>
      </c>
      <c r="EP173" s="228">
        <v>7.95</v>
      </c>
      <c r="EQ173" s="228">
        <v>3.76</v>
      </c>
      <c r="ER173" s="229">
        <v>0.47260000000000002</v>
      </c>
      <c r="ES173" s="228">
        <v>373.61</v>
      </c>
      <c r="ET173" s="228">
        <v>150.4</v>
      </c>
      <c r="EU173" s="231">
        <v>1577.45</v>
      </c>
      <c r="EV173" s="231">
        <v>122326971</v>
      </c>
      <c r="EW173" s="231">
        <v>2101.46</v>
      </c>
      <c r="EX173" s="231">
        <v>2141.7600000000002</v>
      </c>
      <c r="EY173" s="228">
        <v>-40.299999999999997</v>
      </c>
      <c r="EZ173" s="229">
        <v>-1.8800000000000001E-2</v>
      </c>
      <c r="FA173" s="229">
        <v>1.1731</v>
      </c>
      <c r="FB173" s="227" t="s">
        <v>568</v>
      </c>
      <c r="FC173">
        <f t="shared" si="3"/>
        <v>0</v>
      </c>
    </row>
    <row r="174" spans="1:159" ht="17.25" thickBot="1" x14ac:dyDescent="0.3">
      <c r="A174" s="226">
        <v>46093</v>
      </c>
      <c r="B174" s="227" t="s">
        <v>175</v>
      </c>
      <c r="C174" s="227" t="s">
        <v>536</v>
      </c>
      <c r="D174" s="228">
        <v>800</v>
      </c>
      <c r="E174" s="228">
        <v>18</v>
      </c>
      <c r="F174" s="228">
        <v>685.7</v>
      </c>
      <c r="G174" s="228">
        <v>693.2</v>
      </c>
      <c r="H174" s="228">
        <v>-7.5</v>
      </c>
      <c r="I174" s="229">
        <v>-1.0800000000000001E-2</v>
      </c>
      <c r="J174" s="228">
        <v>710.25</v>
      </c>
      <c r="K174" s="228">
        <v>715</v>
      </c>
      <c r="L174" s="228">
        <v>-4.75</v>
      </c>
      <c r="M174" s="229">
        <v>-6.6E-3</v>
      </c>
      <c r="N174" s="228">
        <v>685.7</v>
      </c>
      <c r="O174" s="228">
        <v>693.2</v>
      </c>
      <c r="P174" s="228">
        <v>-7.5</v>
      </c>
      <c r="Q174" s="229">
        <v>-1.0800000000000001E-2</v>
      </c>
      <c r="R174" s="228">
        <v>667.75</v>
      </c>
      <c r="S174" s="228">
        <v>677.05</v>
      </c>
      <c r="T174" s="228">
        <v>-9.3000000000000007</v>
      </c>
      <c r="U174" s="229">
        <v>-1.37E-2</v>
      </c>
      <c r="V174" s="228">
        <v>656.25</v>
      </c>
      <c r="W174" s="228">
        <v>667.35</v>
      </c>
      <c r="X174" s="228">
        <v>-11.1</v>
      </c>
      <c r="Y174" s="229">
        <v>-1.66E-2</v>
      </c>
      <c r="Z174" s="228">
        <v>-24.55</v>
      </c>
      <c r="AA174" s="228">
        <v>-21.8</v>
      </c>
      <c r="AB174" s="228">
        <v>-2.75</v>
      </c>
      <c r="AC174" s="229">
        <v>-3.4599999999999999E-2</v>
      </c>
      <c r="AD174" s="228">
        <v>-24.55</v>
      </c>
      <c r="AE174" s="228">
        <v>-21.8</v>
      </c>
      <c r="AF174" s="228">
        <v>-2.75</v>
      </c>
      <c r="AG174" s="229">
        <v>-3.4599999999999999E-2</v>
      </c>
      <c r="AH174" s="228">
        <v>-42.5</v>
      </c>
      <c r="AI174" s="228">
        <v>-37.950000000000003</v>
      </c>
      <c r="AJ174" s="228">
        <v>-4.55</v>
      </c>
      <c r="AK174" s="229">
        <v>-5.9799999999999999E-2</v>
      </c>
      <c r="AL174" s="228">
        <v>-54</v>
      </c>
      <c r="AM174" s="228">
        <v>-47.65</v>
      </c>
      <c r="AN174" s="228">
        <v>-6.35</v>
      </c>
      <c r="AO174" s="229">
        <v>-7.5999999999999998E-2</v>
      </c>
      <c r="AP174" s="228">
        <v>688.8</v>
      </c>
      <c r="AQ174" s="228">
        <v>671.69</v>
      </c>
      <c r="AR174" s="228">
        <v>0</v>
      </c>
      <c r="AS174" s="228">
        <v>228</v>
      </c>
      <c r="AT174" s="228">
        <v>227</v>
      </c>
      <c r="AU174" s="228">
        <v>1</v>
      </c>
      <c r="AV174" s="229">
        <v>4.1000000000000003E-3</v>
      </c>
      <c r="AW174" s="228">
        <v>166</v>
      </c>
      <c r="AX174" s="228">
        <v>149</v>
      </c>
      <c r="AY174" s="228">
        <v>17</v>
      </c>
      <c r="AZ174" s="229">
        <v>0.11070000000000001</v>
      </c>
      <c r="BA174" s="228">
        <v>56</v>
      </c>
      <c r="BB174" s="228">
        <v>70</v>
      </c>
      <c r="BC174" s="228">
        <v>-15</v>
      </c>
      <c r="BD174" s="229">
        <v>-0.20780000000000001</v>
      </c>
      <c r="BE174" s="228">
        <v>7</v>
      </c>
      <c r="BF174" s="228">
        <v>8</v>
      </c>
      <c r="BG174" s="228">
        <v>-1</v>
      </c>
      <c r="BH174" s="229">
        <v>-0.12770000000000001</v>
      </c>
      <c r="BI174" s="228">
        <v>220</v>
      </c>
      <c r="BJ174" s="228">
        <v>252</v>
      </c>
      <c r="BK174" s="228">
        <v>-32</v>
      </c>
      <c r="BL174" s="229">
        <v>-0.12859999999999999</v>
      </c>
      <c r="BM174" s="228">
        <v>102</v>
      </c>
      <c r="BN174" s="228">
        <v>120</v>
      </c>
      <c r="BO174" s="228">
        <v>-18</v>
      </c>
      <c r="BP174" s="229">
        <v>-0.1515</v>
      </c>
      <c r="BQ174" s="228">
        <v>549</v>
      </c>
      <c r="BR174" s="228">
        <v>599</v>
      </c>
      <c r="BS174" s="228">
        <v>-50</v>
      </c>
      <c r="BT174" s="229">
        <v>-8.2900000000000001E-2</v>
      </c>
      <c r="BU174" s="230">
        <v>858231</v>
      </c>
      <c r="BV174" s="230">
        <v>547757</v>
      </c>
      <c r="BW174" s="230">
        <v>310474</v>
      </c>
      <c r="BX174" s="229">
        <v>0.56679999999999997</v>
      </c>
      <c r="BY174" s="230">
        <v>1800</v>
      </c>
      <c r="BZ174" s="230">
        <v>1746</v>
      </c>
      <c r="CA174" s="228">
        <v>54</v>
      </c>
      <c r="CB174" s="229">
        <v>3.0800000000000001E-2</v>
      </c>
      <c r="CC174" s="230">
        <v>1563</v>
      </c>
      <c r="CD174" s="230">
        <v>1542</v>
      </c>
      <c r="CE174" s="228">
        <v>21</v>
      </c>
      <c r="CF174" s="229">
        <v>1.38E-2</v>
      </c>
      <c r="CG174" s="228">
        <v>211</v>
      </c>
      <c r="CH174" s="228">
        <v>182</v>
      </c>
      <c r="CI174" s="228">
        <v>29</v>
      </c>
      <c r="CJ174" s="229">
        <v>0.15920000000000001</v>
      </c>
      <c r="CK174" s="228">
        <v>26</v>
      </c>
      <c r="CL174" s="228">
        <v>23</v>
      </c>
      <c r="CM174" s="228">
        <v>3</v>
      </c>
      <c r="CN174" s="229">
        <v>0.14799999999999999</v>
      </c>
      <c r="CO174" s="228">
        <v>574</v>
      </c>
      <c r="CP174" s="228">
        <v>571</v>
      </c>
      <c r="CQ174" s="228">
        <v>3</v>
      </c>
      <c r="CR174" s="229">
        <v>5.4999999999999997E-3</v>
      </c>
      <c r="CS174" s="228">
        <v>346</v>
      </c>
      <c r="CT174" s="228">
        <v>342</v>
      </c>
      <c r="CU174" s="228">
        <v>4</v>
      </c>
      <c r="CV174" s="229">
        <v>1.2699999999999999E-2</v>
      </c>
      <c r="CW174" s="230">
        <v>2721</v>
      </c>
      <c r="CX174" s="230">
        <v>2660</v>
      </c>
      <c r="CY174" s="228">
        <v>61</v>
      </c>
      <c r="CZ174" s="229">
        <v>2.3E-2</v>
      </c>
      <c r="DA174" s="228">
        <v>33.590000000000003</v>
      </c>
      <c r="DB174" s="228">
        <v>33.340000000000003</v>
      </c>
      <c r="DC174" s="228">
        <v>0.25</v>
      </c>
      <c r="DD174" s="228">
        <v>0.25</v>
      </c>
      <c r="DE174" s="228">
        <v>29.45</v>
      </c>
      <c r="DF174" s="228">
        <v>29.49</v>
      </c>
      <c r="DG174" s="228">
        <v>4.1399999999999997</v>
      </c>
      <c r="DH174" s="228">
        <v>-0.04</v>
      </c>
      <c r="DI174" s="228">
        <v>33.24</v>
      </c>
      <c r="DJ174" s="228">
        <v>33.08</v>
      </c>
      <c r="DK174" s="228">
        <v>0.16</v>
      </c>
      <c r="DL174" s="228">
        <v>0.16</v>
      </c>
      <c r="DM174" s="228">
        <v>34.35</v>
      </c>
      <c r="DN174" s="228">
        <v>33.869999999999997</v>
      </c>
      <c r="DO174" s="228">
        <v>0.48</v>
      </c>
      <c r="DP174" s="228">
        <v>0.48</v>
      </c>
      <c r="DQ174" s="228">
        <v>0.6</v>
      </c>
      <c r="DR174" s="228">
        <v>0.6</v>
      </c>
      <c r="DS174" s="228">
        <v>0</v>
      </c>
      <c r="DT174" s="229">
        <v>0</v>
      </c>
      <c r="DU174" s="228">
        <v>800</v>
      </c>
      <c r="DV174" s="228">
        <v>700</v>
      </c>
      <c r="DW174" s="228">
        <v>0.46</v>
      </c>
      <c r="DX174" s="228">
        <v>0.48</v>
      </c>
      <c r="DY174" s="228">
        <v>-0.02</v>
      </c>
      <c r="DZ174" s="229">
        <v>-4.1700000000000001E-2</v>
      </c>
      <c r="EA174" s="229">
        <v>0.1318</v>
      </c>
      <c r="EB174" s="230">
        <v>2988800</v>
      </c>
      <c r="EC174" s="229">
        <v>-2.6200000000000001E-2</v>
      </c>
      <c r="ED174" s="229">
        <v>0.1318</v>
      </c>
      <c r="EE174" s="228">
        <v>-17.11</v>
      </c>
      <c r="EF174" s="229">
        <v>-2.4799999999999999E-2</v>
      </c>
      <c r="EG174" s="230">
        <v>315405</v>
      </c>
      <c r="EH174" s="230">
        <v>223118</v>
      </c>
      <c r="EI174" s="229">
        <v>0.41360000000000002</v>
      </c>
      <c r="EJ174" s="229">
        <v>0.36749999999999999</v>
      </c>
      <c r="EK174" s="228">
        <v>240.63</v>
      </c>
      <c r="EL174" s="228">
        <v>104.97</v>
      </c>
      <c r="EM174" s="228">
        <v>227.46</v>
      </c>
      <c r="EN174" s="228">
        <v>41.98</v>
      </c>
      <c r="EO174" s="228">
        <v>573.05999999999995</v>
      </c>
      <c r="EP174" s="228">
        <v>630.59</v>
      </c>
      <c r="EQ174" s="228">
        <v>-57.53</v>
      </c>
      <c r="ER174" s="229">
        <v>-9.1200000000000003E-2</v>
      </c>
      <c r="ES174" s="228">
        <v>661.76</v>
      </c>
      <c r="ET174" s="228">
        <v>364.02</v>
      </c>
      <c r="EU174" s="231">
        <v>1793.5</v>
      </c>
      <c r="EV174" s="231">
        <v>44836888</v>
      </c>
      <c r="EW174" s="231">
        <v>2819.28</v>
      </c>
      <c r="EX174" s="231">
        <v>2779.9</v>
      </c>
      <c r="EY174" s="228">
        <v>39.380000000000003</v>
      </c>
      <c r="EZ174" s="229">
        <v>1.4200000000000001E-2</v>
      </c>
      <c r="FA174" s="229">
        <v>0.88490000000000002</v>
      </c>
      <c r="FB174" s="227" t="s">
        <v>567</v>
      </c>
      <c r="FC174">
        <f t="shared" si="3"/>
        <v>0</v>
      </c>
    </row>
    <row r="175" spans="1:159" ht="17.25" thickBot="1" x14ac:dyDescent="0.3">
      <c r="A175" s="226">
        <v>46093</v>
      </c>
      <c r="B175" s="227" t="s">
        <v>175</v>
      </c>
      <c r="C175" s="227" t="s">
        <v>462</v>
      </c>
      <c r="D175" s="228">
        <v>375</v>
      </c>
      <c r="E175" s="228">
        <v>18</v>
      </c>
      <c r="F175" s="231">
        <v>1941.9</v>
      </c>
      <c r="G175" s="231">
        <v>1939.8</v>
      </c>
      <c r="H175" s="228">
        <v>2.1</v>
      </c>
      <c r="I175" s="229">
        <v>1.1000000000000001E-3</v>
      </c>
      <c r="J175" s="231">
        <v>1939.4</v>
      </c>
      <c r="K175" s="231">
        <v>1938.6</v>
      </c>
      <c r="L175" s="228">
        <v>0.8</v>
      </c>
      <c r="M175" s="229">
        <v>4.0000000000000002E-4</v>
      </c>
      <c r="N175" s="231">
        <v>1941.9</v>
      </c>
      <c r="O175" s="231">
        <v>1939.8</v>
      </c>
      <c r="P175" s="228">
        <v>2.1</v>
      </c>
      <c r="Q175" s="229">
        <v>1.1000000000000001E-3</v>
      </c>
      <c r="R175" s="231">
        <v>1953</v>
      </c>
      <c r="S175" s="231">
        <v>1950.6</v>
      </c>
      <c r="T175" s="228">
        <v>2.4</v>
      </c>
      <c r="U175" s="229">
        <v>1.1999999999999999E-3</v>
      </c>
      <c r="V175" s="231">
        <v>1962</v>
      </c>
      <c r="W175" s="231">
        <v>1970</v>
      </c>
      <c r="X175" s="228">
        <v>-8</v>
      </c>
      <c r="Y175" s="229">
        <v>-4.1000000000000003E-3</v>
      </c>
      <c r="Z175" s="228">
        <v>2.5</v>
      </c>
      <c r="AA175" s="228">
        <v>1.2</v>
      </c>
      <c r="AB175" s="228">
        <v>1.3</v>
      </c>
      <c r="AC175" s="229">
        <v>1.2999999999999999E-3</v>
      </c>
      <c r="AD175" s="228">
        <v>2.5</v>
      </c>
      <c r="AE175" s="228">
        <v>1.2</v>
      </c>
      <c r="AF175" s="228">
        <v>1.3</v>
      </c>
      <c r="AG175" s="229">
        <v>1.2999999999999999E-3</v>
      </c>
      <c r="AH175" s="228">
        <v>13.6</v>
      </c>
      <c r="AI175" s="228">
        <v>12</v>
      </c>
      <c r="AJ175" s="228">
        <v>1.6</v>
      </c>
      <c r="AK175" s="229">
        <v>7.0000000000000001E-3</v>
      </c>
      <c r="AL175" s="228">
        <v>22.6</v>
      </c>
      <c r="AM175" s="228">
        <v>31.4</v>
      </c>
      <c r="AN175" s="228">
        <v>-8.8000000000000007</v>
      </c>
      <c r="AO175" s="229">
        <v>1.17E-2</v>
      </c>
      <c r="AP175" s="231">
        <v>1934.21</v>
      </c>
      <c r="AQ175" s="231">
        <v>1939.52</v>
      </c>
      <c r="AR175" s="228">
        <v>0</v>
      </c>
      <c r="AS175" s="228">
        <v>184</v>
      </c>
      <c r="AT175" s="228">
        <v>205</v>
      </c>
      <c r="AU175" s="228">
        <v>-21</v>
      </c>
      <c r="AV175" s="229">
        <v>-0.1038</v>
      </c>
      <c r="AW175" s="228">
        <v>175</v>
      </c>
      <c r="AX175" s="228">
        <v>196</v>
      </c>
      <c r="AY175" s="228">
        <v>-21</v>
      </c>
      <c r="AZ175" s="229">
        <v>-0.10829999999999999</v>
      </c>
      <c r="BA175" s="228">
        <v>7</v>
      </c>
      <c r="BB175" s="228">
        <v>8</v>
      </c>
      <c r="BC175" s="228">
        <v>-1</v>
      </c>
      <c r="BD175" s="229">
        <v>-0.1565</v>
      </c>
      <c r="BE175" s="228">
        <v>1</v>
      </c>
      <c r="BF175" s="228">
        <v>0</v>
      </c>
      <c r="BG175" s="228">
        <v>1</v>
      </c>
      <c r="BH175" s="229">
        <v>9</v>
      </c>
      <c r="BI175" s="228">
        <v>344</v>
      </c>
      <c r="BJ175" s="228">
        <v>561</v>
      </c>
      <c r="BK175" s="228">
        <v>-218</v>
      </c>
      <c r="BL175" s="229">
        <v>-0.38769999999999999</v>
      </c>
      <c r="BM175" s="228">
        <v>169</v>
      </c>
      <c r="BN175" s="228">
        <v>326</v>
      </c>
      <c r="BO175" s="228">
        <v>-158</v>
      </c>
      <c r="BP175" s="229">
        <v>-0.4834</v>
      </c>
      <c r="BQ175" s="228">
        <v>696</v>
      </c>
      <c r="BR175" s="230">
        <v>1092</v>
      </c>
      <c r="BS175" s="228">
        <v>-397</v>
      </c>
      <c r="BT175" s="229">
        <v>-0.36309999999999998</v>
      </c>
      <c r="BU175" s="230">
        <v>880383</v>
      </c>
      <c r="BV175" s="230">
        <v>835520</v>
      </c>
      <c r="BW175" s="230">
        <v>44863</v>
      </c>
      <c r="BX175" s="229">
        <v>5.3699999999999998E-2</v>
      </c>
      <c r="BY175" s="230">
        <v>1737</v>
      </c>
      <c r="BZ175" s="230">
        <v>1771</v>
      </c>
      <c r="CA175" s="228">
        <v>-34</v>
      </c>
      <c r="CB175" s="229">
        <v>-1.9300000000000001E-2</v>
      </c>
      <c r="CC175" s="230">
        <v>1706</v>
      </c>
      <c r="CD175" s="230">
        <v>1742</v>
      </c>
      <c r="CE175" s="228">
        <v>-35</v>
      </c>
      <c r="CF175" s="229">
        <v>-2.0299999999999999E-2</v>
      </c>
      <c r="CG175" s="228">
        <v>25</v>
      </c>
      <c r="CH175" s="228">
        <v>24</v>
      </c>
      <c r="CI175" s="228">
        <v>1</v>
      </c>
      <c r="CJ175" s="229">
        <v>4.8300000000000003E-2</v>
      </c>
      <c r="CK175" s="228">
        <v>5</v>
      </c>
      <c r="CL175" s="228">
        <v>5</v>
      </c>
      <c r="CM175" s="228">
        <v>0</v>
      </c>
      <c r="CN175" s="229">
        <v>0</v>
      </c>
      <c r="CO175" s="228">
        <v>745</v>
      </c>
      <c r="CP175" s="228">
        <v>717</v>
      </c>
      <c r="CQ175" s="228">
        <v>28</v>
      </c>
      <c r="CR175" s="229">
        <v>3.95E-2</v>
      </c>
      <c r="CS175" s="228">
        <v>338</v>
      </c>
      <c r="CT175" s="228">
        <v>327</v>
      </c>
      <c r="CU175" s="228">
        <v>11</v>
      </c>
      <c r="CV175" s="229">
        <v>3.3799999999999997E-2</v>
      </c>
      <c r="CW175" s="230">
        <v>2820</v>
      </c>
      <c r="CX175" s="230">
        <v>2815</v>
      </c>
      <c r="CY175" s="228">
        <v>5</v>
      </c>
      <c r="CZ175" s="229">
        <v>1.8E-3</v>
      </c>
      <c r="DA175" s="228">
        <v>24.19</v>
      </c>
      <c r="DB175" s="228">
        <v>23.74</v>
      </c>
      <c r="DC175" s="228">
        <v>0.45</v>
      </c>
      <c r="DD175" s="228">
        <v>0.45</v>
      </c>
      <c r="DE175" s="228">
        <v>24.52</v>
      </c>
      <c r="DF175" s="228">
        <v>24.58</v>
      </c>
      <c r="DG175" s="228">
        <v>-0.33</v>
      </c>
      <c r="DH175" s="228">
        <v>-0.06</v>
      </c>
      <c r="DI175" s="228">
        <v>23.32</v>
      </c>
      <c r="DJ175" s="228">
        <v>22.75</v>
      </c>
      <c r="DK175" s="228">
        <v>0.56999999999999995</v>
      </c>
      <c r="DL175" s="228">
        <v>0.56999999999999995</v>
      </c>
      <c r="DM175" s="228">
        <v>25.96</v>
      </c>
      <c r="DN175" s="228">
        <v>25.43</v>
      </c>
      <c r="DO175" s="228">
        <v>0.53</v>
      </c>
      <c r="DP175" s="228">
        <v>0.53</v>
      </c>
      <c r="DQ175" s="228">
        <v>0.45</v>
      </c>
      <c r="DR175" s="228">
        <v>0.46</v>
      </c>
      <c r="DS175" s="228">
        <v>-0.01</v>
      </c>
      <c r="DT175" s="229">
        <v>-2.1700000000000001E-2</v>
      </c>
      <c r="DU175" s="231">
        <v>2100</v>
      </c>
      <c r="DV175" s="231">
        <v>1900</v>
      </c>
      <c r="DW175" s="228">
        <v>0.49</v>
      </c>
      <c r="DX175" s="228">
        <v>0.57999999999999996</v>
      </c>
      <c r="DY175" s="228">
        <v>-0.09</v>
      </c>
      <c r="DZ175" s="229">
        <v>-0.1552</v>
      </c>
      <c r="EA175" s="229">
        <v>1.7600000000000001E-2</v>
      </c>
      <c r="EB175" s="230">
        <v>151125</v>
      </c>
      <c r="EC175" s="229">
        <v>5.7000000000000002E-3</v>
      </c>
      <c r="ED175" s="229">
        <v>1.7600000000000001E-2</v>
      </c>
      <c r="EE175" s="228">
        <v>5.31</v>
      </c>
      <c r="EF175" s="229">
        <v>2.7000000000000001E-3</v>
      </c>
      <c r="EG175" s="230">
        <v>476500</v>
      </c>
      <c r="EH175" s="230">
        <v>495053</v>
      </c>
      <c r="EI175" s="229">
        <v>-3.7499999999999999E-2</v>
      </c>
      <c r="EJ175" s="229">
        <v>0.54120000000000001</v>
      </c>
      <c r="EK175" s="228">
        <v>358</v>
      </c>
      <c r="EL175" s="228">
        <v>167.11</v>
      </c>
      <c r="EM175" s="228">
        <v>182.81</v>
      </c>
      <c r="EN175" s="228">
        <v>37.049999999999997</v>
      </c>
      <c r="EO175" s="228">
        <v>707.93</v>
      </c>
      <c r="EP175" s="231">
        <v>1117.8699999999999</v>
      </c>
      <c r="EQ175" s="228">
        <v>-409.94</v>
      </c>
      <c r="ER175" s="229">
        <v>-0.36670000000000003</v>
      </c>
      <c r="ES175" s="228">
        <v>798.98</v>
      </c>
      <c r="ET175" s="228">
        <v>334.94</v>
      </c>
      <c r="EU175" s="231">
        <v>1736.91</v>
      </c>
      <c r="EV175" s="231">
        <v>44756800</v>
      </c>
      <c r="EW175" s="231">
        <v>2870.83</v>
      </c>
      <c r="EX175" s="231">
        <v>2864.27</v>
      </c>
      <c r="EY175" s="228">
        <v>6.56</v>
      </c>
      <c r="EZ175" s="229">
        <v>2.3E-3</v>
      </c>
      <c r="FA175" s="229">
        <v>0.32450000000000001</v>
      </c>
      <c r="FB175" s="227" t="s">
        <v>556</v>
      </c>
      <c r="FC175">
        <f t="shared" si="3"/>
        <v>0</v>
      </c>
    </row>
    <row r="176" spans="1:159" ht="17.25" thickBot="1" x14ac:dyDescent="0.3">
      <c r="A176" s="226">
        <v>46093</v>
      </c>
      <c r="B176" s="227" t="s">
        <v>172</v>
      </c>
      <c r="C176" s="227" t="s">
        <v>283</v>
      </c>
      <c r="D176" s="228">
        <v>750</v>
      </c>
      <c r="E176" s="228">
        <v>18</v>
      </c>
      <c r="F176" s="231">
        <v>1088.9000000000001</v>
      </c>
      <c r="G176" s="231">
        <v>1093.2</v>
      </c>
      <c r="H176" s="228">
        <v>-4.3</v>
      </c>
      <c r="I176" s="229">
        <v>-3.8999999999999998E-3</v>
      </c>
      <c r="J176" s="231">
        <v>1085.2</v>
      </c>
      <c r="K176" s="231">
        <v>1091.0999999999999</v>
      </c>
      <c r="L176" s="228">
        <v>-5.9</v>
      </c>
      <c r="M176" s="229">
        <v>-5.4000000000000003E-3</v>
      </c>
      <c r="N176" s="231">
        <v>1088.9000000000001</v>
      </c>
      <c r="O176" s="231">
        <v>1093.2</v>
      </c>
      <c r="P176" s="228">
        <v>-4.3</v>
      </c>
      <c r="Q176" s="229">
        <v>-3.8999999999999998E-3</v>
      </c>
      <c r="R176" s="231">
        <v>1096</v>
      </c>
      <c r="S176" s="231">
        <v>1100.8</v>
      </c>
      <c r="T176" s="228">
        <v>-4.8</v>
      </c>
      <c r="U176" s="229">
        <v>-4.4000000000000003E-3</v>
      </c>
      <c r="V176" s="231">
        <v>1091.7</v>
      </c>
      <c r="W176" s="231">
        <v>1096.8</v>
      </c>
      <c r="X176" s="228">
        <v>-5.0999999999999996</v>
      </c>
      <c r="Y176" s="229">
        <v>-4.5999999999999999E-3</v>
      </c>
      <c r="Z176" s="228">
        <v>3.7</v>
      </c>
      <c r="AA176" s="228">
        <v>2.1</v>
      </c>
      <c r="AB176" s="228">
        <v>1.6</v>
      </c>
      <c r="AC176" s="229">
        <v>3.3999999999999998E-3</v>
      </c>
      <c r="AD176" s="228">
        <v>3.7</v>
      </c>
      <c r="AE176" s="228">
        <v>2.1</v>
      </c>
      <c r="AF176" s="228">
        <v>1.6</v>
      </c>
      <c r="AG176" s="229">
        <v>3.3999999999999998E-3</v>
      </c>
      <c r="AH176" s="228">
        <v>10.8</v>
      </c>
      <c r="AI176" s="228">
        <v>9.6999999999999993</v>
      </c>
      <c r="AJ176" s="228">
        <v>1.1000000000000001</v>
      </c>
      <c r="AK176" s="229">
        <v>0.01</v>
      </c>
      <c r="AL176" s="228">
        <v>6.5</v>
      </c>
      <c r="AM176" s="228">
        <v>5.7</v>
      </c>
      <c r="AN176" s="228">
        <v>0.8</v>
      </c>
      <c r="AO176" s="229">
        <v>6.0000000000000001E-3</v>
      </c>
      <c r="AP176" s="231">
        <v>1085.1400000000001</v>
      </c>
      <c r="AQ176" s="231">
        <v>1089.6500000000001</v>
      </c>
      <c r="AR176" s="228">
        <v>0</v>
      </c>
      <c r="AS176" s="230">
        <v>1897</v>
      </c>
      <c r="AT176" s="230">
        <v>1350</v>
      </c>
      <c r="AU176" s="228">
        <v>547</v>
      </c>
      <c r="AV176" s="229">
        <v>0.40510000000000002</v>
      </c>
      <c r="AW176" s="230">
        <v>1651</v>
      </c>
      <c r="AX176" s="230">
        <v>1163</v>
      </c>
      <c r="AY176" s="228">
        <v>488</v>
      </c>
      <c r="AZ176" s="229">
        <v>0.41980000000000001</v>
      </c>
      <c r="BA176" s="228">
        <v>218</v>
      </c>
      <c r="BB176" s="228">
        <v>147</v>
      </c>
      <c r="BC176" s="228">
        <v>71</v>
      </c>
      <c r="BD176" s="229">
        <v>0.48530000000000001</v>
      </c>
      <c r="BE176" s="228">
        <v>28</v>
      </c>
      <c r="BF176" s="228">
        <v>40</v>
      </c>
      <c r="BG176" s="228">
        <v>-12</v>
      </c>
      <c r="BH176" s="229">
        <v>-0.30909999999999999</v>
      </c>
      <c r="BI176" s="230">
        <v>8020</v>
      </c>
      <c r="BJ176" s="230">
        <v>6094</v>
      </c>
      <c r="BK176" s="230">
        <v>1927</v>
      </c>
      <c r="BL176" s="229">
        <v>0.31619999999999998</v>
      </c>
      <c r="BM176" s="230">
        <v>5529</v>
      </c>
      <c r="BN176" s="230">
        <v>5238</v>
      </c>
      <c r="BO176" s="228">
        <v>291</v>
      </c>
      <c r="BP176" s="229">
        <v>5.5500000000000001E-2</v>
      </c>
      <c r="BQ176" s="230">
        <v>15446</v>
      </c>
      <c r="BR176" s="230">
        <v>12681</v>
      </c>
      <c r="BS176" s="230">
        <v>2765</v>
      </c>
      <c r="BT176" s="229">
        <v>0.218</v>
      </c>
      <c r="BU176" s="230">
        <v>15921104</v>
      </c>
      <c r="BV176" s="230">
        <v>8859891</v>
      </c>
      <c r="BW176" s="230">
        <v>7061213</v>
      </c>
      <c r="BX176" s="229">
        <v>0.79700000000000004</v>
      </c>
      <c r="BY176" s="230">
        <v>8221</v>
      </c>
      <c r="BZ176" s="230">
        <v>7918</v>
      </c>
      <c r="CA176" s="228">
        <v>303</v>
      </c>
      <c r="CB176" s="229">
        <v>3.8300000000000001E-2</v>
      </c>
      <c r="CC176" s="230">
        <v>7514</v>
      </c>
      <c r="CD176" s="230">
        <v>7314</v>
      </c>
      <c r="CE176" s="228">
        <v>200</v>
      </c>
      <c r="CF176" s="229">
        <v>2.7400000000000001E-2</v>
      </c>
      <c r="CG176" s="228">
        <v>637</v>
      </c>
      <c r="CH176" s="228">
        <v>539</v>
      </c>
      <c r="CI176" s="228">
        <v>98</v>
      </c>
      <c r="CJ176" s="229">
        <v>0.1822</v>
      </c>
      <c r="CK176" s="228">
        <v>69</v>
      </c>
      <c r="CL176" s="228">
        <v>65</v>
      </c>
      <c r="CM176" s="228">
        <v>5</v>
      </c>
      <c r="CN176" s="229">
        <v>7.0800000000000002E-2</v>
      </c>
      <c r="CO176" s="230">
        <v>6165</v>
      </c>
      <c r="CP176" s="230">
        <v>5748</v>
      </c>
      <c r="CQ176" s="228">
        <v>417</v>
      </c>
      <c r="CR176" s="229">
        <v>7.2499999999999995E-2</v>
      </c>
      <c r="CS176" s="230">
        <v>3797</v>
      </c>
      <c r="CT176" s="230">
        <v>3829</v>
      </c>
      <c r="CU176" s="228">
        <v>-31</v>
      </c>
      <c r="CV176" s="229">
        <v>-8.2000000000000007E-3</v>
      </c>
      <c r="CW176" s="230">
        <v>18183</v>
      </c>
      <c r="CX176" s="230">
        <v>17495</v>
      </c>
      <c r="CY176" s="228">
        <v>688</v>
      </c>
      <c r="CZ176" s="229">
        <v>3.9300000000000002E-2</v>
      </c>
      <c r="DA176" s="228">
        <v>31.22</v>
      </c>
      <c r="DB176" s="228">
        <v>30.91</v>
      </c>
      <c r="DC176" s="228">
        <v>0.31</v>
      </c>
      <c r="DD176" s="228">
        <v>0.31</v>
      </c>
      <c r="DE176" s="228">
        <v>27.37</v>
      </c>
      <c r="DF176" s="228">
        <v>27.43</v>
      </c>
      <c r="DG176" s="228">
        <v>3.85</v>
      </c>
      <c r="DH176" s="228">
        <v>-0.06</v>
      </c>
      <c r="DI176" s="228">
        <v>30.41</v>
      </c>
      <c r="DJ176" s="228">
        <v>30.09</v>
      </c>
      <c r="DK176" s="228">
        <v>0.32</v>
      </c>
      <c r="DL176" s="228">
        <v>0.32</v>
      </c>
      <c r="DM176" s="228">
        <v>32.4</v>
      </c>
      <c r="DN176" s="228">
        <v>31.86</v>
      </c>
      <c r="DO176" s="228">
        <v>0.54</v>
      </c>
      <c r="DP176" s="228">
        <v>0.54</v>
      </c>
      <c r="DQ176" s="228">
        <v>0.62</v>
      </c>
      <c r="DR176" s="228">
        <v>0.67</v>
      </c>
      <c r="DS176" s="228">
        <v>-0.05</v>
      </c>
      <c r="DT176" s="229">
        <v>-7.46E-2</v>
      </c>
      <c r="DU176" s="231">
        <v>1200</v>
      </c>
      <c r="DV176" s="231">
        <v>1000</v>
      </c>
      <c r="DW176" s="228">
        <v>0.69</v>
      </c>
      <c r="DX176" s="228">
        <v>0.86</v>
      </c>
      <c r="DY176" s="228">
        <v>-0.17</v>
      </c>
      <c r="DZ176" s="229">
        <v>-0.19769999999999999</v>
      </c>
      <c r="EA176" s="229">
        <v>8.5900000000000004E-2</v>
      </c>
      <c r="EB176" s="230">
        <v>5544000</v>
      </c>
      <c r="EC176" s="229">
        <v>6.4999999999999997E-3</v>
      </c>
      <c r="ED176" s="229">
        <v>8.5900000000000004E-2</v>
      </c>
      <c r="EE176" s="228">
        <v>4.51</v>
      </c>
      <c r="EF176" s="229">
        <v>4.1999999999999997E-3</v>
      </c>
      <c r="EG176" s="230">
        <v>7840368</v>
      </c>
      <c r="EH176" s="230">
        <v>4870022</v>
      </c>
      <c r="EI176" s="229">
        <v>0.6099</v>
      </c>
      <c r="EJ176" s="229">
        <v>0.49249999999999999</v>
      </c>
      <c r="EK176" s="231">
        <v>8539.31</v>
      </c>
      <c r="EL176" s="231">
        <v>5454.49</v>
      </c>
      <c r="EM176" s="231">
        <v>1891.36</v>
      </c>
      <c r="EN176" s="228">
        <v>266.91000000000003</v>
      </c>
      <c r="EO176" s="231">
        <v>15885.16</v>
      </c>
      <c r="EP176" s="231">
        <v>13170.82</v>
      </c>
      <c r="EQ176" s="231">
        <v>2714.34</v>
      </c>
      <c r="ER176" s="229">
        <v>0.20610000000000001</v>
      </c>
      <c r="ES176" s="231">
        <v>6760.99</v>
      </c>
      <c r="ET176" s="231">
        <v>3824</v>
      </c>
      <c r="EU176" s="231">
        <v>8224.98</v>
      </c>
      <c r="EV176" s="231">
        <v>436949195</v>
      </c>
      <c r="EW176" s="231">
        <v>18809.98</v>
      </c>
      <c r="EX176" s="231">
        <v>18147.439999999999</v>
      </c>
      <c r="EY176" s="228">
        <v>662.54</v>
      </c>
      <c r="EZ176" s="229">
        <v>3.6499999999999998E-2</v>
      </c>
      <c r="FA176" s="229">
        <v>0.38219999999999998</v>
      </c>
      <c r="FB176" s="227" t="s">
        <v>567</v>
      </c>
      <c r="FC176">
        <f t="shared" si="3"/>
        <v>0</v>
      </c>
    </row>
    <row r="177" spans="1:159" ht="17.25" thickBot="1" x14ac:dyDescent="0.3">
      <c r="A177" s="226">
        <v>46093</v>
      </c>
      <c r="B177" s="227" t="s">
        <v>157</v>
      </c>
      <c r="C177" s="227" t="s">
        <v>284</v>
      </c>
      <c r="D177" s="228">
        <v>25</v>
      </c>
      <c r="E177" s="228">
        <v>18</v>
      </c>
      <c r="F177" s="231">
        <v>23515</v>
      </c>
      <c r="G177" s="231">
        <v>23660</v>
      </c>
      <c r="H177" s="228">
        <v>-145</v>
      </c>
      <c r="I177" s="229">
        <v>-6.1000000000000004E-3</v>
      </c>
      <c r="J177" s="231">
        <v>23500</v>
      </c>
      <c r="K177" s="231">
        <v>23740</v>
      </c>
      <c r="L177" s="228">
        <v>-240</v>
      </c>
      <c r="M177" s="229">
        <v>-1.01E-2</v>
      </c>
      <c r="N177" s="231">
        <v>23515</v>
      </c>
      <c r="O177" s="231">
        <v>23660</v>
      </c>
      <c r="P177" s="228">
        <v>-145</v>
      </c>
      <c r="Q177" s="229">
        <v>-6.1000000000000004E-3</v>
      </c>
      <c r="R177" s="231">
        <v>23205</v>
      </c>
      <c r="S177" s="231">
        <v>23360</v>
      </c>
      <c r="T177" s="228">
        <v>-155</v>
      </c>
      <c r="U177" s="229">
        <v>-6.6E-3</v>
      </c>
      <c r="V177" s="231">
        <v>23100</v>
      </c>
      <c r="W177" s="231">
        <v>23335</v>
      </c>
      <c r="X177" s="228">
        <v>-235</v>
      </c>
      <c r="Y177" s="229">
        <v>-1.01E-2</v>
      </c>
      <c r="Z177" s="228">
        <v>15</v>
      </c>
      <c r="AA177" s="228">
        <v>-80</v>
      </c>
      <c r="AB177" s="228">
        <v>95</v>
      </c>
      <c r="AC177" s="229">
        <v>5.9999999999999995E-4</v>
      </c>
      <c r="AD177" s="228">
        <v>15</v>
      </c>
      <c r="AE177" s="228">
        <v>-80</v>
      </c>
      <c r="AF177" s="228">
        <v>95</v>
      </c>
      <c r="AG177" s="229">
        <v>5.9999999999999995E-4</v>
      </c>
      <c r="AH177" s="228">
        <v>-295</v>
      </c>
      <c r="AI177" s="228">
        <v>-380</v>
      </c>
      <c r="AJ177" s="228">
        <v>85</v>
      </c>
      <c r="AK177" s="229">
        <v>-1.26E-2</v>
      </c>
      <c r="AL177" s="228">
        <v>-400</v>
      </c>
      <c r="AM177" s="228">
        <v>-405</v>
      </c>
      <c r="AN177" s="228">
        <v>5</v>
      </c>
      <c r="AO177" s="229">
        <v>-1.7000000000000001E-2</v>
      </c>
      <c r="AP177" s="231">
        <v>23526.55</v>
      </c>
      <c r="AQ177" s="231">
        <v>23231.89</v>
      </c>
      <c r="AR177" s="228">
        <v>0</v>
      </c>
      <c r="AS177" s="228">
        <v>135</v>
      </c>
      <c r="AT177" s="228">
        <v>155</v>
      </c>
      <c r="AU177" s="228">
        <v>-20</v>
      </c>
      <c r="AV177" s="229">
        <v>-0.13</v>
      </c>
      <c r="AW177" s="228">
        <v>116</v>
      </c>
      <c r="AX177" s="228">
        <v>123</v>
      </c>
      <c r="AY177" s="228">
        <v>-7</v>
      </c>
      <c r="AZ177" s="229">
        <v>-5.6500000000000002E-2</v>
      </c>
      <c r="BA177" s="228">
        <v>18</v>
      </c>
      <c r="BB177" s="228">
        <v>31</v>
      </c>
      <c r="BC177" s="228">
        <v>-14</v>
      </c>
      <c r="BD177" s="229">
        <v>-0.43419999999999997</v>
      </c>
      <c r="BE177" s="228">
        <v>1</v>
      </c>
      <c r="BF177" s="228">
        <v>0</v>
      </c>
      <c r="BG177" s="228">
        <v>0</v>
      </c>
      <c r="BH177" s="229">
        <v>0.875</v>
      </c>
      <c r="BI177" s="228">
        <v>66</v>
      </c>
      <c r="BJ177" s="228">
        <v>72</v>
      </c>
      <c r="BK177" s="228">
        <v>-6</v>
      </c>
      <c r="BL177" s="229">
        <v>-7.9600000000000004E-2</v>
      </c>
      <c r="BM177" s="228">
        <v>51</v>
      </c>
      <c r="BN177" s="228">
        <v>83</v>
      </c>
      <c r="BO177" s="228">
        <v>-33</v>
      </c>
      <c r="BP177" s="229">
        <v>-0.39179999999999998</v>
      </c>
      <c r="BQ177" s="228">
        <v>251</v>
      </c>
      <c r="BR177" s="228">
        <v>309</v>
      </c>
      <c r="BS177" s="228">
        <v>-58</v>
      </c>
      <c r="BT177" s="229">
        <v>-0.18870000000000001</v>
      </c>
      <c r="BU177" s="230">
        <v>45998</v>
      </c>
      <c r="BV177" s="230">
        <v>45035</v>
      </c>
      <c r="BW177" s="228">
        <v>963</v>
      </c>
      <c r="BX177" s="229">
        <v>2.1399999999999999E-2</v>
      </c>
      <c r="BY177" s="228">
        <v>949</v>
      </c>
      <c r="BZ177" s="228">
        <v>946</v>
      </c>
      <c r="CA177" s="228">
        <v>3</v>
      </c>
      <c r="CB177" s="229">
        <v>2.8999999999999998E-3</v>
      </c>
      <c r="CC177" s="228">
        <v>840</v>
      </c>
      <c r="CD177" s="228">
        <v>849</v>
      </c>
      <c r="CE177" s="228">
        <v>-9</v>
      </c>
      <c r="CF177" s="229">
        <v>-1.03E-2</v>
      </c>
      <c r="CG177" s="228">
        <v>105</v>
      </c>
      <c r="CH177" s="228">
        <v>94</v>
      </c>
      <c r="CI177" s="228">
        <v>11</v>
      </c>
      <c r="CJ177" s="229">
        <v>0.11990000000000001</v>
      </c>
      <c r="CK177" s="228">
        <v>3</v>
      </c>
      <c r="CL177" s="228">
        <v>3</v>
      </c>
      <c r="CM177" s="228">
        <v>0</v>
      </c>
      <c r="CN177" s="229">
        <v>5.7700000000000001E-2</v>
      </c>
      <c r="CO177" s="228">
        <v>215</v>
      </c>
      <c r="CP177" s="228">
        <v>211</v>
      </c>
      <c r="CQ177" s="228">
        <v>3</v>
      </c>
      <c r="CR177" s="229">
        <v>1.5299999999999999E-2</v>
      </c>
      <c r="CS177" s="228">
        <v>151</v>
      </c>
      <c r="CT177" s="228">
        <v>141</v>
      </c>
      <c r="CU177" s="228">
        <v>10</v>
      </c>
      <c r="CV177" s="229">
        <v>7.1499999999999994E-2</v>
      </c>
      <c r="CW177" s="230">
        <v>1315</v>
      </c>
      <c r="CX177" s="230">
        <v>1299</v>
      </c>
      <c r="CY177" s="228">
        <v>16</v>
      </c>
      <c r="CZ177" s="229">
        <v>1.24E-2</v>
      </c>
      <c r="DA177" s="228">
        <v>31.34</v>
      </c>
      <c r="DB177" s="228">
        <v>31.42</v>
      </c>
      <c r="DC177" s="228">
        <v>-0.08</v>
      </c>
      <c r="DD177" s="228">
        <v>-0.08</v>
      </c>
      <c r="DE177" s="228">
        <v>25.64</v>
      </c>
      <c r="DF177" s="228">
        <v>25.69</v>
      </c>
      <c r="DG177" s="228">
        <v>5.7</v>
      </c>
      <c r="DH177" s="228">
        <v>-0.05</v>
      </c>
      <c r="DI177" s="228">
        <v>31.6</v>
      </c>
      <c r="DJ177" s="228">
        <v>31.62</v>
      </c>
      <c r="DK177" s="228">
        <v>-0.02</v>
      </c>
      <c r="DL177" s="228">
        <v>-0.02</v>
      </c>
      <c r="DM177" s="228">
        <v>31</v>
      </c>
      <c r="DN177" s="228">
        <v>31.24</v>
      </c>
      <c r="DO177" s="228">
        <v>-0.24</v>
      </c>
      <c r="DP177" s="228">
        <v>-0.24</v>
      </c>
      <c r="DQ177" s="228">
        <v>0.71</v>
      </c>
      <c r="DR177" s="228">
        <v>0.67</v>
      </c>
      <c r="DS177" s="228">
        <v>0.04</v>
      </c>
      <c r="DT177" s="229">
        <v>5.9700000000000003E-2</v>
      </c>
      <c r="DU177" s="231">
        <v>27000</v>
      </c>
      <c r="DV177" s="231">
        <v>25000</v>
      </c>
      <c r="DW177" s="228">
        <v>0.77</v>
      </c>
      <c r="DX177" s="228">
        <v>1.1599999999999999</v>
      </c>
      <c r="DY177" s="228">
        <v>-0.39</v>
      </c>
      <c r="DZ177" s="229">
        <v>-0.3362</v>
      </c>
      <c r="EA177" s="229">
        <v>0.11459999999999999</v>
      </c>
      <c r="EB177" s="230">
        <v>41350</v>
      </c>
      <c r="EC177" s="229">
        <v>-1.32E-2</v>
      </c>
      <c r="ED177" s="229">
        <v>0.11459999999999999</v>
      </c>
      <c r="EE177" s="228">
        <v>-294.66000000000003</v>
      </c>
      <c r="EF177" s="229">
        <v>-1.2500000000000001E-2</v>
      </c>
      <c r="EG177" s="230">
        <v>30567</v>
      </c>
      <c r="EH177" s="230">
        <v>29348</v>
      </c>
      <c r="EI177" s="229">
        <v>4.1500000000000002E-2</v>
      </c>
      <c r="EJ177" s="229">
        <v>0.66449999999999998</v>
      </c>
      <c r="EK177" s="228">
        <v>71.14</v>
      </c>
      <c r="EL177" s="228">
        <v>50.91</v>
      </c>
      <c r="EM177" s="228">
        <v>134.34</v>
      </c>
      <c r="EN177" s="228">
        <v>26.61</v>
      </c>
      <c r="EO177" s="228">
        <v>256.38</v>
      </c>
      <c r="EP177" s="228">
        <v>318.22000000000003</v>
      </c>
      <c r="EQ177" s="228">
        <v>-61.84</v>
      </c>
      <c r="ER177" s="229">
        <v>-0.1943</v>
      </c>
      <c r="ES177" s="228">
        <v>239.19</v>
      </c>
      <c r="ET177" s="228">
        <v>160.15</v>
      </c>
      <c r="EU177" s="228">
        <v>947.44</v>
      </c>
      <c r="EV177" s="231">
        <v>1568093</v>
      </c>
      <c r="EW177" s="231">
        <v>1346.78</v>
      </c>
      <c r="EX177" s="231">
        <v>1336.94</v>
      </c>
      <c r="EY177" s="228">
        <v>9.84</v>
      </c>
      <c r="EZ177" s="229">
        <v>7.4000000000000003E-3</v>
      </c>
      <c r="FA177" s="229">
        <v>0.35659999999999997</v>
      </c>
      <c r="FB177" s="227" t="s">
        <v>567</v>
      </c>
      <c r="FC177">
        <f t="shared" si="3"/>
        <v>0</v>
      </c>
    </row>
    <row r="178" spans="1:159" ht="17.25" thickBot="1" x14ac:dyDescent="0.3">
      <c r="A178" s="226">
        <v>46093</v>
      </c>
      <c r="B178" s="227" t="s">
        <v>175</v>
      </c>
      <c r="C178" s="227" t="s">
        <v>562</v>
      </c>
      <c r="D178" s="228">
        <v>825</v>
      </c>
      <c r="E178" s="228">
        <v>18</v>
      </c>
      <c r="F178" s="231">
        <v>1035.5</v>
      </c>
      <c r="G178" s="231">
        <v>1035.9000000000001</v>
      </c>
      <c r="H178" s="228">
        <v>-0.4</v>
      </c>
      <c r="I178" s="229">
        <v>-4.0000000000000002E-4</v>
      </c>
      <c r="J178" s="231">
        <v>1031.7</v>
      </c>
      <c r="K178" s="231">
        <v>1031.7</v>
      </c>
      <c r="L178" s="228">
        <v>0</v>
      </c>
      <c r="M178" s="229">
        <v>0</v>
      </c>
      <c r="N178" s="231">
        <v>1035.5</v>
      </c>
      <c r="O178" s="231">
        <v>1035.9000000000001</v>
      </c>
      <c r="P178" s="228">
        <v>-0.4</v>
      </c>
      <c r="Q178" s="229">
        <v>-4.0000000000000002E-4</v>
      </c>
      <c r="R178" s="231">
        <v>1042</v>
      </c>
      <c r="S178" s="231">
        <v>1042.0999999999999</v>
      </c>
      <c r="T178" s="228">
        <v>-0.1</v>
      </c>
      <c r="U178" s="229">
        <v>-1E-4</v>
      </c>
      <c r="V178" s="231">
        <v>1045.5999999999999</v>
      </c>
      <c r="W178" s="231">
        <v>1047.0999999999999</v>
      </c>
      <c r="X178" s="228">
        <v>-1.5</v>
      </c>
      <c r="Y178" s="229">
        <v>-1.4E-3</v>
      </c>
      <c r="Z178" s="228">
        <v>3.8</v>
      </c>
      <c r="AA178" s="228">
        <v>4.2</v>
      </c>
      <c r="AB178" s="228">
        <v>-0.4</v>
      </c>
      <c r="AC178" s="229">
        <v>3.7000000000000002E-3</v>
      </c>
      <c r="AD178" s="228">
        <v>3.8</v>
      </c>
      <c r="AE178" s="228">
        <v>4.2</v>
      </c>
      <c r="AF178" s="228">
        <v>-0.4</v>
      </c>
      <c r="AG178" s="229">
        <v>3.7000000000000002E-3</v>
      </c>
      <c r="AH178" s="228">
        <v>10.3</v>
      </c>
      <c r="AI178" s="228">
        <v>10.4</v>
      </c>
      <c r="AJ178" s="228">
        <v>-0.1</v>
      </c>
      <c r="AK178" s="229">
        <v>0.01</v>
      </c>
      <c r="AL178" s="228">
        <v>13.9</v>
      </c>
      <c r="AM178" s="228">
        <v>15.4</v>
      </c>
      <c r="AN178" s="228">
        <v>-1.5</v>
      </c>
      <c r="AO178" s="229">
        <v>1.35E-2</v>
      </c>
      <c r="AP178" s="231">
        <v>1030.06</v>
      </c>
      <c r="AQ178" s="231">
        <v>1035.06</v>
      </c>
      <c r="AR178" s="228">
        <v>0</v>
      </c>
      <c r="AS178" s="228">
        <v>893</v>
      </c>
      <c r="AT178" s="230">
        <v>1019</v>
      </c>
      <c r="AU178" s="228">
        <v>-126</v>
      </c>
      <c r="AV178" s="229">
        <v>-0.1235</v>
      </c>
      <c r="AW178" s="228">
        <v>812</v>
      </c>
      <c r="AX178" s="228">
        <v>921</v>
      </c>
      <c r="AY178" s="228">
        <v>-108</v>
      </c>
      <c r="AZ178" s="229">
        <v>-0.1179</v>
      </c>
      <c r="BA178" s="228">
        <v>70</v>
      </c>
      <c r="BB178" s="228">
        <v>86</v>
      </c>
      <c r="BC178" s="228">
        <v>-16</v>
      </c>
      <c r="BD178" s="229">
        <v>-0.18429999999999999</v>
      </c>
      <c r="BE178" s="228">
        <v>11</v>
      </c>
      <c r="BF178" s="228">
        <v>12</v>
      </c>
      <c r="BG178" s="228">
        <v>-2</v>
      </c>
      <c r="BH178" s="229">
        <v>-0.12590000000000001</v>
      </c>
      <c r="BI178" s="230">
        <v>2097</v>
      </c>
      <c r="BJ178" s="230">
        <v>2462</v>
      </c>
      <c r="BK178" s="228">
        <v>-365</v>
      </c>
      <c r="BL178" s="229">
        <v>-0.14810000000000001</v>
      </c>
      <c r="BM178" s="230">
        <v>1421</v>
      </c>
      <c r="BN178" s="230">
        <v>1959</v>
      </c>
      <c r="BO178" s="228">
        <v>-538</v>
      </c>
      <c r="BP178" s="229">
        <v>-0.2747</v>
      </c>
      <c r="BQ178" s="230">
        <v>4411</v>
      </c>
      <c r="BR178" s="230">
        <v>5440</v>
      </c>
      <c r="BS178" s="230">
        <v>-1029</v>
      </c>
      <c r="BT178" s="229">
        <v>-0.18909999999999999</v>
      </c>
      <c r="BU178" s="230">
        <v>8188034</v>
      </c>
      <c r="BV178" s="230">
        <v>10915266</v>
      </c>
      <c r="BW178" s="230">
        <v>-2727232</v>
      </c>
      <c r="BX178" s="229">
        <v>-0.24990000000000001</v>
      </c>
      <c r="BY178" s="230">
        <v>4169</v>
      </c>
      <c r="BZ178" s="230">
        <v>4118</v>
      </c>
      <c r="CA178" s="228">
        <v>51</v>
      </c>
      <c r="CB178" s="229">
        <v>1.23E-2</v>
      </c>
      <c r="CC178" s="230">
        <v>3978</v>
      </c>
      <c r="CD178" s="230">
        <v>3936</v>
      </c>
      <c r="CE178" s="228">
        <v>42</v>
      </c>
      <c r="CF178" s="229">
        <v>1.0699999999999999E-2</v>
      </c>
      <c r="CG178" s="228">
        <v>144</v>
      </c>
      <c r="CH178" s="228">
        <v>139</v>
      </c>
      <c r="CI178" s="228">
        <v>5</v>
      </c>
      <c r="CJ178" s="229">
        <v>3.56E-2</v>
      </c>
      <c r="CK178" s="228">
        <v>47</v>
      </c>
      <c r="CL178" s="228">
        <v>43</v>
      </c>
      <c r="CM178" s="228">
        <v>4</v>
      </c>
      <c r="CN178" s="229">
        <v>8.6800000000000002E-2</v>
      </c>
      <c r="CO178" s="230">
        <v>1288</v>
      </c>
      <c r="CP178" s="230">
        <v>1241</v>
      </c>
      <c r="CQ178" s="228">
        <v>47</v>
      </c>
      <c r="CR178" s="229">
        <v>3.7900000000000003E-2</v>
      </c>
      <c r="CS178" s="230">
        <v>1109</v>
      </c>
      <c r="CT178" s="230">
        <v>1056</v>
      </c>
      <c r="CU178" s="228">
        <v>53</v>
      </c>
      <c r="CV178" s="229">
        <v>5.0299999999999997E-2</v>
      </c>
      <c r="CW178" s="230">
        <v>6567</v>
      </c>
      <c r="CX178" s="230">
        <v>6416</v>
      </c>
      <c r="CY178" s="228">
        <v>151</v>
      </c>
      <c r="CZ178" s="229">
        <v>2.35E-2</v>
      </c>
      <c r="DA178" s="228">
        <v>40.24</v>
      </c>
      <c r="DB178" s="228">
        <v>39.24</v>
      </c>
      <c r="DC178" s="228">
        <v>1</v>
      </c>
      <c r="DD178" s="228">
        <v>1</v>
      </c>
      <c r="DE178" s="228">
        <v>40.18</v>
      </c>
      <c r="DF178" s="228">
        <v>40.28</v>
      </c>
      <c r="DG178" s="228">
        <v>0.06</v>
      </c>
      <c r="DH178" s="228">
        <v>-0.1</v>
      </c>
      <c r="DI178" s="228">
        <v>38.93</v>
      </c>
      <c r="DJ178" s="228">
        <v>38.44</v>
      </c>
      <c r="DK178" s="228">
        <v>0.49</v>
      </c>
      <c r="DL178" s="228">
        <v>0.49</v>
      </c>
      <c r="DM178" s="228">
        <v>42.16</v>
      </c>
      <c r="DN178" s="228">
        <v>40.229999999999997</v>
      </c>
      <c r="DO178" s="228">
        <v>1.93</v>
      </c>
      <c r="DP178" s="228">
        <v>1.93</v>
      </c>
      <c r="DQ178" s="228">
        <v>0.86</v>
      </c>
      <c r="DR178" s="228">
        <v>0.85</v>
      </c>
      <c r="DS178" s="228">
        <v>0.01</v>
      </c>
      <c r="DT178" s="229">
        <v>1.18E-2</v>
      </c>
      <c r="DU178" s="231">
        <v>1050</v>
      </c>
      <c r="DV178" s="231">
        <v>1000</v>
      </c>
      <c r="DW178" s="228">
        <v>0.68</v>
      </c>
      <c r="DX178" s="228">
        <v>0.8</v>
      </c>
      <c r="DY178" s="228">
        <v>-0.12</v>
      </c>
      <c r="DZ178" s="229">
        <v>-0.15</v>
      </c>
      <c r="EA178" s="229">
        <v>4.58E-2</v>
      </c>
      <c r="EB178" s="230">
        <v>1761375</v>
      </c>
      <c r="EC178" s="229">
        <v>6.3E-3</v>
      </c>
      <c r="ED178" s="229">
        <v>4.58E-2</v>
      </c>
      <c r="EE178" s="228">
        <v>5</v>
      </c>
      <c r="EF178" s="229">
        <v>4.8999999999999998E-3</v>
      </c>
      <c r="EG178" s="230">
        <v>4720897</v>
      </c>
      <c r="EH178" s="230">
        <v>7262912</v>
      </c>
      <c r="EI178" s="229">
        <v>-0.35</v>
      </c>
      <c r="EJ178" s="229">
        <v>0.5766</v>
      </c>
      <c r="EK178" s="231">
        <v>2215.64</v>
      </c>
      <c r="EL178" s="231">
        <v>1407.69</v>
      </c>
      <c r="EM178" s="228">
        <v>888.45</v>
      </c>
      <c r="EN178" s="228">
        <v>142.83000000000001</v>
      </c>
      <c r="EO178" s="231">
        <v>4511.79</v>
      </c>
      <c r="EP178" s="231">
        <v>5658.11</v>
      </c>
      <c r="EQ178" s="231">
        <v>-1146.32</v>
      </c>
      <c r="ER178" s="229">
        <v>-0.2026</v>
      </c>
      <c r="ES178" s="231">
        <v>1349.31</v>
      </c>
      <c r="ET178" s="231">
        <v>1070.8699999999999</v>
      </c>
      <c r="EU178" s="231">
        <v>4170.54</v>
      </c>
      <c r="EV178" s="231">
        <v>210513975</v>
      </c>
      <c r="EW178" s="231">
        <v>6590.72</v>
      </c>
      <c r="EX178" s="231">
        <v>6446.91</v>
      </c>
      <c r="EY178" s="228">
        <v>143.81</v>
      </c>
      <c r="EZ178" s="229">
        <v>2.23E-2</v>
      </c>
      <c r="FA178" s="229">
        <v>0.30120000000000002</v>
      </c>
      <c r="FB178" s="227" t="s">
        <v>567</v>
      </c>
      <c r="FC178">
        <f t="shared" si="3"/>
        <v>0</v>
      </c>
    </row>
    <row r="179" spans="1:159" ht="17.25" thickBot="1" x14ac:dyDescent="0.3">
      <c r="A179" s="226">
        <v>46093</v>
      </c>
      <c r="B179" s="227" t="s">
        <v>184</v>
      </c>
      <c r="C179" s="227" t="s">
        <v>285</v>
      </c>
      <c r="D179" s="228">
        <v>175</v>
      </c>
      <c r="E179" s="228">
        <v>18</v>
      </c>
      <c r="F179" s="231">
        <v>3319.3</v>
      </c>
      <c r="G179" s="231">
        <v>3271.1</v>
      </c>
      <c r="H179" s="228">
        <v>48.2</v>
      </c>
      <c r="I179" s="229">
        <v>1.47E-2</v>
      </c>
      <c r="J179" s="231">
        <v>3324.7</v>
      </c>
      <c r="K179" s="231">
        <v>3272.2</v>
      </c>
      <c r="L179" s="228">
        <v>52.5</v>
      </c>
      <c r="M179" s="229">
        <v>1.6E-2</v>
      </c>
      <c r="N179" s="231">
        <v>3319.3</v>
      </c>
      <c r="O179" s="231">
        <v>3271.1</v>
      </c>
      <c r="P179" s="228">
        <v>48.2</v>
      </c>
      <c r="Q179" s="229">
        <v>1.47E-2</v>
      </c>
      <c r="R179" s="231">
        <v>3334.1</v>
      </c>
      <c r="S179" s="231">
        <v>3281.8</v>
      </c>
      <c r="T179" s="228">
        <v>52.3</v>
      </c>
      <c r="U179" s="229">
        <v>1.5900000000000001E-2</v>
      </c>
      <c r="V179" s="231">
        <v>3338.3</v>
      </c>
      <c r="W179" s="231">
        <v>3290</v>
      </c>
      <c r="X179" s="228">
        <v>48.3</v>
      </c>
      <c r="Y179" s="229">
        <v>1.47E-2</v>
      </c>
      <c r="Z179" s="228">
        <v>-5.4</v>
      </c>
      <c r="AA179" s="228">
        <v>-1.1000000000000001</v>
      </c>
      <c r="AB179" s="228">
        <v>-4.3</v>
      </c>
      <c r="AC179" s="229">
        <v>-1.6000000000000001E-3</v>
      </c>
      <c r="AD179" s="228">
        <v>-5.4</v>
      </c>
      <c r="AE179" s="228">
        <v>-1.1000000000000001</v>
      </c>
      <c r="AF179" s="228">
        <v>-4.3</v>
      </c>
      <c r="AG179" s="229">
        <v>-1.6000000000000001E-3</v>
      </c>
      <c r="AH179" s="228">
        <v>9.4</v>
      </c>
      <c r="AI179" s="228">
        <v>9.6</v>
      </c>
      <c r="AJ179" s="228">
        <v>-0.2</v>
      </c>
      <c r="AK179" s="229">
        <v>2.8E-3</v>
      </c>
      <c r="AL179" s="228">
        <v>13.6</v>
      </c>
      <c r="AM179" s="228">
        <v>17.8</v>
      </c>
      <c r="AN179" s="228">
        <v>-4.2</v>
      </c>
      <c r="AO179" s="229">
        <v>4.1000000000000003E-3</v>
      </c>
      <c r="AP179" s="231">
        <v>3300.16</v>
      </c>
      <c r="AQ179" s="231">
        <v>3326.47</v>
      </c>
      <c r="AR179" s="228">
        <v>0</v>
      </c>
      <c r="AS179" s="228">
        <v>194</v>
      </c>
      <c r="AT179" s="228">
        <v>164</v>
      </c>
      <c r="AU179" s="228">
        <v>30</v>
      </c>
      <c r="AV179" s="229">
        <v>0.184</v>
      </c>
      <c r="AW179" s="228">
        <v>182</v>
      </c>
      <c r="AX179" s="228">
        <v>154</v>
      </c>
      <c r="AY179" s="228">
        <v>28</v>
      </c>
      <c r="AZ179" s="229">
        <v>0.17960000000000001</v>
      </c>
      <c r="BA179" s="228">
        <v>12</v>
      </c>
      <c r="BB179" s="228">
        <v>9</v>
      </c>
      <c r="BC179" s="228">
        <v>3</v>
      </c>
      <c r="BD179" s="229">
        <v>0.37659999999999999</v>
      </c>
      <c r="BE179" s="228">
        <v>0</v>
      </c>
      <c r="BF179" s="228">
        <v>1</v>
      </c>
      <c r="BG179" s="228">
        <v>-1</v>
      </c>
      <c r="BH179" s="229">
        <v>-0.66669999999999996</v>
      </c>
      <c r="BI179" s="230">
        <v>1154</v>
      </c>
      <c r="BJ179" s="228">
        <v>906</v>
      </c>
      <c r="BK179" s="228">
        <v>248</v>
      </c>
      <c r="BL179" s="229">
        <v>0.27350000000000002</v>
      </c>
      <c r="BM179" s="228">
        <v>373</v>
      </c>
      <c r="BN179" s="228">
        <v>361</v>
      </c>
      <c r="BO179" s="228">
        <v>12</v>
      </c>
      <c r="BP179" s="229">
        <v>3.4599999999999999E-2</v>
      </c>
      <c r="BQ179" s="230">
        <v>1722</v>
      </c>
      <c r="BR179" s="230">
        <v>1431</v>
      </c>
      <c r="BS179" s="228">
        <v>291</v>
      </c>
      <c r="BT179" s="229">
        <v>0.2031</v>
      </c>
      <c r="BU179" s="230">
        <v>373623</v>
      </c>
      <c r="BV179" s="230">
        <v>307036</v>
      </c>
      <c r="BW179" s="230">
        <v>66587</v>
      </c>
      <c r="BX179" s="229">
        <v>0.21690000000000001</v>
      </c>
      <c r="BY179" s="228">
        <v>832</v>
      </c>
      <c r="BZ179" s="228">
        <v>821</v>
      </c>
      <c r="CA179" s="228">
        <v>11</v>
      </c>
      <c r="CB179" s="229">
        <v>1.3599999999999999E-2</v>
      </c>
      <c r="CC179" s="228">
        <v>810</v>
      </c>
      <c r="CD179" s="228">
        <v>801</v>
      </c>
      <c r="CE179" s="228">
        <v>10</v>
      </c>
      <c r="CF179" s="229">
        <v>1.2E-2</v>
      </c>
      <c r="CG179" s="228">
        <v>20</v>
      </c>
      <c r="CH179" s="228">
        <v>18</v>
      </c>
      <c r="CI179" s="228">
        <v>2</v>
      </c>
      <c r="CJ179" s="229">
        <v>8.6800000000000002E-2</v>
      </c>
      <c r="CK179" s="228">
        <v>2</v>
      </c>
      <c r="CL179" s="228">
        <v>2</v>
      </c>
      <c r="CM179" s="228">
        <v>0</v>
      </c>
      <c r="CN179" s="229">
        <v>0</v>
      </c>
      <c r="CO179" s="228">
        <v>524</v>
      </c>
      <c r="CP179" s="228">
        <v>511</v>
      </c>
      <c r="CQ179" s="228">
        <v>13</v>
      </c>
      <c r="CR179" s="229">
        <v>2.4899999999999999E-2</v>
      </c>
      <c r="CS179" s="228">
        <v>268</v>
      </c>
      <c r="CT179" s="228">
        <v>280</v>
      </c>
      <c r="CU179" s="228">
        <v>-12</v>
      </c>
      <c r="CV179" s="229">
        <v>-4.19E-2</v>
      </c>
      <c r="CW179" s="230">
        <v>1624</v>
      </c>
      <c r="CX179" s="230">
        <v>1612</v>
      </c>
      <c r="CY179" s="228">
        <v>12</v>
      </c>
      <c r="CZ179" s="229">
        <v>7.4999999999999997E-3</v>
      </c>
      <c r="DA179" s="228">
        <v>37.99</v>
      </c>
      <c r="DB179" s="228">
        <v>38.770000000000003</v>
      </c>
      <c r="DC179" s="228">
        <v>-0.78</v>
      </c>
      <c r="DD179" s="228">
        <v>-0.78</v>
      </c>
      <c r="DE179" s="228">
        <v>38.369999999999997</v>
      </c>
      <c r="DF179" s="228">
        <v>38.409999999999997</v>
      </c>
      <c r="DG179" s="228">
        <v>-0.38</v>
      </c>
      <c r="DH179" s="228">
        <v>-0.04</v>
      </c>
      <c r="DI179" s="228">
        <v>37.18</v>
      </c>
      <c r="DJ179" s="228">
        <v>37.94</v>
      </c>
      <c r="DK179" s="228">
        <v>-0.76</v>
      </c>
      <c r="DL179" s="228">
        <v>-0.76</v>
      </c>
      <c r="DM179" s="228">
        <v>40.51</v>
      </c>
      <c r="DN179" s="228">
        <v>40.840000000000003</v>
      </c>
      <c r="DO179" s="228">
        <v>-0.33</v>
      </c>
      <c r="DP179" s="228">
        <v>-0.33</v>
      </c>
      <c r="DQ179" s="228">
        <v>0.51</v>
      </c>
      <c r="DR179" s="228">
        <v>0.55000000000000004</v>
      </c>
      <c r="DS179" s="228">
        <v>-0.04</v>
      </c>
      <c r="DT179" s="229">
        <v>-7.2700000000000001E-2</v>
      </c>
      <c r="DU179" s="231">
        <v>3400</v>
      </c>
      <c r="DV179" s="231">
        <v>3000</v>
      </c>
      <c r="DW179" s="228">
        <v>0.32</v>
      </c>
      <c r="DX179" s="228">
        <v>0.4</v>
      </c>
      <c r="DY179" s="228">
        <v>-0.08</v>
      </c>
      <c r="DZ179" s="229">
        <v>-0.2</v>
      </c>
      <c r="EA179" s="229">
        <v>2.5700000000000001E-2</v>
      </c>
      <c r="EB179" s="230">
        <v>59675</v>
      </c>
      <c r="EC179" s="229">
        <v>4.4999999999999997E-3</v>
      </c>
      <c r="ED179" s="229">
        <v>2.5700000000000001E-2</v>
      </c>
      <c r="EE179" s="228">
        <v>26.31</v>
      </c>
      <c r="EF179" s="229">
        <v>8.0000000000000002E-3</v>
      </c>
      <c r="EG179" s="230">
        <v>107977</v>
      </c>
      <c r="EH179" s="230">
        <v>107379</v>
      </c>
      <c r="EI179" s="229">
        <v>5.5999999999999999E-3</v>
      </c>
      <c r="EJ179" s="229">
        <v>0.28899999999999998</v>
      </c>
      <c r="EK179" s="231">
        <v>1221.74</v>
      </c>
      <c r="EL179" s="228">
        <v>360.64</v>
      </c>
      <c r="EM179" s="228">
        <v>193.34</v>
      </c>
      <c r="EN179" s="228">
        <v>33.369999999999997</v>
      </c>
      <c r="EO179" s="231">
        <v>1775.73</v>
      </c>
      <c r="EP179" s="231">
        <v>1465.99</v>
      </c>
      <c r="EQ179" s="228">
        <v>309.73</v>
      </c>
      <c r="ER179" s="229">
        <v>0.21129999999999999</v>
      </c>
      <c r="ES179" s="228">
        <v>553.29</v>
      </c>
      <c r="ET179" s="228">
        <v>253.57</v>
      </c>
      <c r="EU179" s="228">
        <v>831.86</v>
      </c>
      <c r="EV179" s="231">
        <v>13354588</v>
      </c>
      <c r="EW179" s="231">
        <v>1638.71</v>
      </c>
      <c r="EX179" s="231">
        <v>1610.13</v>
      </c>
      <c r="EY179" s="228">
        <v>28.58</v>
      </c>
      <c r="EZ179" s="229">
        <v>1.78E-2</v>
      </c>
      <c r="FA179" s="229">
        <v>0.36630000000000001</v>
      </c>
      <c r="FB179" s="227" t="s">
        <v>555</v>
      </c>
      <c r="FC179">
        <f t="shared" si="3"/>
        <v>0</v>
      </c>
    </row>
    <row r="180" spans="1:159" ht="17.25" thickBot="1" x14ac:dyDescent="0.3">
      <c r="A180" s="226">
        <v>46093</v>
      </c>
      <c r="B180" s="227" t="s">
        <v>498</v>
      </c>
      <c r="C180" s="227" t="s">
        <v>646</v>
      </c>
      <c r="D180" s="228">
        <v>50</v>
      </c>
      <c r="E180" s="228">
        <v>18</v>
      </c>
      <c r="F180" s="231">
        <v>14547</v>
      </c>
      <c r="G180" s="231">
        <v>14563</v>
      </c>
      <c r="H180" s="228">
        <v>-16</v>
      </c>
      <c r="I180" s="229">
        <v>-1.1000000000000001E-3</v>
      </c>
      <c r="J180" s="231">
        <v>14525</v>
      </c>
      <c r="K180" s="231">
        <v>14515</v>
      </c>
      <c r="L180" s="228">
        <v>10</v>
      </c>
      <c r="M180" s="229">
        <v>6.9999999999999999E-4</v>
      </c>
      <c r="N180" s="231">
        <v>14547</v>
      </c>
      <c r="O180" s="231">
        <v>14563</v>
      </c>
      <c r="P180" s="228">
        <v>-16</v>
      </c>
      <c r="Q180" s="229">
        <v>-1.1000000000000001E-3</v>
      </c>
      <c r="R180" s="231">
        <v>14650</v>
      </c>
      <c r="S180" s="231">
        <v>14659</v>
      </c>
      <c r="T180" s="228">
        <v>-9</v>
      </c>
      <c r="U180" s="229">
        <v>-5.9999999999999995E-4</v>
      </c>
      <c r="V180" s="231">
        <v>14765</v>
      </c>
      <c r="W180" s="231">
        <v>14706</v>
      </c>
      <c r="X180" s="228">
        <v>59</v>
      </c>
      <c r="Y180" s="229">
        <v>4.0000000000000001E-3</v>
      </c>
      <c r="Z180" s="228">
        <v>22</v>
      </c>
      <c r="AA180" s="228">
        <v>48</v>
      </c>
      <c r="AB180" s="228">
        <v>-26</v>
      </c>
      <c r="AC180" s="229">
        <v>1.5E-3</v>
      </c>
      <c r="AD180" s="228">
        <v>22</v>
      </c>
      <c r="AE180" s="228">
        <v>48</v>
      </c>
      <c r="AF180" s="228">
        <v>-26</v>
      </c>
      <c r="AG180" s="229">
        <v>1.5E-3</v>
      </c>
      <c r="AH180" s="228">
        <v>125</v>
      </c>
      <c r="AI180" s="228">
        <v>144</v>
      </c>
      <c r="AJ180" s="228">
        <v>-19</v>
      </c>
      <c r="AK180" s="229">
        <v>8.6E-3</v>
      </c>
      <c r="AL180" s="228">
        <v>240</v>
      </c>
      <c r="AM180" s="228">
        <v>191</v>
      </c>
      <c r="AN180" s="228">
        <v>49</v>
      </c>
      <c r="AO180" s="229">
        <v>1.6500000000000001E-2</v>
      </c>
      <c r="AP180" s="231">
        <v>14549.7</v>
      </c>
      <c r="AQ180" s="231">
        <v>14657.72</v>
      </c>
      <c r="AR180" s="228">
        <v>0</v>
      </c>
      <c r="AS180" s="228">
        <v>196</v>
      </c>
      <c r="AT180" s="228">
        <v>265</v>
      </c>
      <c r="AU180" s="228">
        <v>-70</v>
      </c>
      <c r="AV180" s="229">
        <v>-0.2621</v>
      </c>
      <c r="AW180" s="228">
        <v>176</v>
      </c>
      <c r="AX180" s="228">
        <v>243</v>
      </c>
      <c r="AY180" s="228">
        <v>-67</v>
      </c>
      <c r="AZ180" s="229">
        <v>-0.27660000000000001</v>
      </c>
      <c r="BA180" s="228">
        <v>17</v>
      </c>
      <c r="BB180" s="228">
        <v>20</v>
      </c>
      <c r="BC180" s="228">
        <v>-3</v>
      </c>
      <c r="BD180" s="229">
        <v>-0.1709</v>
      </c>
      <c r="BE180" s="228">
        <v>4</v>
      </c>
      <c r="BF180" s="228">
        <v>3</v>
      </c>
      <c r="BG180" s="228">
        <v>1</v>
      </c>
      <c r="BH180" s="229">
        <v>0.38890000000000002</v>
      </c>
      <c r="BI180" s="228">
        <v>563</v>
      </c>
      <c r="BJ180" s="228">
        <v>654</v>
      </c>
      <c r="BK180" s="228">
        <v>-92</v>
      </c>
      <c r="BL180" s="229">
        <v>-0.1399</v>
      </c>
      <c r="BM180" s="228">
        <v>236</v>
      </c>
      <c r="BN180" s="228">
        <v>566</v>
      </c>
      <c r="BO180" s="228">
        <v>-329</v>
      </c>
      <c r="BP180" s="229">
        <v>-0.58250000000000002</v>
      </c>
      <c r="BQ180" s="228">
        <v>995</v>
      </c>
      <c r="BR180" s="230">
        <v>1485</v>
      </c>
      <c r="BS180" s="228">
        <v>-491</v>
      </c>
      <c r="BT180" s="229">
        <v>-0.33029999999999998</v>
      </c>
      <c r="BU180" s="230">
        <v>150518</v>
      </c>
      <c r="BV180" s="230">
        <v>235731</v>
      </c>
      <c r="BW180" s="230">
        <v>-85213</v>
      </c>
      <c r="BX180" s="229">
        <v>-0.36149999999999999</v>
      </c>
      <c r="BY180" s="228">
        <v>999</v>
      </c>
      <c r="BZ180" s="230">
        <v>1019</v>
      </c>
      <c r="CA180" s="228">
        <v>-20</v>
      </c>
      <c r="CB180" s="229">
        <v>-1.9300000000000001E-2</v>
      </c>
      <c r="CC180" s="228">
        <v>880</v>
      </c>
      <c r="CD180" s="228">
        <v>902</v>
      </c>
      <c r="CE180" s="228">
        <v>-22</v>
      </c>
      <c r="CF180" s="229">
        <v>-2.4299999999999999E-2</v>
      </c>
      <c r="CG180" s="228">
        <v>92</v>
      </c>
      <c r="CH180" s="228">
        <v>92</v>
      </c>
      <c r="CI180" s="228">
        <v>-1</v>
      </c>
      <c r="CJ180" s="229">
        <v>-1.0200000000000001E-2</v>
      </c>
      <c r="CK180" s="228">
        <v>28</v>
      </c>
      <c r="CL180" s="228">
        <v>24</v>
      </c>
      <c r="CM180" s="228">
        <v>3</v>
      </c>
      <c r="CN180" s="229">
        <v>0.13100000000000001</v>
      </c>
      <c r="CO180" s="228">
        <v>589</v>
      </c>
      <c r="CP180" s="228">
        <v>598</v>
      </c>
      <c r="CQ180" s="228">
        <v>-9</v>
      </c>
      <c r="CR180" s="229">
        <v>-1.4999999999999999E-2</v>
      </c>
      <c r="CS180" s="228">
        <v>429</v>
      </c>
      <c r="CT180" s="228">
        <v>416</v>
      </c>
      <c r="CU180" s="228">
        <v>13</v>
      </c>
      <c r="CV180" s="229">
        <v>3.15E-2</v>
      </c>
      <c r="CW180" s="230">
        <v>2017</v>
      </c>
      <c r="CX180" s="230">
        <v>2033</v>
      </c>
      <c r="CY180" s="228">
        <v>-15</v>
      </c>
      <c r="CZ180" s="229">
        <v>-7.6E-3</v>
      </c>
      <c r="DA180" s="228">
        <v>39.71</v>
      </c>
      <c r="DB180" s="228">
        <v>40.049999999999997</v>
      </c>
      <c r="DC180" s="228">
        <v>-0.34</v>
      </c>
      <c r="DD180" s="228">
        <v>-0.34</v>
      </c>
      <c r="DE180" s="228">
        <v>40.630000000000003</v>
      </c>
      <c r="DF180" s="228">
        <v>40.729999999999997</v>
      </c>
      <c r="DG180" s="228">
        <v>-0.92</v>
      </c>
      <c r="DH180" s="228">
        <v>-0.1</v>
      </c>
      <c r="DI180" s="228">
        <v>39.79</v>
      </c>
      <c r="DJ180" s="228">
        <v>39.83</v>
      </c>
      <c r="DK180" s="228">
        <v>-0.04</v>
      </c>
      <c r="DL180" s="228">
        <v>-0.04</v>
      </c>
      <c r="DM180" s="228">
        <v>39.520000000000003</v>
      </c>
      <c r="DN180" s="228">
        <v>40.29</v>
      </c>
      <c r="DO180" s="228">
        <v>-0.77</v>
      </c>
      <c r="DP180" s="228">
        <v>-0.77</v>
      </c>
      <c r="DQ180" s="228">
        <v>0.73</v>
      </c>
      <c r="DR180" s="228">
        <v>0.7</v>
      </c>
      <c r="DS180" s="228">
        <v>0.03</v>
      </c>
      <c r="DT180" s="229">
        <v>4.2900000000000001E-2</v>
      </c>
      <c r="DU180" s="231">
        <v>16000</v>
      </c>
      <c r="DV180" s="231">
        <v>13000</v>
      </c>
      <c r="DW180" s="228">
        <v>0.42</v>
      </c>
      <c r="DX180" s="228">
        <v>0.86</v>
      </c>
      <c r="DY180" s="228">
        <v>-0.44</v>
      </c>
      <c r="DZ180" s="229">
        <v>-0.51160000000000005</v>
      </c>
      <c r="EA180" s="229">
        <v>0.1193</v>
      </c>
      <c r="EB180" s="230">
        <v>80350</v>
      </c>
      <c r="EC180" s="229">
        <v>7.1000000000000004E-3</v>
      </c>
      <c r="ED180" s="229">
        <v>0.1193</v>
      </c>
      <c r="EE180" s="228">
        <v>108.02</v>
      </c>
      <c r="EF180" s="229">
        <v>7.4000000000000003E-3</v>
      </c>
      <c r="EG180" s="230">
        <v>55204</v>
      </c>
      <c r="EH180" s="230">
        <v>98263</v>
      </c>
      <c r="EI180" s="229">
        <v>-0.43819999999999998</v>
      </c>
      <c r="EJ180" s="229">
        <v>0.36680000000000001</v>
      </c>
      <c r="EK180" s="228">
        <v>599.78</v>
      </c>
      <c r="EL180" s="228">
        <v>229.91</v>
      </c>
      <c r="EM180" s="228">
        <v>196.02</v>
      </c>
      <c r="EN180" s="228">
        <v>53.28</v>
      </c>
      <c r="EO180" s="231">
        <v>1025.72</v>
      </c>
      <c r="EP180" s="231">
        <v>1522.68</v>
      </c>
      <c r="EQ180" s="228">
        <v>-496.96</v>
      </c>
      <c r="ER180" s="229">
        <v>-0.32640000000000002</v>
      </c>
      <c r="ES180" s="228">
        <v>616.9</v>
      </c>
      <c r="ET180" s="228">
        <v>406.98</v>
      </c>
      <c r="EU180" s="231">
        <v>1000</v>
      </c>
      <c r="EV180" s="231">
        <v>3644817</v>
      </c>
      <c r="EW180" s="231">
        <v>2023.89</v>
      </c>
      <c r="EX180" s="231">
        <v>2041.92</v>
      </c>
      <c r="EY180" s="228">
        <v>-18.03</v>
      </c>
      <c r="EZ180" s="229">
        <v>-8.8000000000000005E-3</v>
      </c>
      <c r="FA180" s="229">
        <v>0.38040000000000002</v>
      </c>
      <c r="FB180" s="227" t="s">
        <v>568</v>
      </c>
      <c r="FC180">
        <f t="shared" si="3"/>
        <v>0</v>
      </c>
    </row>
    <row r="181" spans="1:159" ht="17.25" thickBot="1" x14ac:dyDescent="0.3">
      <c r="A181" s="226">
        <v>46093</v>
      </c>
      <c r="B181" s="227" t="s">
        <v>162</v>
      </c>
      <c r="C181" s="227" t="s">
        <v>614</v>
      </c>
      <c r="D181" s="228">
        <v>1225</v>
      </c>
      <c r="E181" s="228">
        <v>18</v>
      </c>
      <c r="F181" s="228">
        <v>511.35</v>
      </c>
      <c r="G181" s="228">
        <v>517.4</v>
      </c>
      <c r="H181" s="228">
        <v>-6.05</v>
      </c>
      <c r="I181" s="229">
        <v>-1.17E-2</v>
      </c>
      <c r="J181" s="228">
        <v>510.3</v>
      </c>
      <c r="K181" s="228">
        <v>516.35</v>
      </c>
      <c r="L181" s="228">
        <v>-6.05</v>
      </c>
      <c r="M181" s="229">
        <v>-1.17E-2</v>
      </c>
      <c r="N181" s="228">
        <v>511.35</v>
      </c>
      <c r="O181" s="228">
        <v>517.4</v>
      </c>
      <c r="P181" s="228">
        <v>-6.05</v>
      </c>
      <c r="Q181" s="229">
        <v>-1.17E-2</v>
      </c>
      <c r="R181" s="228">
        <v>514.25</v>
      </c>
      <c r="S181" s="228">
        <v>520.5</v>
      </c>
      <c r="T181" s="228">
        <v>-6.25</v>
      </c>
      <c r="U181" s="229">
        <v>-1.2E-2</v>
      </c>
      <c r="V181" s="228">
        <v>514</v>
      </c>
      <c r="W181" s="228">
        <v>523</v>
      </c>
      <c r="X181" s="228">
        <v>-9</v>
      </c>
      <c r="Y181" s="229">
        <v>-1.72E-2</v>
      </c>
      <c r="Z181" s="228">
        <v>1.05</v>
      </c>
      <c r="AA181" s="228">
        <v>1.05</v>
      </c>
      <c r="AB181" s="228">
        <v>0</v>
      </c>
      <c r="AC181" s="229">
        <v>2.0999999999999999E-3</v>
      </c>
      <c r="AD181" s="228">
        <v>1.05</v>
      </c>
      <c r="AE181" s="228">
        <v>1.05</v>
      </c>
      <c r="AF181" s="228">
        <v>0</v>
      </c>
      <c r="AG181" s="229">
        <v>2.0999999999999999E-3</v>
      </c>
      <c r="AH181" s="228">
        <v>3.95</v>
      </c>
      <c r="AI181" s="228">
        <v>4.1500000000000004</v>
      </c>
      <c r="AJ181" s="228">
        <v>-0.2</v>
      </c>
      <c r="AK181" s="229">
        <v>7.7000000000000002E-3</v>
      </c>
      <c r="AL181" s="228">
        <v>3.7</v>
      </c>
      <c r="AM181" s="228">
        <v>6.65</v>
      </c>
      <c r="AN181" s="228">
        <v>-2.95</v>
      </c>
      <c r="AO181" s="229">
        <v>7.3000000000000001E-3</v>
      </c>
      <c r="AP181" s="228">
        <v>509.14</v>
      </c>
      <c r="AQ181" s="228">
        <v>512.41</v>
      </c>
      <c r="AR181" s="228">
        <v>0</v>
      </c>
      <c r="AS181" s="228">
        <v>98</v>
      </c>
      <c r="AT181" s="228">
        <v>238</v>
      </c>
      <c r="AU181" s="228">
        <v>-139</v>
      </c>
      <c r="AV181" s="229">
        <v>-0.58589999999999998</v>
      </c>
      <c r="AW181" s="228">
        <v>89</v>
      </c>
      <c r="AX181" s="228">
        <v>227</v>
      </c>
      <c r="AY181" s="228">
        <v>-138</v>
      </c>
      <c r="AZ181" s="229">
        <v>-0.61</v>
      </c>
      <c r="BA181" s="228">
        <v>9</v>
      </c>
      <c r="BB181" s="228">
        <v>10</v>
      </c>
      <c r="BC181" s="228">
        <v>-1</v>
      </c>
      <c r="BD181" s="229">
        <v>-5.1900000000000002E-2</v>
      </c>
      <c r="BE181" s="228">
        <v>1</v>
      </c>
      <c r="BF181" s="228">
        <v>1</v>
      </c>
      <c r="BG181" s="228">
        <v>0</v>
      </c>
      <c r="BH181" s="229">
        <v>-0.31580000000000003</v>
      </c>
      <c r="BI181" s="228">
        <v>189</v>
      </c>
      <c r="BJ181" s="230">
        <v>1165</v>
      </c>
      <c r="BK181" s="228">
        <v>-976</v>
      </c>
      <c r="BL181" s="229">
        <v>-0.83760000000000001</v>
      </c>
      <c r="BM181" s="228">
        <v>127</v>
      </c>
      <c r="BN181" s="228">
        <v>278</v>
      </c>
      <c r="BO181" s="228">
        <v>-152</v>
      </c>
      <c r="BP181" s="229">
        <v>-0.54520000000000002</v>
      </c>
      <c r="BQ181" s="228">
        <v>414</v>
      </c>
      <c r="BR181" s="230">
        <v>1681</v>
      </c>
      <c r="BS181" s="230">
        <v>-1267</v>
      </c>
      <c r="BT181" s="229">
        <v>-0.75360000000000005</v>
      </c>
      <c r="BU181" s="230">
        <v>792057</v>
      </c>
      <c r="BV181" s="230">
        <v>3570728</v>
      </c>
      <c r="BW181" s="230">
        <v>-2778671</v>
      </c>
      <c r="BX181" s="229">
        <v>-0.7782</v>
      </c>
      <c r="BY181" s="228">
        <v>630</v>
      </c>
      <c r="BZ181" s="228">
        <v>628</v>
      </c>
      <c r="CA181" s="228">
        <v>2</v>
      </c>
      <c r="CB181" s="229">
        <v>3.0999999999999999E-3</v>
      </c>
      <c r="CC181" s="228">
        <v>618</v>
      </c>
      <c r="CD181" s="228">
        <v>617</v>
      </c>
      <c r="CE181" s="228">
        <v>1</v>
      </c>
      <c r="CF181" s="229">
        <v>1.2999999999999999E-3</v>
      </c>
      <c r="CG181" s="228">
        <v>11</v>
      </c>
      <c r="CH181" s="228">
        <v>10</v>
      </c>
      <c r="CI181" s="228">
        <v>1</v>
      </c>
      <c r="CJ181" s="229">
        <v>6.88E-2</v>
      </c>
      <c r="CK181" s="228">
        <v>2</v>
      </c>
      <c r="CL181" s="228">
        <v>1</v>
      </c>
      <c r="CM181" s="228">
        <v>0</v>
      </c>
      <c r="CN181" s="229">
        <v>0.33329999999999999</v>
      </c>
      <c r="CO181" s="228">
        <v>258</v>
      </c>
      <c r="CP181" s="228">
        <v>254</v>
      </c>
      <c r="CQ181" s="228">
        <v>5</v>
      </c>
      <c r="CR181" s="229">
        <v>1.83E-2</v>
      </c>
      <c r="CS181" s="228">
        <v>179</v>
      </c>
      <c r="CT181" s="228">
        <v>182</v>
      </c>
      <c r="CU181" s="228">
        <v>-3</v>
      </c>
      <c r="CV181" s="229">
        <v>-1.4800000000000001E-2</v>
      </c>
      <c r="CW181" s="230">
        <v>1068</v>
      </c>
      <c r="CX181" s="230">
        <v>1064</v>
      </c>
      <c r="CY181" s="228">
        <v>4</v>
      </c>
      <c r="CZ181" s="229">
        <v>3.5999999999999999E-3</v>
      </c>
      <c r="DA181" s="228">
        <v>39.07</v>
      </c>
      <c r="DB181" s="228">
        <v>39.92</v>
      </c>
      <c r="DC181" s="228">
        <v>-0.85</v>
      </c>
      <c r="DD181" s="228">
        <v>-0.85</v>
      </c>
      <c r="DE181" s="228">
        <v>39.07</v>
      </c>
      <c r="DF181" s="228">
        <v>39.14</v>
      </c>
      <c r="DG181" s="228">
        <v>0</v>
      </c>
      <c r="DH181" s="228">
        <v>-7.0000000000000007E-2</v>
      </c>
      <c r="DI181" s="228">
        <v>38.07</v>
      </c>
      <c r="DJ181" s="228">
        <v>39.880000000000003</v>
      </c>
      <c r="DK181" s="228">
        <v>-1.81</v>
      </c>
      <c r="DL181" s="228">
        <v>-1.81</v>
      </c>
      <c r="DM181" s="228">
        <v>40.56</v>
      </c>
      <c r="DN181" s="228">
        <v>40.090000000000003</v>
      </c>
      <c r="DO181" s="228">
        <v>0.47</v>
      </c>
      <c r="DP181" s="228">
        <v>0.47</v>
      </c>
      <c r="DQ181" s="228">
        <v>0.69</v>
      </c>
      <c r="DR181" s="228">
        <v>0.72</v>
      </c>
      <c r="DS181" s="228">
        <v>-0.03</v>
      </c>
      <c r="DT181" s="229">
        <v>-4.1700000000000001E-2</v>
      </c>
      <c r="DU181" s="228">
        <v>540</v>
      </c>
      <c r="DV181" s="228">
        <v>500</v>
      </c>
      <c r="DW181" s="228">
        <v>0.67</v>
      </c>
      <c r="DX181" s="228">
        <v>0.24</v>
      </c>
      <c r="DY181" s="228">
        <v>0.43</v>
      </c>
      <c r="DZ181" s="229">
        <v>1.7917000000000001</v>
      </c>
      <c r="EA181" s="229">
        <v>1.9800000000000002E-2</v>
      </c>
      <c r="EB181" s="230">
        <v>221725</v>
      </c>
      <c r="EC181" s="229">
        <v>5.7000000000000002E-3</v>
      </c>
      <c r="ED181" s="229">
        <v>1.9800000000000002E-2</v>
      </c>
      <c r="EE181" s="228">
        <v>3.27</v>
      </c>
      <c r="EF181" s="229">
        <v>6.4000000000000003E-3</v>
      </c>
      <c r="EG181" s="230">
        <v>322883</v>
      </c>
      <c r="EH181" s="230">
        <v>1345774</v>
      </c>
      <c r="EI181" s="229">
        <v>-0.7601</v>
      </c>
      <c r="EJ181" s="229">
        <v>0.40770000000000001</v>
      </c>
      <c r="EK181" s="228">
        <v>204.32</v>
      </c>
      <c r="EL181" s="228">
        <v>126</v>
      </c>
      <c r="EM181" s="228">
        <v>98.11</v>
      </c>
      <c r="EN181" s="228">
        <v>20.89</v>
      </c>
      <c r="EO181" s="228">
        <v>428.43</v>
      </c>
      <c r="EP181" s="231">
        <v>1808.38</v>
      </c>
      <c r="EQ181" s="231">
        <v>-1379.95</v>
      </c>
      <c r="ER181" s="229">
        <v>-0.7631</v>
      </c>
      <c r="ES181" s="228">
        <v>275.99</v>
      </c>
      <c r="ET181" s="228">
        <v>176.97</v>
      </c>
      <c r="EU181" s="228">
        <v>630.36</v>
      </c>
      <c r="EV181" s="231">
        <v>67126548</v>
      </c>
      <c r="EW181" s="231">
        <v>1083.31</v>
      </c>
      <c r="EX181" s="231">
        <v>1088.1199999999999</v>
      </c>
      <c r="EY181" s="228">
        <v>-4.8099999999999996</v>
      </c>
      <c r="EZ181" s="229">
        <v>-4.4000000000000003E-3</v>
      </c>
      <c r="FA181" s="229">
        <v>0.31109999999999999</v>
      </c>
      <c r="FB181" s="227" t="s">
        <v>567</v>
      </c>
      <c r="FC181">
        <f t="shared" si="3"/>
        <v>0</v>
      </c>
    </row>
    <row r="182" spans="1:159" ht="17.25" thickBot="1" x14ac:dyDescent="0.3">
      <c r="A182" s="226">
        <v>46093</v>
      </c>
      <c r="B182" s="227" t="s">
        <v>197</v>
      </c>
      <c r="C182" s="227" t="s">
        <v>286</v>
      </c>
      <c r="D182" s="228">
        <v>200</v>
      </c>
      <c r="E182" s="228">
        <v>18</v>
      </c>
      <c r="F182" s="231">
        <v>2626.9</v>
      </c>
      <c r="G182" s="231">
        <v>2489</v>
      </c>
      <c r="H182" s="228">
        <v>137.9</v>
      </c>
      <c r="I182" s="229">
        <v>5.5399999999999998E-2</v>
      </c>
      <c r="J182" s="231">
        <v>2626.3</v>
      </c>
      <c r="K182" s="231">
        <v>2488.6999999999998</v>
      </c>
      <c r="L182" s="228">
        <v>137.6</v>
      </c>
      <c r="M182" s="229">
        <v>5.5300000000000002E-2</v>
      </c>
      <c r="N182" s="231">
        <v>2626.9</v>
      </c>
      <c r="O182" s="231">
        <v>2489</v>
      </c>
      <c r="P182" s="228">
        <v>137.9</v>
      </c>
      <c r="Q182" s="229">
        <v>5.5399999999999998E-2</v>
      </c>
      <c r="R182" s="231">
        <v>2629.8</v>
      </c>
      <c r="S182" s="231">
        <v>2503</v>
      </c>
      <c r="T182" s="228">
        <v>126.8</v>
      </c>
      <c r="U182" s="229">
        <v>5.0700000000000002E-2</v>
      </c>
      <c r="V182" s="231">
        <v>2641.2</v>
      </c>
      <c r="W182" s="231">
        <v>2523.4</v>
      </c>
      <c r="X182" s="228">
        <v>117.8</v>
      </c>
      <c r="Y182" s="229">
        <v>4.6699999999999998E-2</v>
      </c>
      <c r="Z182" s="228">
        <v>0.6</v>
      </c>
      <c r="AA182" s="228">
        <v>0.3</v>
      </c>
      <c r="AB182" s="228">
        <v>0.3</v>
      </c>
      <c r="AC182" s="229">
        <v>2.0000000000000001E-4</v>
      </c>
      <c r="AD182" s="228">
        <v>0.6</v>
      </c>
      <c r="AE182" s="228">
        <v>0.3</v>
      </c>
      <c r="AF182" s="228">
        <v>0.3</v>
      </c>
      <c r="AG182" s="229">
        <v>2.0000000000000001E-4</v>
      </c>
      <c r="AH182" s="228">
        <v>3.5</v>
      </c>
      <c r="AI182" s="228">
        <v>14.3</v>
      </c>
      <c r="AJ182" s="228">
        <v>-10.8</v>
      </c>
      <c r="AK182" s="229">
        <v>1.2999999999999999E-3</v>
      </c>
      <c r="AL182" s="228">
        <v>14.9</v>
      </c>
      <c r="AM182" s="228">
        <v>34.700000000000003</v>
      </c>
      <c r="AN182" s="228">
        <v>-19.8</v>
      </c>
      <c r="AO182" s="229">
        <v>5.7000000000000002E-3</v>
      </c>
      <c r="AP182" s="231">
        <v>2570.02</v>
      </c>
      <c r="AQ182" s="231">
        <v>2580.25</v>
      </c>
      <c r="AR182" s="228">
        <v>0</v>
      </c>
      <c r="AS182" s="228">
        <v>461</v>
      </c>
      <c r="AT182" s="228">
        <v>296</v>
      </c>
      <c r="AU182" s="228">
        <v>165</v>
      </c>
      <c r="AV182" s="229">
        <v>0.55659999999999998</v>
      </c>
      <c r="AW182" s="228">
        <v>434</v>
      </c>
      <c r="AX182" s="228">
        <v>281</v>
      </c>
      <c r="AY182" s="228">
        <v>153</v>
      </c>
      <c r="AZ182" s="229">
        <v>0.54590000000000005</v>
      </c>
      <c r="BA182" s="228">
        <v>24</v>
      </c>
      <c r="BB182" s="228">
        <v>13</v>
      </c>
      <c r="BC182" s="228">
        <v>11</v>
      </c>
      <c r="BD182" s="229">
        <v>0.86360000000000003</v>
      </c>
      <c r="BE182" s="228">
        <v>3</v>
      </c>
      <c r="BF182" s="228">
        <v>3</v>
      </c>
      <c r="BG182" s="228">
        <v>1</v>
      </c>
      <c r="BH182" s="229">
        <v>0.22</v>
      </c>
      <c r="BI182" s="230">
        <v>1921</v>
      </c>
      <c r="BJ182" s="228">
        <v>433</v>
      </c>
      <c r="BK182" s="230">
        <v>1488</v>
      </c>
      <c r="BL182" s="229">
        <v>3.4377</v>
      </c>
      <c r="BM182" s="228">
        <v>906</v>
      </c>
      <c r="BN182" s="228">
        <v>603</v>
      </c>
      <c r="BO182" s="228">
        <v>303</v>
      </c>
      <c r="BP182" s="229">
        <v>0.50219999999999998</v>
      </c>
      <c r="BQ182" s="230">
        <v>3288</v>
      </c>
      <c r="BR182" s="230">
        <v>1332</v>
      </c>
      <c r="BS182" s="230">
        <v>1956</v>
      </c>
      <c r="BT182" s="229">
        <v>1.4682999999999999</v>
      </c>
      <c r="BU182" s="230">
        <v>1335031</v>
      </c>
      <c r="BV182" s="230">
        <v>628712</v>
      </c>
      <c r="BW182" s="230">
        <v>706319</v>
      </c>
      <c r="BX182" s="229">
        <v>1.1234</v>
      </c>
      <c r="BY182" s="228">
        <v>934</v>
      </c>
      <c r="BZ182" s="228">
        <v>976</v>
      </c>
      <c r="CA182" s="228">
        <v>-42</v>
      </c>
      <c r="CB182" s="229">
        <v>-4.2999999999999997E-2</v>
      </c>
      <c r="CC182" s="228">
        <v>907</v>
      </c>
      <c r="CD182" s="228">
        <v>952</v>
      </c>
      <c r="CE182" s="228">
        <v>-44</v>
      </c>
      <c r="CF182" s="229">
        <v>-4.6699999999999998E-2</v>
      </c>
      <c r="CG182" s="228">
        <v>23</v>
      </c>
      <c r="CH182" s="228">
        <v>20</v>
      </c>
      <c r="CI182" s="228">
        <v>3</v>
      </c>
      <c r="CJ182" s="229">
        <v>0.1351</v>
      </c>
      <c r="CK182" s="228">
        <v>4</v>
      </c>
      <c r="CL182" s="228">
        <v>4</v>
      </c>
      <c r="CM182" s="228">
        <v>0</v>
      </c>
      <c r="CN182" s="229">
        <v>-5.5599999999999997E-2</v>
      </c>
      <c r="CO182" s="228">
        <v>430</v>
      </c>
      <c r="CP182" s="228">
        <v>413</v>
      </c>
      <c r="CQ182" s="228">
        <v>18</v>
      </c>
      <c r="CR182" s="229">
        <v>4.3200000000000002E-2</v>
      </c>
      <c r="CS182" s="228">
        <v>359</v>
      </c>
      <c r="CT182" s="228">
        <v>348</v>
      </c>
      <c r="CU182" s="228">
        <v>11</v>
      </c>
      <c r="CV182" s="229">
        <v>3.1699999999999999E-2</v>
      </c>
      <c r="CW182" s="230">
        <v>1723</v>
      </c>
      <c r="CX182" s="230">
        <v>1736</v>
      </c>
      <c r="CY182" s="228">
        <v>-13</v>
      </c>
      <c r="CZ182" s="229">
        <v>-7.4999999999999997E-3</v>
      </c>
      <c r="DA182" s="228">
        <v>35.61</v>
      </c>
      <c r="DB182" s="228">
        <v>35.159999999999997</v>
      </c>
      <c r="DC182" s="228">
        <v>0.45</v>
      </c>
      <c r="DD182" s="228">
        <v>0.45</v>
      </c>
      <c r="DE182" s="228">
        <v>34.01</v>
      </c>
      <c r="DF182" s="228">
        <v>33.31</v>
      </c>
      <c r="DG182" s="228">
        <v>1.6</v>
      </c>
      <c r="DH182" s="228">
        <v>0.7</v>
      </c>
      <c r="DI182" s="228">
        <v>34.270000000000003</v>
      </c>
      <c r="DJ182" s="228">
        <v>34.590000000000003</v>
      </c>
      <c r="DK182" s="228">
        <v>-0.32</v>
      </c>
      <c r="DL182" s="228">
        <v>-0.32</v>
      </c>
      <c r="DM182" s="228">
        <v>38.450000000000003</v>
      </c>
      <c r="DN182" s="228">
        <v>35.56</v>
      </c>
      <c r="DO182" s="228">
        <v>2.89</v>
      </c>
      <c r="DP182" s="228">
        <v>2.89</v>
      </c>
      <c r="DQ182" s="228">
        <v>0.83</v>
      </c>
      <c r="DR182" s="228">
        <v>0.84</v>
      </c>
      <c r="DS182" s="228">
        <v>-0.01</v>
      </c>
      <c r="DT182" s="229">
        <v>-1.1900000000000001E-2</v>
      </c>
      <c r="DU182" s="231">
        <v>2600</v>
      </c>
      <c r="DV182" s="231">
        <v>2500</v>
      </c>
      <c r="DW182" s="228">
        <v>0.47</v>
      </c>
      <c r="DX182" s="228">
        <v>1.39</v>
      </c>
      <c r="DY182" s="228">
        <v>-0.92</v>
      </c>
      <c r="DZ182" s="229">
        <v>-0.66190000000000004</v>
      </c>
      <c r="EA182" s="229">
        <v>2.8400000000000002E-2</v>
      </c>
      <c r="EB182" s="230">
        <v>91400</v>
      </c>
      <c r="EC182" s="229">
        <v>1.1000000000000001E-3</v>
      </c>
      <c r="ED182" s="229">
        <v>2.8400000000000002E-2</v>
      </c>
      <c r="EE182" s="228">
        <v>10.23</v>
      </c>
      <c r="EF182" s="229">
        <v>4.0000000000000001E-3</v>
      </c>
      <c r="EG182" s="230">
        <v>602021</v>
      </c>
      <c r="EH182" s="230">
        <v>387331</v>
      </c>
      <c r="EI182" s="229">
        <v>0.55430000000000001</v>
      </c>
      <c r="EJ182" s="229">
        <v>0.45090000000000002</v>
      </c>
      <c r="EK182" s="231">
        <v>1986.27</v>
      </c>
      <c r="EL182" s="228">
        <v>877.75</v>
      </c>
      <c r="EM182" s="228">
        <v>450.76</v>
      </c>
      <c r="EN182" s="228">
        <v>36</v>
      </c>
      <c r="EO182" s="231">
        <v>3314.78</v>
      </c>
      <c r="EP182" s="231">
        <v>1314.02</v>
      </c>
      <c r="EQ182" s="231">
        <v>2000.76</v>
      </c>
      <c r="ER182" s="229">
        <v>1.5226</v>
      </c>
      <c r="ES182" s="228">
        <v>448.09</v>
      </c>
      <c r="ET182" s="228">
        <v>346.89</v>
      </c>
      <c r="EU182" s="228">
        <v>933.8</v>
      </c>
      <c r="EV182" s="231">
        <v>18529108</v>
      </c>
      <c r="EW182" s="231">
        <v>1728.78</v>
      </c>
      <c r="EX182" s="231">
        <v>1691.2</v>
      </c>
      <c r="EY182" s="228">
        <v>37.58</v>
      </c>
      <c r="EZ182" s="229">
        <v>2.2200000000000001E-2</v>
      </c>
      <c r="FA182" s="229">
        <v>0.35389999999999999</v>
      </c>
      <c r="FB182" s="227" t="s">
        <v>556</v>
      </c>
      <c r="FC182">
        <f t="shared" si="3"/>
        <v>0</v>
      </c>
    </row>
    <row r="183" spans="1:159" ht="17.25" thickBot="1" x14ac:dyDescent="0.3">
      <c r="A183" s="226">
        <v>46093</v>
      </c>
      <c r="B183" s="227" t="s">
        <v>170</v>
      </c>
      <c r="C183" s="227" t="s">
        <v>288</v>
      </c>
      <c r="D183" s="228">
        <v>350</v>
      </c>
      <c r="E183" s="228">
        <v>18</v>
      </c>
      <c r="F183" s="231">
        <v>1827.7</v>
      </c>
      <c r="G183" s="231">
        <v>1827.6</v>
      </c>
      <c r="H183" s="228">
        <v>0.1</v>
      </c>
      <c r="I183" s="229">
        <v>1E-4</v>
      </c>
      <c r="J183" s="231">
        <v>1825.3</v>
      </c>
      <c r="K183" s="231">
        <v>1825.9</v>
      </c>
      <c r="L183" s="228">
        <v>-0.6</v>
      </c>
      <c r="M183" s="229">
        <v>-2.9999999999999997E-4</v>
      </c>
      <c r="N183" s="231">
        <v>1827.7</v>
      </c>
      <c r="O183" s="231">
        <v>1827.6</v>
      </c>
      <c r="P183" s="228">
        <v>0.1</v>
      </c>
      <c r="Q183" s="229">
        <v>1E-4</v>
      </c>
      <c r="R183" s="231">
        <v>1839.9</v>
      </c>
      <c r="S183" s="231">
        <v>1839.4</v>
      </c>
      <c r="T183" s="228">
        <v>0.5</v>
      </c>
      <c r="U183" s="229">
        <v>2.9999999999999997E-4</v>
      </c>
      <c r="V183" s="231">
        <v>1844</v>
      </c>
      <c r="W183" s="231">
        <v>1848.5</v>
      </c>
      <c r="X183" s="228">
        <v>-4.5</v>
      </c>
      <c r="Y183" s="229">
        <v>-2.3999999999999998E-3</v>
      </c>
      <c r="Z183" s="228">
        <v>2.4</v>
      </c>
      <c r="AA183" s="228">
        <v>1.7</v>
      </c>
      <c r="AB183" s="228">
        <v>0.7</v>
      </c>
      <c r="AC183" s="229">
        <v>1.2999999999999999E-3</v>
      </c>
      <c r="AD183" s="228">
        <v>2.4</v>
      </c>
      <c r="AE183" s="228">
        <v>1.7</v>
      </c>
      <c r="AF183" s="228">
        <v>0.7</v>
      </c>
      <c r="AG183" s="229">
        <v>1.2999999999999999E-3</v>
      </c>
      <c r="AH183" s="228">
        <v>14.6</v>
      </c>
      <c r="AI183" s="228">
        <v>13.5</v>
      </c>
      <c r="AJ183" s="228">
        <v>1.1000000000000001</v>
      </c>
      <c r="AK183" s="229">
        <v>8.0000000000000002E-3</v>
      </c>
      <c r="AL183" s="228">
        <v>18.7</v>
      </c>
      <c r="AM183" s="228">
        <v>22.6</v>
      </c>
      <c r="AN183" s="228">
        <v>-3.9</v>
      </c>
      <c r="AO183" s="229">
        <v>1.0200000000000001E-2</v>
      </c>
      <c r="AP183" s="231">
        <v>1826.66</v>
      </c>
      <c r="AQ183" s="231">
        <v>1834.66</v>
      </c>
      <c r="AR183" s="228">
        <v>0</v>
      </c>
      <c r="AS183" s="228">
        <v>470</v>
      </c>
      <c r="AT183" s="228">
        <v>532</v>
      </c>
      <c r="AU183" s="228">
        <v>-62</v>
      </c>
      <c r="AV183" s="229">
        <v>-0.1159</v>
      </c>
      <c r="AW183" s="228">
        <v>457</v>
      </c>
      <c r="AX183" s="228">
        <v>512</v>
      </c>
      <c r="AY183" s="228">
        <v>-55</v>
      </c>
      <c r="AZ183" s="229">
        <v>-0.1071</v>
      </c>
      <c r="BA183" s="228">
        <v>13</v>
      </c>
      <c r="BB183" s="228">
        <v>19</v>
      </c>
      <c r="BC183" s="228">
        <v>-6</v>
      </c>
      <c r="BD183" s="229">
        <v>-0.32650000000000001</v>
      </c>
      <c r="BE183" s="228">
        <v>1</v>
      </c>
      <c r="BF183" s="228">
        <v>2</v>
      </c>
      <c r="BG183" s="228">
        <v>-1</v>
      </c>
      <c r="BH183" s="229">
        <v>-0.46150000000000002</v>
      </c>
      <c r="BI183" s="230">
        <v>1906</v>
      </c>
      <c r="BJ183" s="230">
        <v>2950</v>
      </c>
      <c r="BK183" s="230">
        <v>-1044</v>
      </c>
      <c r="BL183" s="229">
        <v>-0.35389999999999999</v>
      </c>
      <c r="BM183" s="230">
        <v>1259</v>
      </c>
      <c r="BN183" s="230">
        <v>1415</v>
      </c>
      <c r="BO183" s="228">
        <v>-156</v>
      </c>
      <c r="BP183" s="229">
        <v>-0.1103</v>
      </c>
      <c r="BQ183" s="230">
        <v>3635</v>
      </c>
      <c r="BR183" s="230">
        <v>4896</v>
      </c>
      <c r="BS183" s="230">
        <v>-1261</v>
      </c>
      <c r="BT183" s="229">
        <v>-0.2576</v>
      </c>
      <c r="BU183" s="230">
        <v>2644443</v>
      </c>
      <c r="BV183" s="230">
        <v>2566743</v>
      </c>
      <c r="BW183" s="230">
        <v>77700</v>
      </c>
      <c r="BX183" s="229">
        <v>3.0300000000000001E-2</v>
      </c>
      <c r="BY183" s="230">
        <v>4110</v>
      </c>
      <c r="BZ183" s="230">
        <v>4138</v>
      </c>
      <c r="CA183" s="228">
        <v>-28</v>
      </c>
      <c r="CB183" s="229">
        <v>-6.7000000000000002E-3</v>
      </c>
      <c r="CC183" s="230">
        <v>4063</v>
      </c>
      <c r="CD183" s="230">
        <v>4094</v>
      </c>
      <c r="CE183" s="228">
        <v>-31</v>
      </c>
      <c r="CF183" s="229">
        <v>-7.4999999999999997E-3</v>
      </c>
      <c r="CG183" s="228">
        <v>41</v>
      </c>
      <c r="CH183" s="228">
        <v>38</v>
      </c>
      <c r="CI183" s="228">
        <v>3</v>
      </c>
      <c r="CJ183" s="229">
        <v>8.3199999999999996E-2</v>
      </c>
      <c r="CK183" s="228">
        <v>6</v>
      </c>
      <c r="CL183" s="228">
        <v>6</v>
      </c>
      <c r="CM183" s="228">
        <v>0</v>
      </c>
      <c r="CN183" s="229">
        <v>2.0199999999999999E-2</v>
      </c>
      <c r="CO183" s="230">
        <v>2528</v>
      </c>
      <c r="CP183" s="230">
        <v>2214</v>
      </c>
      <c r="CQ183" s="228">
        <v>314</v>
      </c>
      <c r="CR183" s="229">
        <v>0.14180000000000001</v>
      </c>
      <c r="CS183" s="230">
        <v>1358</v>
      </c>
      <c r="CT183" s="230">
        <v>1255</v>
      </c>
      <c r="CU183" s="228">
        <v>103</v>
      </c>
      <c r="CV183" s="229">
        <v>8.2199999999999995E-2</v>
      </c>
      <c r="CW183" s="230">
        <v>7997</v>
      </c>
      <c r="CX183" s="230">
        <v>7608</v>
      </c>
      <c r="CY183" s="228">
        <v>390</v>
      </c>
      <c r="CZ183" s="229">
        <v>5.1200000000000002E-2</v>
      </c>
      <c r="DA183" s="228">
        <v>18.190000000000001</v>
      </c>
      <c r="DB183" s="228">
        <v>18.55</v>
      </c>
      <c r="DC183" s="228">
        <v>-0.36</v>
      </c>
      <c r="DD183" s="228">
        <v>-0.36</v>
      </c>
      <c r="DE183" s="228">
        <v>22.95</v>
      </c>
      <c r="DF183" s="228">
        <v>23.01</v>
      </c>
      <c r="DG183" s="228">
        <v>-4.76</v>
      </c>
      <c r="DH183" s="228">
        <v>-0.06</v>
      </c>
      <c r="DI183" s="228">
        <v>16.78</v>
      </c>
      <c r="DJ183" s="228">
        <v>17.760000000000002</v>
      </c>
      <c r="DK183" s="228">
        <v>-0.98</v>
      </c>
      <c r="DL183" s="228">
        <v>-0.98</v>
      </c>
      <c r="DM183" s="228">
        <v>20.329999999999998</v>
      </c>
      <c r="DN183" s="228">
        <v>20.190000000000001</v>
      </c>
      <c r="DO183" s="228">
        <v>0.14000000000000001</v>
      </c>
      <c r="DP183" s="228">
        <v>0.14000000000000001</v>
      </c>
      <c r="DQ183" s="228">
        <v>0.54</v>
      </c>
      <c r="DR183" s="228">
        <v>0.56999999999999995</v>
      </c>
      <c r="DS183" s="228">
        <v>-0.03</v>
      </c>
      <c r="DT183" s="229">
        <v>-5.2600000000000001E-2</v>
      </c>
      <c r="DU183" s="231">
        <v>1850</v>
      </c>
      <c r="DV183" s="231">
        <v>1800</v>
      </c>
      <c r="DW183" s="228">
        <v>0.66</v>
      </c>
      <c r="DX183" s="228">
        <v>0.48</v>
      </c>
      <c r="DY183" s="228">
        <v>0.18</v>
      </c>
      <c r="DZ183" s="229">
        <v>0.375</v>
      </c>
      <c r="EA183" s="229">
        <v>1.15E-2</v>
      </c>
      <c r="EB183" s="230">
        <v>240800</v>
      </c>
      <c r="EC183" s="229">
        <v>6.7000000000000002E-3</v>
      </c>
      <c r="ED183" s="229">
        <v>1.15E-2</v>
      </c>
      <c r="EE183" s="228">
        <v>8</v>
      </c>
      <c r="EF183" s="229">
        <v>4.4000000000000003E-3</v>
      </c>
      <c r="EG183" s="230">
        <v>1756038</v>
      </c>
      <c r="EH183" s="230">
        <v>1742782</v>
      </c>
      <c r="EI183" s="229">
        <v>7.6E-3</v>
      </c>
      <c r="EJ183" s="229">
        <v>0.66400000000000003</v>
      </c>
      <c r="EK183" s="231">
        <v>1949.71</v>
      </c>
      <c r="EL183" s="231">
        <v>1236.45</v>
      </c>
      <c r="EM183" s="228">
        <v>470.16</v>
      </c>
      <c r="EN183" s="228">
        <v>87.49</v>
      </c>
      <c r="EO183" s="231">
        <v>3656.33</v>
      </c>
      <c r="EP183" s="231">
        <v>4963.4399999999996</v>
      </c>
      <c r="EQ183" s="231">
        <v>-1307.1099999999999</v>
      </c>
      <c r="ER183" s="229">
        <v>-0.26329999999999998</v>
      </c>
      <c r="ES183" s="231">
        <v>2528.0100000000002</v>
      </c>
      <c r="ET183" s="231">
        <v>1296.4000000000001</v>
      </c>
      <c r="EU183" s="231">
        <v>4110.75</v>
      </c>
      <c r="EV183" s="231">
        <v>109220043</v>
      </c>
      <c r="EW183" s="231">
        <v>7935.17</v>
      </c>
      <c r="EX183" s="231">
        <v>7542.95</v>
      </c>
      <c r="EY183" s="228">
        <v>392.22</v>
      </c>
      <c r="EZ183" s="229">
        <v>5.1999999999999998E-2</v>
      </c>
      <c r="FA183" s="229">
        <v>0.40060000000000001</v>
      </c>
      <c r="FB183" s="227" t="s">
        <v>556</v>
      </c>
      <c r="FC183">
        <f t="shared" si="3"/>
        <v>0</v>
      </c>
    </row>
    <row r="184" spans="1:159" ht="17.25" thickBot="1" x14ac:dyDescent="0.3">
      <c r="A184" s="226">
        <v>46093</v>
      </c>
      <c r="B184" s="227" t="s">
        <v>184</v>
      </c>
      <c r="C184" s="227" t="s">
        <v>574</v>
      </c>
      <c r="D184" s="228">
        <v>175</v>
      </c>
      <c r="E184" s="228">
        <v>18</v>
      </c>
      <c r="F184" s="231">
        <v>4029.8</v>
      </c>
      <c r="G184" s="231">
        <v>4037.3</v>
      </c>
      <c r="H184" s="228">
        <v>-7.5</v>
      </c>
      <c r="I184" s="229">
        <v>-1.9E-3</v>
      </c>
      <c r="J184" s="231">
        <v>4043.7</v>
      </c>
      <c r="K184" s="231">
        <v>4038</v>
      </c>
      <c r="L184" s="228">
        <v>5.7</v>
      </c>
      <c r="M184" s="229">
        <v>1.4E-3</v>
      </c>
      <c r="N184" s="231">
        <v>4029.8</v>
      </c>
      <c r="O184" s="231">
        <v>4037.3</v>
      </c>
      <c r="P184" s="228">
        <v>-7.5</v>
      </c>
      <c r="Q184" s="229">
        <v>-1.9E-3</v>
      </c>
      <c r="R184" s="231">
        <v>4027.8</v>
      </c>
      <c r="S184" s="231">
        <v>4031.5</v>
      </c>
      <c r="T184" s="228">
        <v>-3.7</v>
      </c>
      <c r="U184" s="229">
        <v>-8.9999999999999998E-4</v>
      </c>
      <c r="V184" s="231">
        <v>4009.5</v>
      </c>
      <c r="W184" s="231">
        <v>4049.9</v>
      </c>
      <c r="X184" s="228">
        <v>-40.4</v>
      </c>
      <c r="Y184" s="229">
        <v>-0.01</v>
      </c>
      <c r="Z184" s="228">
        <v>-13.9</v>
      </c>
      <c r="AA184" s="228">
        <v>-0.7</v>
      </c>
      <c r="AB184" s="228">
        <v>-13.2</v>
      </c>
      <c r="AC184" s="229">
        <v>-3.3999999999999998E-3</v>
      </c>
      <c r="AD184" s="228">
        <v>-13.9</v>
      </c>
      <c r="AE184" s="228">
        <v>-0.7</v>
      </c>
      <c r="AF184" s="228">
        <v>-13.2</v>
      </c>
      <c r="AG184" s="229">
        <v>-3.3999999999999998E-3</v>
      </c>
      <c r="AH184" s="228">
        <v>-15.9</v>
      </c>
      <c r="AI184" s="228">
        <v>-6.5</v>
      </c>
      <c r="AJ184" s="228">
        <v>-9.4</v>
      </c>
      <c r="AK184" s="229">
        <v>-3.8999999999999998E-3</v>
      </c>
      <c r="AL184" s="228">
        <v>-34.200000000000003</v>
      </c>
      <c r="AM184" s="228">
        <v>11.9</v>
      </c>
      <c r="AN184" s="228">
        <v>-46.1</v>
      </c>
      <c r="AO184" s="229">
        <v>-8.5000000000000006E-3</v>
      </c>
      <c r="AP184" s="231">
        <v>4006.59</v>
      </c>
      <c r="AQ184" s="231">
        <v>4007.87</v>
      </c>
      <c r="AR184" s="228">
        <v>0</v>
      </c>
      <c r="AS184" s="228">
        <v>256</v>
      </c>
      <c r="AT184" s="228">
        <v>297</v>
      </c>
      <c r="AU184" s="228">
        <v>-41</v>
      </c>
      <c r="AV184" s="229">
        <v>-0.13769999999999999</v>
      </c>
      <c r="AW184" s="228">
        <v>237</v>
      </c>
      <c r="AX184" s="228">
        <v>286</v>
      </c>
      <c r="AY184" s="228">
        <v>-48</v>
      </c>
      <c r="AZ184" s="229">
        <v>-0.16950000000000001</v>
      </c>
      <c r="BA184" s="228">
        <v>18</v>
      </c>
      <c r="BB184" s="228">
        <v>11</v>
      </c>
      <c r="BC184" s="228">
        <v>8</v>
      </c>
      <c r="BD184" s="229">
        <v>0.745</v>
      </c>
      <c r="BE184" s="228">
        <v>0</v>
      </c>
      <c r="BF184" s="228">
        <v>0</v>
      </c>
      <c r="BG184" s="228">
        <v>0</v>
      </c>
      <c r="BH184" s="229">
        <v>-0.75</v>
      </c>
      <c r="BI184" s="228">
        <v>457</v>
      </c>
      <c r="BJ184" s="230">
        <v>1300</v>
      </c>
      <c r="BK184" s="228">
        <v>-843</v>
      </c>
      <c r="BL184" s="229">
        <v>-0.64829999999999999</v>
      </c>
      <c r="BM184" s="228">
        <v>184</v>
      </c>
      <c r="BN184" s="228">
        <v>269</v>
      </c>
      <c r="BO184" s="228">
        <v>-85</v>
      </c>
      <c r="BP184" s="229">
        <v>-0.31609999999999999</v>
      </c>
      <c r="BQ184" s="228">
        <v>897</v>
      </c>
      <c r="BR184" s="230">
        <v>1865</v>
      </c>
      <c r="BS184" s="228">
        <v>-969</v>
      </c>
      <c r="BT184" s="229">
        <v>-0.51929999999999998</v>
      </c>
      <c r="BU184" s="230">
        <v>415209</v>
      </c>
      <c r="BV184" s="230">
        <v>848874</v>
      </c>
      <c r="BW184" s="230">
        <v>-433665</v>
      </c>
      <c r="BX184" s="229">
        <v>-0.51090000000000002</v>
      </c>
      <c r="BY184" s="228">
        <v>781</v>
      </c>
      <c r="BZ184" s="228">
        <v>702</v>
      </c>
      <c r="CA184" s="228">
        <v>79</v>
      </c>
      <c r="CB184" s="229">
        <v>0.1129</v>
      </c>
      <c r="CC184" s="228">
        <v>757</v>
      </c>
      <c r="CD184" s="228">
        <v>687</v>
      </c>
      <c r="CE184" s="228">
        <v>70</v>
      </c>
      <c r="CF184" s="229">
        <v>0.10199999999999999</v>
      </c>
      <c r="CG184" s="228">
        <v>23</v>
      </c>
      <c r="CH184" s="228">
        <v>14</v>
      </c>
      <c r="CI184" s="228">
        <v>9</v>
      </c>
      <c r="CJ184" s="229">
        <v>0.65329999999999999</v>
      </c>
      <c r="CK184" s="228">
        <v>1</v>
      </c>
      <c r="CL184" s="228">
        <v>1</v>
      </c>
      <c r="CM184" s="228">
        <v>0</v>
      </c>
      <c r="CN184" s="229">
        <v>0</v>
      </c>
      <c r="CO184" s="228">
        <v>216</v>
      </c>
      <c r="CP184" s="228">
        <v>233</v>
      </c>
      <c r="CQ184" s="228">
        <v>-17</v>
      </c>
      <c r="CR184" s="229">
        <v>-7.2099999999999997E-2</v>
      </c>
      <c r="CS184" s="228">
        <v>132</v>
      </c>
      <c r="CT184" s="228">
        <v>143</v>
      </c>
      <c r="CU184" s="228">
        <v>-11</v>
      </c>
      <c r="CV184" s="229">
        <v>-7.7499999999999999E-2</v>
      </c>
      <c r="CW184" s="230">
        <v>1128</v>
      </c>
      <c r="CX184" s="230">
        <v>1077</v>
      </c>
      <c r="CY184" s="228">
        <v>51</v>
      </c>
      <c r="CZ184" s="229">
        <v>4.7699999999999999E-2</v>
      </c>
      <c r="DA184" s="228">
        <v>34.99</v>
      </c>
      <c r="DB184" s="228">
        <v>33.590000000000003</v>
      </c>
      <c r="DC184" s="228">
        <v>1.4</v>
      </c>
      <c r="DD184" s="228">
        <v>1.4</v>
      </c>
      <c r="DE184" s="228">
        <v>38.119999999999997</v>
      </c>
      <c r="DF184" s="228">
        <v>38.21</v>
      </c>
      <c r="DG184" s="228">
        <v>-3.13</v>
      </c>
      <c r="DH184" s="228">
        <v>-0.09</v>
      </c>
      <c r="DI184" s="228">
        <v>33.380000000000003</v>
      </c>
      <c r="DJ184" s="228">
        <v>33.06</v>
      </c>
      <c r="DK184" s="228">
        <v>0.32</v>
      </c>
      <c r="DL184" s="228">
        <v>0.32</v>
      </c>
      <c r="DM184" s="228">
        <v>39</v>
      </c>
      <c r="DN184" s="228">
        <v>36.18</v>
      </c>
      <c r="DO184" s="228">
        <v>2.82</v>
      </c>
      <c r="DP184" s="228">
        <v>2.82</v>
      </c>
      <c r="DQ184" s="228">
        <v>0.61</v>
      </c>
      <c r="DR184" s="228">
        <v>0.61</v>
      </c>
      <c r="DS184" s="228">
        <v>0</v>
      </c>
      <c r="DT184" s="229">
        <v>0</v>
      </c>
      <c r="DU184" s="231">
        <v>4300</v>
      </c>
      <c r="DV184" s="231">
        <v>3700</v>
      </c>
      <c r="DW184" s="228">
        <v>0.4</v>
      </c>
      <c r="DX184" s="228">
        <v>0.21</v>
      </c>
      <c r="DY184" s="228">
        <v>0.19</v>
      </c>
      <c r="DZ184" s="229">
        <v>0.90480000000000005</v>
      </c>
      <c r="EA184" s="229">
        <v>3.0499999999999999E-2</v>
      </c>
      <c r="EB184" s="230">
        <v>36400</v>
      </c>
      <c r="EC184" s="229">
        <v>-5.0000000000000001E-4</v>
      </c>
      <c r="ED184" s="229">
        <v>3.0499999999999999E-2</v>
      </c>
      <c r="EE184" s="228">
        <v>1.28</v>
      </c>
      <c r="EF184" s="229">
        <v>2.9999999999999997E-4</v>
      </c>
      <c r="EG184" s="230">
        <v>237431</v>
      </c>
      <c r="EH184" s="230">
        <v>490032</v>
      </c>
      <c r="EI184" s="229">
        <v>-0.51549999999999996</v>
      </c>
      <c r="EJ184" s="229">
        <v>0.57179999999999997</v>
      </c>
      <c r="EK184" s="228">
        <v>482.61</v>
      </c>
      <c r="EL184" s="228">
        <v>170.65</v>
      </c>
      <c r="EM184" s="228">
        <v>254.31</v>
      </c>
      <c r="EN184" s="228">
        <v>27.87</v>
      </c>
      <c r="EO184" s="228">
        <v>907.58</v>
      </c>
      <c r="EP184" s="231">
        <v>1920.14</v>
      </c>
      <c r="EQ184" s="231">
        <v>-1012.56</v>
      </c>
      <c r="ER184" s="229">
        <v>-0.52729999999999999</v>
      </c>
      <c r="ES184" s="228">
        <v>224.88</v>
      </c>
      <c r="ET184" s="228">
        <v>122.73</v>
      </c>
      <c r="EU184" s="228">
        <v>780.73</v>
      </c>
      <c r="EV184" s="231">
        <v>9736357</v>
      </c>
      <c r="EW184" s="231">
        <v>1128.3399999999999</v>
      </c>
      <c r="EX184" s="231">
        <v>1077.3</v>
      </c>
      <c r="EY184" s="228">
        <v>51.04</v>
      </c>
      <c r="EZ184" s="229">
        <v>4.7399999999999998E-2</v>
      </c>
      <c r="FA184" s="229">
        <v>0.28760000000000002</v>
      </c>
      <c r="FB184" s="227" t="s">
        <v>567</v>
      </c>
      <c r="FC184">
        <f t="shared" si="3"/>
        <v>0</v>
      </c>
    </row>
    <row r="185" spans="1:159" ht="17.25" thickBot="1" x14ac:dyDescent="0.3">
      <c r="A185" s="226">
        <v>46093</v>
      </c>
      <c r="B185" s="227" t="s">
        <v>161</v>
      </c>
      <c r="C185" s="227" t="s">
        <v>683</v>
      </c>
      <c r="D185" s="228">
        <v>9025</v>
      </c>
      <c r="E185" s="228">
        <v>18</v>
      </c>
      <c r="F185" s="228">
        <v>42.5</v>
      </c>
      <c r="G185" s="228">
        <v>41.67</v>
      </c>
      <c r="H185" s="228">
        <v>0.83</v>
      </c>
      <c r="I185" s="229">
        <v>1.9900000000000001E-2</v>
      </c>
      <c r="J185" s="228">
        <v>42.43</v>
      </c>
      <c r="K185" s="228">
        <v>41.62</v>
      </c>
      <c r="L185" s="228">
        <v>0.81</v>
      </c>
      <c r="M185" s="229">
        <v>1.95E-2</v>
      </c>
      <c r="N185" s="228">
        <v>42.5</v>
      </c>
      <c r="O185" s="228">
        <v>41.67</v>
      </c>
      <c r="P185" s="228">
        <v>0.83</v>
      </c>
      <c r="Q185" s="229">
        <v>1.9900000000000001E-2</v>
      </c>
      <c r="R185" s="228">
        <v>42.78</v>
      </c>
      <c r="S185" s="228">
        <v>41.94</v>
      </c>
      <c r="T185" s="228">
        <v>0.84</v>
      </c>
      <c r="U185" s="229">
        <v>0.02</v>
      </c>
      <c r="V185" s="228">
        <v>42.99</v>
      </c>
      <c r="W185" s="228">
        <v>42.11</v>
      </c>
      <c r="X185" s="228">
        <v>0.88</v>
      </c>
      <c r="Y185" s="229">
        <v>2.0899999999999998E-2</v>
      </c>
      <c r="Z185" s="228">
        <v>7.0000000000000007E-2</v>
      </c>
      <c r="AA185" s="228">
        <v>0.05</v>
      </c>
      <c r="AB185" s="228">
        <v>0.02</v>
      </c>
      <c r="AC185" s="229">
        <v>1.6000000000000001E-3</v>
      </c>
      <c r="AD185" s="228">
        <v>7.0000000000000007E-2</v>
      </c>
      <c r="AE185" s="228">
        <v>0.05</v>
      </c>
      <c r="AF185" s="228">
        <v>0.02</v>
      </c>
      <c r="AG185" s="229">
        <v>1.6000000000000001E-3</v>
      </c>
      <c r="AH185" s="228">
        <v>0.35</v>
      </c>
      <c r="AI185" s="228">
        <v>0.32</v>
      </c>
      <c r="AJ185" s="228">
        <v>0.03</v>
      </c>
      <c r="AK185" s="229">
        <v>8.2000000000000007E-3</v>
      </c>
      <c r="AL185" s="228">
        <v>0.56000000000000005</v>
      </c>
      <c r="AM185" s="228">
        <v>0.49</v>
      </c>
      <c r="AN185" s="228">
        <v>7.0000000000000007E-2</v>
      </c>
      <c r="AO185" s="229">
        <v>1.32E-2</v>
      </c>
      <c r="AP185" s="228">
        <v>42.62</v>
      </c>
      <c r="AQ185" s="228">
        <v>42.96</v>
      </c>
      <c r="AR185" s="228">
        <v>0</v>
      </c>
      <c r="AS185" s="228">
        <v>305</v>
      </c>
      <c r="AT185" s="228">
        <v>262</v>
      </c>
      <c r="AU185" s="228">
        <v>43</v>
      </c>
      <c r="AV185" s="229">
        <v>0.16209999999999999</v>
      </c>
      <c r="AW185" s="228">
        <v>263</v>
      </c>
      <c r="AX185" s="228">
        <v>208</v>
      </c>
      <c r="AY185" s="228">
        <v>55</v>
      </c>
      <c r="AZ185" s="229">
        <v>0.26590000000000003</v>
      </c>
      <c r="BA185" s="228">
        <v>36</v>
      </c>
      <c r="BB185" s="228">
        <v>52</v>
      </c>
      <c r="BC185" s="228">
        <v>-16</v>
      </c>
      <c r="BD185" s="229">
        <v>-0.3039</v>
      </c>
      <c r="BE185" s="228">
        <v>6</v>
      </c>
      <c r="BF185" s="228">
        <v>3</v>
      </c>
      <c r="BG185" s="228">
        <v>3</v>
      </c>
      <c r="BH185" s="229">
        <v>0.98729999999999996</v>
      </c>
      <c r="BI185" s="230">
        <v>1319</v>
      </c>
      <c r="BJ185" s="228">
        <v>916</v>
      </c>
      <c r="BK185" s="228">
        <v>403</v>
      </c>
      <c r="BL185" s="229">
        <v>0.43940000000000001</v>
      </c>
      <c r="BM185" s="228">
        <v>309</v>
      </c>
      <c r="BN185" s="228">
        <v>182</v>
      </c>
      <c r="BO185" s="228">
        <v>127</v>
      </c>
      <c r="BP185" s="229">
        <v>0.7</v>
      </c>
      <c r="BQ185" s="230">
        <v>1933</v>
      </c>
      <c r="BR185" s="230">
        <v>1360</v>
      </c>
      <c r="BS185" s="228">
        <v>572</v>
      </c>
      <c r="BT185" s="229">
        <v>0.42070000000000002</v>
      </c>
      <c r="BU185" s="230">
        <v>113866062</v>
      </c>
      <c r="BV185" s="230">
        <v>70020248</v>
      </c>
      <c r="BW185" s="230">
        <v>43845814</v>
      </c>
      <c r="BX185" s="229">
        <v>0.62619999999999998</v>
      </c>
      <c r="BY185" s="230">
        <v>1338</v>
      </c>
      <c r="BZ185" s="230">
        <v>1366</v>
      </c>
      <c r="CA185" s="228">
        <v>-27</v>
      </c>
      <c r="CB185" s="229">
        <v>-2.01E-2</v>
      </c>
      <c r="CC185" s="230">
        <v>1209</v>
      </c>
      <c r="CD185" s="230">
        <v>1243</v>
      </c>
      <c r="CE185" s="228">
        <v>-33</v>
      </c>
      <c r="CF185" s="229">
        <v>-2.6800000000000001E-2</v>
      </c>
      <c r="CG185" s="228">
        <v>115</v>
      </c>
      <c r="CH185" s="228">
        <v>109</v>
      </c>
      <c r="CI185" s="228">
        <v>6</v>
      </c>
      <c r="CJ185" s="229">
        <v>5.2400000000000002E-2</v>
      </c>
      <c r="CK185" s="228">
        <v>14</v>
      </c>
      <c r="CL185" s="228">
        <v>14</v>
      </c>
      <c r="CM185" s="228">
        <v>0</v>
      </c>
      <c r="CN185" s="229">
        <v>5.4000000000000003E-3</v>
      </c>
      <c r="CO185" s="228">
        <v>875</v>
      </c>
      <c r="CP185" s="228">
        <v>911</v>
      </c>
      <c r="CQ185" s="228">
        <v>-36</v>
      </c>
      <c r="CR185" s="229">
        <v>-3.9800000000000002E-2</v>
      </c>
      <c r="CS185" s="228">
        <v>368</v>
      </c>
      <c r="CT185" s="228">
        <v>333</v>
      </c>
      <c r="CU185" s="228">
        <v>35</v>
      </c>
      <c r="CV185" s="229">
        <v>0.1052</v>
      </c>
      <c r="CW185" s="230">
        <v>2582</v>
      </c>
      <c r="CX185" s="230">
        <v>2610</v>
      </c>
      <c r="CY185" s="228">
        <v>-29</v>
      </c>
      <c r="CZ185" s="229">
        <v>-1.0999999999999999E-2</v>
      </c>
      <c r="DA185" s="228">
        <v>42.49</v>
      </c>
      <c r="DB185" s="228">
        <v>45.76</v>
      </c>
      <c r="DC185" s="228">
        <v>-3.27</v>
      </c>
      <c r="DD185" s="228">
        <v>-3.27</v>
      </c>
      <c r="DE185" s="228">
        <v>45.49</v>
      </c>
      <c r="DF185" s="228">
        <v>45.53</v>
      </c>
      <c r="DG185" s="228">
        <v>-3</v>
      </c>
      <c r="DH185" s="228">
        <v>-0.04</v>
      </c>
      <c r="DI185" s="228">
        <v>41.74</v>
      </c>
      <c r="DJ185" s="228">
        <v>45.01</v>
      </c>
      <c r="DK185" s="228">
        <v>-3.27</v>
      </c>
      <c r="DL185" s="228">
        <v>-3.27</v>
      </c>
      <c r="DM185" s="228">
        <v>45.68</v>
      </c>
      <c r="DN185" s="228">
        <v>49.53</v>
      </c>
      <c r="DO185" s="228">
        <v>-3.85</v>
      </c>
      <c r="DP185" s="228">
        <v>-3.85</v>
      </c>
      <c r="DQ185" s="228">
        <v>0.42</v>
      </c>
      <c r="DR185" s="228">
        <v>0.37</v>
      </c>
      <c r="DS185" s="228">
        <v>0.05</v>
      </c>
      <c r="DT185" s="229">
        <v>0.1351</v>
      </c>
      <c r="DU185" s="228">
        <v>50</v>
      </c>
      <c r="DV185" s="228">
        <v>45</v>
      </c>
      <c r="DW185" s="228">
        <v>0.23</v>
      </c>
      <c r="DX185" s="228">
        <v>0.2</v>
      </c>
      <c r="DY185" s="228">
        <v>0.03</v>
      </c>
      <c r="DZ185" s="229">
        <v>0.15</v>
      </c>
      <c r="EA185" s="229">
        <v>9.64E-2</v>
      </c>
      <c r="EB185" s="230">
        <v>29006350</v>
      </c>
      <c r="EC185" s="229">
        <v>6.6E-3</v>
      </c>
      <c r="ED185" s="229">
        <v>9.64E-2</v>
      </c>
      <c r="EE185" s="228">
        <v>0.34</v>
      </c>
      <c r="EF185" s="229">
        <v>8.0000000000000002E-3</v>
      </c>
      <c r="EG185" s="230">
        <v>28314620</v>
      </c>
      <c r="EH185" s="230">
        <v>25699958</v>
      </c>
      <c r="EI185" s="229">
        <v>0.1017</v>
      </c>
      <c r="EJ185" s="229">
        <v>0.2487</v>
      </c>
      <c r="EK185" s="231">
        <v>1438.71</v>
      </c>
      <c r="EL185" s="228">
        <v>303.37</v>
      </c>
      <c r="EM185" s="228">
        <v>306.08</v>
      </c>
      <c r="EN185" s="228">
        <v>56.49</v>
      </c>
      <c r="EO185" s="231">
        <v>2048.16</v>
      </c>
      <c r="EP185" s="231">
        <v>1424.54</v>
      </c>
      <c r="EQ185" s="228">
        <v>623.62</v>
      </c>
      <c r="ER185" s="229">
        <v>0.43780000000000002</v>
      </c>
      <c r="ES185" s="228">
        <v>958.67</v>
      </c>
      <c r="ET185" s="228">
        <v>372.85</v>
      </c>
      <c r="EU185" s="231">
        <v>1339.29</v>
      </c>
      <c r="EV185" s="231">
        <v>1814982173</v>
      </c>
      <c r="EW185" s="231">
        <v>2670.81</v>
      </c>
      <c r="EX185" s="231">
        <v>2663.19</v>
      </c>
      <c r="EY185" s="228">
        <v>7.62</v>
      </c>
      <c r="EZ185" s="229">
        <v>2.8999999999999998E-3</v>
      </c>
      <c r="FA185" s="229">
        <v>0.3347</v>
      </c>
      <c r="FB185" s="227" t="s">
        <v>556</v>
      </c>
      <c r="FC185">
        <f t="shared" si="3"/>
        <v>0</v>
      </c>
    </row>
    <row r="186" spans="1:159" ht="17.25" thickBot="1" x14ac:dyDescent="0.3">
      <c r="A186" s="226">
        <v>46093</v>
      </c>
      <c r="B186" s="227" t="s">
        <v>615</v>
      </c>
      <c r="C186" s="227" t="s">
        <v>692</v>
      </c>
      <c r="D186" s="228">
        <v>1300</v>
      </c>
      <c r="E186" s="228">
        <v>18</v>
      </c>
      <c r="F186" s="228">
        <v>280.75</v>
      </c>
      <c r="G186" s="228">
        <v>284.55</v>
      </c>
      <c r="H186" s="228">
        <v>-3.8</v>
      </c>
      <c r="I186" s="229">
        <v>-1.34E-2</v>
      </c>
      <c r="J186" s="228">
        <v>280.89999999999998</v>
      </c>
      <c r="K186" s="228">
        <v>284.60000000000002</v>
      </c>
      <c r="L186" s="228">
        <v>-3.7</v>
      </c>
      <c r="M186" s="229">
        <v>-1.2999999999999999E-2</v>
      </c>
      <c r="N186" s="228">
        <v>280.75</v>
      </c>
      <c r="O186" s="228">
        <v>284.55</v>
      </c>
      <c r="P186" s="228">
        <v>-3.8</v>
      </c>
      <c r="Q186" s="229">
        <v>-1.34E-2</v>
      </c>
      <c r="R186" s="228">
        <v>278.60000000000002</v>
      </c>
      <c r="S186" s="228">
        <v>281.85000000000002</v>
      </c>
      <c r="T186" s="228">
        <v>-3.25</v>
      </c>
      <c r="U186" s="229">
        <v>-1.15E-2</v>
      </c>
      <c r="V186" s="228">
        <v>277.05</v>
      </c>
      <c r="W186" s="228">
        <v>280</v>
      </c>
      <c r="X186" s="228">
        <v>-2.95</v>
      </c>
      <c r="Y186" s="229">
        <v>-1.0500000000000001E-2</v>
      </c>
      <c r="Z186" s="228">
        <v>-0.15</v>
      </c>
      <c r="AA186" s="228">
        <v>-0.05</v>
      </c>
      <c r="AB186" s="228">
        <v>-0.1</v>
      </c>
      <c r="AC186" s="229">
        <v>-5.0000000000000001E-4</v>
      </c>
      <c r="AD186" s="228">
        <v>-0.15</v>
      </c>
      <c r="AE186" s="228">
        <v>-0.05</v>
      </c>
      <c r="AF186" s="228">
        <v>-0.1</v>
      </c>
      <c r="AG186" s="229">
        <v>-5.0000000000000001E-4</v>
      </c>
      <c r="AH186" s="228">
        <v>-2.2999999999999998</v>
      </c>
      <c r="AI186" s="228">
        <v>-2.75</v>
      </c>
      <c r="AJ186" s="228">
        <v>0.45</v>
      </c>
      <c r="AK186" s="229">
        <v>-8.2000000000000007E-3</v>
      </c>
      <c r="AL186" s="228">
        <v>-3.85</v>
      </c>
      <c r="AM186" s="228">
        <v>-4.5999999999999996</v>
      </c>
      <c r="AN186" s="228">
        <v>0.75</v>
      </c>
      <c r="AO186" s="229">
        <v>-1.37E-2</v>
      </c>
      <c r="AP186" s="228">
        <v>279</v>
      </c>
      <c r="AQ186" s="228">
        <v>279.11</v>
      </c>
      <c r="AR186" s="228">
        <v>0</v>
      </c>
      <c r="AS186" s="228">
        <v>411</v>
      </c>
      <c r="AT186" s="228">
        <v>230</v>
      </c>
      <c r="AU186" s="228">
        <v>180</v>
      </c>
      <c r="AV186" s="229">
        <v>0.78349999999999997</v>
      </c>
      <c r="AW186" s="228">
        <v>303</v>
      </c>
      <c r="AX186" s="228">
        <v>209</v>
      </c>
      <c r="AY186" s="228">
        <v>93</v>
      </c>
      <c r="AZ186" s="229">
        <v>0.4466</v>
      </c>
      <c r="BA186" s="228">
        <v>77</v>
      </c>
      <c r="BB186" s="228">
        <v>21</v>
      </c>
      <c r="BC186" s="228">
        <v>57</v>
      </c>
      <c r="BD186" s="229">
        <v>2.7654999999999998</v>
      </c>
      <c r="BE186" s="228">
        <v>31</v>
      </c>
      <c r="BF186" s="228">
        <v>1</v>
      </c>
      <c r="BG186" s="228">
        <v>30</v>
      </c>
      <c r="BH186" s="229">
        <v>48.7059</v>
      </c>
      <c r="BI186" s="228">
        <v>271</v>
      </c>
      <c r="BJ186" s="228">
        <v>150</v>
      </c>
      <c r="BK186" s="228">
        <v>120</v>
      </c>
      <c r="BL186" s="229">
        <v>0.79890000000000005</v>
      </c>
      <c r="BM186" s="228">
        <v>505</v>
      </c>
      <c r="BN186" s="228">
        <v>187</v>
      </c>
      <c r="BO186" s="228">
        <v>318</v>
      </c>
      <c r="BP186" s="229">
        <v>1.7007000000000001</v>
      </c>
      <c r="BQ186" s="230">
        <v>1186</v>
      </c>
      <c r="BR186" s="228">
        <v>568</v>
      </c>
      <c r="BS186" s="228">
        <v>618</v>
      </c>
      <c r="BT186" s="229">
        <v>1.0894999999999999</v>
      </c>
      <c r="BU186" s="230">
        <v>14050937</v>
      </c>
      <c r="BV186" s="230">
        <v>6993210</v>
      </c>
      <c r="BW186" s="230">
        <v>7057727</v>
      </c>
      <c r="BX186" s="229">
        <v>1.0092000000000001</v>
      </c>
      <c r="BY186" s="230">
        <v>1589</v>
      </c>
      <c r="BZ186" s="230">
        <v>1494</v>
      </c>
      <c r="CA186" s="228">
        <v>94</v>
      </c>
      <c r="CB186" s="229">
        <v>6.3E-2</v>
      </c>
      <c r="CC186" s="230">
        <v>1421</v>
      </c>
      <c r="CD186" s="230">
        <v>1422</v>
      </c>
      <c r="CE186" s="228">
        <v>-1</v>
      </c>
      <c r="CF186" s="229">
        <v>-5.9999999999999995E-4</v>
      </c>
      <c r="CG186" s="228">
        <v>133</v>
      </c>
      <c r="CH186" s="228">
        <v>68</v>
      </c>
      <c r="CI186" s="228">
        <v>65</v>
      </c>
      <c r="CJ186" s="229">
        <v>0.96699999999999997</v>
      </c>
      <c r="CK186" s="228">
        <v>35</v>
      </c>
      <c r="CL186" s="228">
        <v>5</v>
      </c>
      <c r="CM186" s="228">
        <v>30</v>
      </c>
      <c r="CN186" s="229">
        <v>5.5202999999999998</v>
      </c>
      <c r="CO186" s="228">
        <v>229</v>
      </c>
      <c r="CP186" s="228">
        <v>211</v>
      </c>
      <c r="CQ186" s="228">
        <v>18</v>
      </c>
      <c r="CR186" s="229">
        <v>8.4199999999999997E-2</v>
      </c>
      <c r="CS186" s="228">
        <v>191</v>
      </c>
      <c r="CT186" s="228">
        <v>171</v>
      </c>
      <c r="CU186" s="228">
        <v>20</v>
      </c>
      <c r="CV186" s="229">
        <v>0.1173</v>
      </c>
      <c r="CW186" s="230">
        <v>2008</v>
      </c>
      <c r="CX186" s="230">
        <v>1876</v>
      </c>
      <c r="CY186" s="228">
        <v>132</v>
      </c>
      <c r="CZ186" s="229">
        <v>7.0400000000000004E-2</v>
      </c>
      <c r="DA186" s="228">
        <v>53.84</v>
      </c>
      <c r="DB186" s="228">
        <v>51.52</v>
      </c>
      <c r="DC186" s="228">
        <v>2.3199999999999998</v>
      </c>
      <c r="DD186" s="228">
        <v>2.3199999999999998</v>
      </c>
      <c r="DE186" s="228">
        <v>45.04</v>
      </c>
      <c r="DF186" s="228">
        <v>45.12</v>
      </c>
      <c r="DG186" s="228">
        <v>8.8000000000000007</v>
      </c>
      <c r="DH186" s="228">
        <v>-0.08</v>
      </c>
      <c r="DI186" s="228">
        <v>49.83</v>
      </c>
      <c r="DJ186" s="228">
        <v>48.77</v>
      </c>
      <c r="DK186" s="228">
        <v>1.06</v>
      </c>
      <c r="DL186" s="228">
        <v>1.06</v>
      </c>
      <c r="DM186" s="228">
        <v>56</v>
      </c>
      <c r="DN186" s="228">
        <v>53.73</v>
      </c>
      <c r="DO186" s="228">
        <v>2.27</v>
      </c>
      <c r="DP186" s="228">
        <v>2.27</v>
      </c>
      <c r="DQ186" s="228">
        <v>0.84</v>
      </c>
      <c r="DR186" s="228">
        <v>0.81</v>
      </c>
      <c r="DS186" s="228">
        <v>0.03</v>
      </c>
      <c r="DT186" s="229">
        <v>3.6999999999999998E-2</v>
      </c>
      <c r="DU186" s="228">
        <v>300</v>
      </c>
      <c r="DV186" s="228">
        <v>280</v>
      </c>
      <c r="DW186" s="228">
        <v>1.86</v>
      </c>
      <c r="DX186" s="228">
        <v>1.24</v>
      </c>
      <c r="DY186" s="228">
        <v>0.62</v>
      </c>
      <c r="DZ186" s="229">
        <v>0.5</v>
      </c>
      <c r="EA186" s="229">
        <v>0.10580000000000001</v>
      </c>
      <c r="EB186" s="230">
        <v>2597400</v>
      </c>
      <c r="EC186" s="229">
        <v>-7.7000000000000002E-3</v>
      </c>
      <c r="ED186" s="229">
        <v>0.10580000000000001</v>
      </c>
      <c r="EE186" s="228">
        <v>0.11</v>
      </c>
      <c r="EF186" s="229">
        <v>4.0000000000000002E-4</v>
      </c>
      <c r="EG186" s="230">
        <v>5784581</v>
      </c>
      <c r="EH186" s="230">
        <v>2875997</v>
      </c>
      <c r="EI186" s="229">
        <v>1.0113000000000001</v>
      </c>
      <c r="EJ186" s="229">
        <v>0.41170000000000001</v>
      </c>
      <c r="EK186" s="228">
        <v>293.95999999999998</v>
      </c>
      <c r="EL186" s="228">
        <v>494.55</v>
      </c>
      <c r="EM186" s="228">
        <v>408.22</v>
      </c>
      <c r="EN186" s="228">
        <v>57.66</v>
      </c>
      <c r="EO186" s="231">
        <v>1196.72</v>
      </c>
      <c r="EP186" s="228">
        <v>598.14</v>
      </c>
      <c r="EQ186" s="228">
        <v>598.59</v>
      </c>
      <c r="ER186" s="229">
        <v>1.0007999999999999</v>
      </c>
      <c r="ES186" s="228">
        <v>257.52999999999997</v>
      </c>
      <c r="ET186" s="228">
        <v>194.67</v>
      </c>
      <c r="EU186" s="231">
        <v>1587.15</v>
      </c>
      <c r="EV186" s="231">
        <v>375529891</v>
      </c>
      <c r="EW186" s="231">
        <v>2039.34</v>
      </c>
      <c r="EX186" s="231">
        <v>1932.62</v>
      </c>
      <c r="EY186" s="228">
        <v>106.72</v>
      </c>
      <c r="EZ186" s="229">
        <v>5.5199999999999999E-2</v>
      </c>
      <c r="FA186" s="229">
        <v>0.1905</v>
      </c>
      <c r="FB186" s="227" t="s">
        <v>567</v>
      </c>
      <c r="FC186">
        <f t="shared" si="3"/>
        <v>0</v>
      </c>
    </row>
    <row r="187" spans="1:159" ht="17.25" thickBot="1" x14ac:dyDescent="0.3">
      <c r="A187" s="226">
        <v>46093</v>
      </c>
      <c r="B187" s="227" t="s">
        <v>170</v>
      </c>
      <c r="C187" s="227" t="s">
        <v>520</v>
      </c>
      <c r="D187" s="228">
        <v>1000</v>
      </c>
      <c r="E187" s="228">
        <v>18</v>
      </c>
      <c r="F187" s="228">
        <v>404.75</v>
      </c>
      <c r="G187" s="228">
        <v>407.9</v>
      </c>
      <c r="H187" s="228">
        <v>-3.15</v>
      </c>
      <c r="I187" s="229">
        <v>-7.7000000000000002E-3</v>
      </c>
      <c r="J187" s="228">
        <v>404.1</v>
      </c>
      <c r="K187" s="228">
        <v>408.15</v>
      </c>
      <c r="L187" s="228">
        <v>-4.05</v>
      </c>
      <c r="M187" s="229">
        <v>-9.9000000000000008E-3</v>
      </c>
      <c r="N187" s="228">
        <v>404.75</v>
      </c>
      <c r="O187" s="228">
        <v>407.9</v>
      </c>
      <c r="P187" s="228">
        <v>-3.15</v>
      </c>
      <c r="Q187" s="229">
        <v>-7.7000000000000002E-3</v>
      </c>
      <c r="R187" s="228">
        <v>0</v>
      </c>
      <c r="S187" s="228">
        <v>0</v>
      </c>
      <c r="T187" s="228">
        <v>0</v>
      </c>
      <c r="U187" s="229">
        <v>0</v>
      </c>
      <c r="V187" s="228">
        <v>0</v>
      </c>
      <c r="W187" s="228">
        <v>0</v>
      </c>
      <c r="X187" s="228">
        <v>0</v>
      </c>
      <c r="Y187" s="229">
        <v>0</v>
      </c>
      <c r="Z187" s="228">
        <v>0.65</v>
      </c>
      <c r="AA187" s="228">
        <v>-0.25</v>
      </c>
      <c r="AB187" s="228">
        <v>0.9</v>
      </c>
      <c r="AC187" s="229">
        <v>1.6000000000000001E-3</v>
      </c>
      <c r="AD187" s="228">
        <v>0.65</v>
      </c>
      <c r="AE187" s="228">
        <v>-0.25</v>
      </c>
      <c r="AF187" s="228">
        <v>0.9</v>
      </c>
      <c r="AG187" s="229">
        <v>1.6000000000000001E-3</v>
      </c>
      <c r="AH187" s="228">
        <v>0</v>
      </c>
      <c r="AI187" s="228">
        <v>0</v>
      </c>
      <c r="AJ187" s="228">
        <v>0</v>
      </c>
      <c r="AK187" s="229">
        <v>0</v>
      </c>
      <c r="AL187" s="228">
        <v>0</v>
      </c>
      <c r="AM187" s="228">
        <v>0</v>
      </c>
      <c r="AN187" s="228">
        <v>0</v>
      </c>
      <c r="AO187" s="229">
        <v>0</v>
      </c>
      <c r="AP187" s="228">
        <v>404.18</v>
      </c>
      <c r="AQ187" s="228">
        <v>0</v>
      </c>
      <c r="AR187" s="228">
        <v>0</v>
      </c>
      <c r="AS187" s="228">
        <v>58</v>
      </c>
      <c r="AT187" s="228">
        <v>52</v>
      </c>
      <c r="AU187" s="228">
        <v>6</v>
      </c>
      <c r="AV187" s="229">
        <v>0.1169</v>
      </c>
      <c r="AW187" s="228">
        <v>58</v>
      </c>
      <c r="AX187" s="228">
        <v>52</v>
      </c>
      <c r="AY187" s="228">
        <v>6</v>
      </c>
      <c r="AZ187" s="229">
        <v>0.1169</v>
      </c>
      <c r="BA187" s="228">
        <v>0</v>
      </c>
      <c r="BB187" s="228">
        <v>0</v>
      </c>
      <c r="BC187" s="228">
        <v>0</v>
      </c>
      <c r="BD187" s="229">
        <v>0</v>
      </c>
      <c r="BE187" s="228">
        <v>0</v>
      </c>
      <c r="BF187" s="228">
        <v>0</v>
      </c>
      <c r="BG187" s="228">
        <v>0</v>
      </c>
      <c r="BH187" s="229">
        <v>0</v>
      </c>
      <c r="BI187" s="228">
        <v>112</v>
      </c>
      <c r="BJ187" s="228">
        <v>144</v>
      </c>
      <c r="BK187" s="228">
        <v>-33</v>
      </c>
      <c r="BL187" s="229">
        <v>-0.22720000000000001</v>
      </c>
      <c r="BM187" s="228">
        <v>78</v>
      </c>
      <c r="BN187" s="228">
        <v>38</v>
      </c>
      <c r="BO187" s="228">
        <v>39</v>
      </c>
      <c r="BP187" s="229">
        <v>1.0318000000000001</v>
      </c>
      <c r="BQ187" s="228">
        <v>248</v>
      </c>
      <c r="BR187" s="228">
        <v>235</v>
      </c>
      <c r="BS187" s="228">
        <v>13</v>
      </c>
      <c r="BT187" s="229">
        <v>5.3900000000000003E-2</v>
      </c>
      <c r="BU187" s="230">
        <v>641686</v>
      </c>
      <c r="BV187" s="230">
        <v>638318</v>
      </c>
      <c r="BW187" s="230">
        <v>3368</v>
      </c>
      <c r="BX187" s="229">
        <v>5.3E-3</v>
      </c>
      <c r="BY187" s="228">
        <v>350</v>
      </c>
      <c r="BZ187" s="228">
        <v>353</v>
      </c>
      <c r="CA187" s="228">
        <v>-3</v>
      </c>
      <c r="CB187" s="229">
        <v>-8.6E-3</v>
      </c>
      <c r="CC187" s="228">
        <v>350</v>
      </c>
      <c r="CD187" s="228">
        <v>353</v>
      </c>
      <c r="CE187" s="228">
        <v>-3</v>
      </c>
      <c r="CF187" s="229">
        <v>-8.6E-3</v>
      </c>
      <c r="CG187" s="228">
        <v>0</v>
      </c>
      <c r="CH187" s="228">
        <v>0</v>
      </c>
      <c r="CI187" s="228">
        <v>0</v>
      </c>
      <c r="CJ187" s="229">
        <v>0</v>
      </c>
      <c r="CK187" s="228">
        <v>0</v>
      </c>
      <c r="CL187" s="228">
        <v>0</v>
      </c>
      <c r="CM187" s="228">
        <v>0</v>
      </c>
      <c r="CN187" s="229">
        <v>0</v>
      </c>
      <c r="CO187" s="228">
        <v>224</v>
      </c>
      <c r="CP187" s="228">
        <v>213</v>
      </c>
      <c r="CQ187" s="228">
        <v>11</v>
      </c>
      <c r="CR187" s="229">
        <v>5.2299999999999999E-2</v>
      </c>
      <c r="CS187" s="228">
        <v>118</v>
      </c>
      <c r="CT187" s="228">
        <v>120</v>
      </c>
      <c r="CU187" s="228">
        <v>-2</v>
      </c>
      <c r="CV187" s="229">
        <v>-1.7500000000000002E-2</v>
      </c>
      <c r="CW187" s="228">
        <v>692</v>
      </c>
      <c r="CX187" s="228">
        <v>686</v>
      </c>
      <c r="CY187" s="228">
        <v>6</v>
      </c>
      <c r="CZ187" s="229">
        <v>8.6999999999999994E-3</v>
      </c>
      <c r="DA187" s="228">
        <v>38.26</v>
      </c>
      <c r="DB187" s="228">
        <v>37.46</v>
      </c>
      <c r="DC187" s="228">
        <v>0.8</v>
      </c>
      <c r="DD187" s="228">
        <v>0.8</v>
      </c>
      <c r="DE187" s="228">
        <v>35.92</v>
      </c>
      <c r="DF187" s="228">
        <v>35.99</v>
      </c>
      <c r="DG187" s="228">
        <v>2.34</v>
      </c>
      <c r="DH187" s="228">
        <v>-7.0000000000000007E-2</v>
      </c>
      <c r="DI187" s="228">
        <v>37.61</v>
      </c>
      <c r="DJ187" s="228">
        <v>37.39</v>
      </c>
      <c r="DK187" s="228">
        <v>0.22</v>
      </c>
      <c r="DL187" s="228">
        <v>0.22</v>
      </c>
      <c r="DM187" s="228">
        <v>39.200000000000003</v>
      </c>
      <c r="DN187" s="228">
        <v>37.69</v>
      </c>
      <c r="DO187" s="228">
        <v>1.51</v>
      </c>
      <c r="DP187" s="228">
        <v>1.51</v>
      </c>
      <c r="DQ187" s="228">
        <v>0.53</v>
      </c>
      <c r="DR187" s="228">
        <v>0.56999999999999995</v>
      </c>
      <c r="DS187" s="228">
        <v>-0.04</v>
      </c>
      <c r="DT187" s="229">
        <v>-7.0199999999999999E-2</v>
      </c>
      <c r="DU187" s="228">
        <v>450</v>
      </c>
      <c r="DV187" s="228">
        <v>440</v>
      </c>
      <c r="DW187" s="228">
        <v>0.69</v>
      </c>
      <c r="DX187" s="228">
        <v>0.26</v>
      </c>
      <c r="DY187" s="228">
        <v>0.43</v>
      </c>
      <c r="DZ187" s="229">
        <v>1.6537999999999999</v>
      </c>
      <c r="EA187" s="229">
        <v>0</v>
      </c>
      <c r="EB187" s="228">
        <v>0</v>
      </c>
      <c r="EC187" s="229">
        <v>0</v>
      </c>
      <c r="ED187" s="229">
        <v>0</v>
      </c>
      <c r="EE187" s="228">
        <v>0</v>
      </c>
      <c r="EF187" s="229">
        <v>0</v>
      </c>
      <c r="EG187" s="230">
        <v>229895</v>
      </c>
      <c r="EH187" s="230">
        <v>337603</v>
      </c>
      <c r="EI187" s="229">
        <v>-0.31900000000000001</v>
      </c>
      <c r="EJ187" s="229">
        <v>0.35830000000000001</v>
      </c>
      <c r="EK187" s="228">
        <v>121.53</v>
      </c>
      <c r="EL187" s="228">
        <v>75.83</v>
      </c>
      <c r="EM187" s="228">
        <v>58.32</v>
      </c>
      <c r="EN187" s="228">
        <v>12.17</v>
      </c>
      <c r="EO187" s="228">
        <v>255.68</v>
      </c>
      <c r="EP187" s="228">
        <v>252.08</v>
      </c>
      <c r="EQ187" s="228">
        <v>3.6</v>
      </c>
      <c r="ER187" s="229">
        <v>1.43E-2</v>
      </c>
      <c r="ES187" s="228">
        <v>251.8</v>
      </c>
      <c r="ET187" s="228">
        <v>128.35</v>
      </c>
      <c r="EU187" s="228">
        <v>350.07</v>
      </c>
      <c r="EV187" s="231">
        <v>24733183</v>
      </c>
      <c r="EW187" s="228">
        <v>730.22</v>
      </c>
      <c r="EX187" s="228">
        <v>726.03</v>
      </c>
      <c r="EY187" s="228">
        <v>4.1900000000000004</v>
      </c>
      <c r="EZ187" s="229">
        <v>5.7999999999999996E-3</v>
      </c>
      <c r="FA187" s="229">
        <v>0.69169999999999998</v>
      </c>
      <c r="FB187" s="227" t="s">
        <v>568</v>
      </c>
      <c r="FC187">
        <f t="shared" si="3"/>
        <v>0</v>
      </c>
    </row>
    <row r="188" spans="1:159" ht="17.25" thickBot="1" x14ac:dyDescent="0.3">
      <c r="A188" s="226">
        <v>46093</v>
      </c>
      <c r="B188" s="227" t="s">
        <v>168</v>
      </c>
      <c r="C188" s="227" t="s">
        <v>291</v>
      </c>
      <c r="D188" s="228">
        <v>550</v>
      </c>
      <c r="E188" s="228">
        <v>18</v>
      </c>
      <c r="F188" s="231">
        <v>1061.5</v>
      </c>
      <c r="G188" s="231">
        <v>1076.5999999999999</v>
      </c>
      <c r="H188" s="228">
        <v>-15.1</v>
      </c>
      <c r="I188" s="229">
        <v>-1.4E-2</v>
      </c>
      <c r="J188" s="231">
        <v>1057.8</v>
      </c>
      <c r="K188" s="231">
        <v>1073.4000000000001</v>
      </c>
      <c r="L188" s="228">
        <v>-15.6</v>
      </c>
      <c r="M188" s="229">
        <v>-1.4500000000000001E-2</v>
      </c>
      <c r="N188" s="231">
        <v>1061.5</v>
      </c>
      <c r="O188" s="231">
        <v>1076.5999999999999</v>
      </c>
      <c r="P188" s="228">
        <v>-15.1</v>
      </c>
      <c r="Q188" s="229">
        <v>-1.4E-2</v>
      </c>
      <c r="R188" s="231">
        <v>1067.7</v>
      </c>
      <c r="S188" s="231">
        <v>1084</v>
      </c>
      <c r="T188" s="228">
        <v>-16.3</v>
      </c>
      <c r="U188" s="229">
        <v>-1.4999999999999999E-2</v>
      </c>
      <c r="V188" s="231">
        <v>1071</v>
      </c>
      <c r="W188" s="231">
        <v>1088.5999999999999</v>
      </c>
      <c r="X188" s="228">
        <v>-17.600000000000001</v>
      </c>
      <c r="Y188" s="229">
        <v>-1.6199999999999999E-2</v>
      </c>
      <c r="Z188" s="228">
        <v>3.7</v>
      </c>
      <c r="AA188" s="228">
        <v>3.2</v>
      </c>
      <c r="AB188" s="228">
        <v>0.5</v>
      </c>
      <c r="AC188" s="229">
        <v>3.5000000000000001E-3</v>
      </c>
      <c r="AD188" s="228">
        <v>3.7</v>
      </c>
      <c r="AE188" s="228">
        <v>3.2</v>
      </c>
      <c r="AF188" s="228">
        <v>0.5</v>
      </c>
      <c r="AG188" s="229">
        <v>3.5000000000000001E-3</v>
      </c>
      <c r="AH188" s="228">
        <v>9.9</v>
      </c>
      <c r="AI188" s="228">
        <v>10.6</v>
      </c>
      <c r="AJ188" s="228">
        <v>-0.7</v>
      </c>
      <c r="AK188" s="229">
        <v>9.4000000000000004E-3</v>
      </c>
      <c r="AL188" s="228">
        <v>13.2</v>
      </c>
      <c r="AM188" s="228">
        <v>15.2</v>
      </c>
      <c r="AN188" s="228">
        <v>-2</v>
      </c>
      <c r="AO188" s="229">
        <v>1.2500000000000001E-2</v>
      </c>
      <c r="AP188" s="231">
        <v>1064.1099999999999</v>
      </c>
      <c r="AQ188" s="231">
        <v>1070.01</v>
      </c>
      <c r="AR188" s="228">
        <v>0</v>
      </c>
      <c r="AS188" s="228">
        <v>134</v>
      </c>
      <c r="AT188" s="228">
        <v>143</v>
      </c>
      <c r="AU188" s="228">
        <v>-9</v>
      </c>
      <c r="AV188" s="229">
        <v>-6.3100000000000003E-2</v>
      </c>
      <c r="AW188" s="228">
        <v>110</v>
      </c>
      <c r="AX188" s="228">
        <v>131</v>
      </c>
      <c r="AY188" s="228">
        <v>-22</v>
      </c>
      <c r="AZ188" s="229">
        <v>-0.1666</v>
      </c>
      <c r="BA188" s="228">
        <v>24</v>
      </c>
      <c r="BB188" s="228">
        <v>11</v>
      </c>
      <c r="BC188" s="228">
        <v>13</v>
      </c>
      <c r="BD188" s="229">
        <v>1.1554</v>
      </c>
      <c r="BE188" s="228">
        <v>1</v>
      </c>
      <c r="BF188" s="228">
        <v>1</v>
      </c>
      <c r="BG188" s="228">
        <v>0</v>
      </c>
      <c r="BH188" s="229">
        <v>-0.23080000000000001</v>
      </c>
      <c r="BI188" s="228">
        <v>160</v>
      </c>
      <c r="BJ188" s="228">
        <v>249</v>
      </c>
      <c r="BK188" s="228">
        <v>-89</v>
      </c>
      <c r="BL188" s="229">
        <v>-0.35730000000000001</v>
      </c>
      <c r="BM188" s="228">
        <v>140</v>
      </c>
      <c r="BN188" s="228">
        <v>391</v>
      </c>
      <c r="BO188" s="228">
        <v>-250</v>
      </c>
      <c r="BP188" s="229">
        <v>-0.64100000000000001</v>
      </c>
      <c r="BQ188" s="228">
        <v>435</v>
      </c>
      <c r="BR188" s="228">
        <v>783</v>
      </c>
      <c r="BS188" s="228">
        <v>-348</v>
      </c>
      <c r="BT188" s="229">
        <v>-0.44490000000000002</v>
      </c>
      <c r="BU188" s="230">
        <v>983400</v>
      </c>
      <c r="BV188" s="230">
        <v>1298506</v>
      </c>
      <c r="BW188" s="230">
        <v>-315106</v>
      </c>
      <c r="BX188" s="229">
        <v>-0.2427</v>
      </c>
      <c r="BY188" s="230">
        <v>1420</v>
      </c>
      <c r="BZ188" s="230">
        <v>1409</v>
      </c>
      <c r="CA188" s="228">
        <v>11</v>
      </c>
      <c r="CB188" s="229">
        <v>7.7000000000000002E-3</v>
      </c>
      <c r="CC188" s="230">
        <v>1380</v>
      </c>
      <c r="CD188" s="230">
        <v>1387</v>
      </c>
      <c r="CE188" s="228">
        <v>-6</v>
      </c>
      <c r="CF188" s="229">
        <v>-4.4999999999999997E-3</v>
      </c>
      <c r="CG188" s="228">
        <v>38</v>
      </c>
      <c r="CH188" s="228">
        <v>20</v>
      </c>
      <c r="CI188" s="228">
        <v>17</v>
      </c>
      <c r="CJ188" s="229">
        <v>0.84050000000000002</v>
      </c>
      <c r="CK188" s="228">
        <v>2</v>
      </c>
      <c r="CL188" s="228">
        <v>2</v>
      </c>
      <c r="CM188" s="228">
        <v>0</v>
      </c>
      <c r="CN188" s="229">
        <v>-3.4500000000000003E-2</v>
      </c>
      <c r="CO188" s="228">
        <v>330</v>
      </c>
      <c r="CP188" s="228">
        <v>307</v>
      </c>
      <c r="CQ188" s="228">
        <v>23</v>
      </c>
      <c r="CR188" s="229">
        <v>7.6399999999999996E-2</v>
      </c>
      <c r="CS188" s="228">
        <v>177</v>
      </c>
      <c r="CT188" s="228">
        <v>199</v>
      </c>
      <c r="CU188" s="228">
        <v>-22</v>
      </c>
      <c r="CV188" s="229">
        <v>-0.1095</v>
      </c>
      <c r="CW188" s="230">
        <v>1927</v>
      </c>
      <c r="CX188" s="230">
        <v>1914</v>
      </c>
      <c r="CY188" s="228">
        <v>12</v>
      </c>
      <c r="CZ188" s="229">
        <v>6.4999999999999997E-3</v>
      </c>
      <c r="DA188" s="228">
        <v>26.53</v>
      </c>
      <c r="DB188" s="228">
        <v>26.72</v>
      </c>
      <c r="DC188" s="228">
        <v>-0.19</v>
      </c>
      <c r="DD188" s="228">
        <v>-0.19</v>
      </c>
      <c r="DE188" s="228">
        <v>27.08</v>
      </c>
      <c r="DF188" s="228">
        <v>27.07</v>
      </c>
      <c r="DG188" s="228">
        <v>-0.55000000000000004</v>
      </c>
      <c r="DH188" s="228">
        <v>0.01</v>
      </c>
      <c r="DI188" s="228">
        <v>26.15</v>
      </c>
      <c r="DJ188" s="228">
        <v>25.88</v>
      </c>
      <c r="DK188" s="228">
        <v>0.27</v>
      </c>
      <c r="DL188" s="228">
        <v>0.27</v>
      </c>
      <c r="DM188" s="228">
        <v>26.96</v>
      </c>
      <c r="DN188" s="228">
        <v>27.25</v>
      </c>
      <c r="DO188" s="228">
        <v>-0.28999999999999998</v>
      </c>
      <c r="DP188" s="228">
        <v>-0.28999999999999998</v>
      </c>
      <c r="DQ188" s="228">
        <v>0.54</v>
      </c>
      <c r="DR188" s="228">
        <v>0.65</v>
      </c>
      <c r="DS188" s="228">
        <v>-0.11</v>
      </c>
      <c r="DT188" s="229">
        <v>-0.16919999999999999</v>
      </c>
      <c r="DU188" s="231">
        <v>1300</v>
      </c>
      <c r="DV188" s="231">
        <v>1100</v>
      </c>
      <c r="DW188" s="228">
        <v>0.88</v>
      </c>
      <c r="DX188" s="228">
        <v>1.57</v>
      </c>
      <c r="DY188" s="228">
        <v>-0.69</v>
      </c>
      <c r="DZ188" s="229">
        <v>-0.4395</v>
      </c>
      <c r="EA188" s="229">
        <v>2.7699999999999999E-2</v>
      </c>
      <c r="EB188" s="230">
        <v>209000</v>
      </c>
      <c r="EC188" s="229">
        <v>5.7999999999999996E-3</v>
      </c>
      <c r="ED188" s="229">
        <v>2.7699999999999999E-2</v>
      </c>
      <c r="EE188" s="228">
        <v>5.9</v>
      </c>
      <c r="EF188" s="229">
        <v>5.4999999999999997E-3</v>
      </c>
      <c r="EG188" s="230">
        <v>524425</v>
      </c>
      <c r="EH188" s="230">
        <v>784737</v>
      </c>
      <c r="EI188" s="229">
        <v>-0.33169999999999999</v>
      </c>
      <c r="EJ188" s="229">
        <v>0.5333</v>
      </c>
      <c r="EK188" s="228">
        <v>170.53</v>
      </c>
      <c r="EL188" s="228">
        <v>140.85</v>
      </c>
      <c r="EM188" s="228">
        <v>134.87</v>
      </c>
      <c r="EN188" s="228">
        <v>23.05</v>
      </c>
      <c r="EO188" s="228">
        <v>446.25</v>
      </c>
      <c r="EP188" s="228">
        <v>810.95</v>
      </c>
      <c r="EQ188" s="228">
        <v>-364.7</v>
      </c>
      <c r="ER188" s="229">
        <v>-0.44969999999999999</v>
      </c>
      <c r="ES188" s="228">
        <v>371.24</v>
      </c>
      <c r="ET188" s="228">
        <v>181.22</v>
      </c>
      <c r="EU188" s="231">
        <v>1420.04</v>
      </c>
      <c r="EV188" s="231">
        <v>65472326</v>
      </c>
      <c r="EW188" s="231">
        <v>1972.51</v>
      </c>
      <c r="EX188" s="231">
        <v>1978.69</v>
      </c>
      <c r="EY188" s="228">
        <v>-6.18</v>
      </c>
      <c r="EZ188" s="229">
        <v>-3.0999999999999999E-3</v>
      </c>
      <c r="FA188" s="229">
        <v>0.27729999999999999</v>
      </c>
      <c r="FB188" s="227" t="s">
        <v>567</v>
      </c>
      <c r="FC188">
        <f t="shared" si="3"/>
        <v>0</v>
      </c>
    </row>
    <row r="189" spans="1:159" ht="17.25" thickBot="1" x14ac:dyDescent="0.3">
      <c r="A189" s="226">
        <v>46093</v>
      </c>
      <c r="B189" s="227" t="s">
        <v>221</v>
      </c>
      <c r="C189" s="227" t="s">
        <v>604</v>
      </c>
      <c r="D189" s="228">
        <v>100</v>
      </c>
      <c r="E189" s="228">
        <v>18</v>
      </c>
      <c r="F189" s="231">
        <v>4312.3999999999996</v>
      </c>
      <c r="G189" s="231">
        <v>4334.7</v>
      </c>
      <c r="H189" s="228">
        <v>-22.3</v>
      </c>
      <c r="I189" s="229">
        <v>-5.1000000000000004E-3</v>
      </c>
      <c r="J189" s="231">
        <v>4330</v>
      </c>
      <c r="K189" s="231">
        <v>4343.3999999999996</v>
      </c>
      <c r="L189" s="228">
        <v>-13.4</v>
      </c>
      <c r="M189" s="229">
        <v>-3.0999999999999999E-3</v>
      </c>
      <c r="N189" s="231">
        <v>4312.3999999999996</v>
      </c>
      <c r="O189" s="231">
        <v>4334.7</v>
      </c>
      <c r="P189" s="228">
        <v>-22.3</v>
      </c>
      <c r="Q189" s="229">
        <v>-5.1000000000000004E-3</v>
      </c>
      <c r="R189" s="231">
        <v>4300.3999999999996</v>
      </c>
      <c r="S189" s="231">
        <v>4319.6000000000004</v>
      </c>
      <c r="T189" s="228">
        <v>-19.2</v>
      </c>
      <c r="U189" s="229">
        <v>-4.4000000000000003E-3</v>
      </c>
      <c r="V189" s="231">
        <v>4294.1000000000004</v>
      </c>
      <c r="W189" s="231">
        <v>4320.5</v>
      </c>
      <c r="X189" s="228">
        <v>-26.4</v>
      </c>
      <c r="Y189" s="229">
        <v>-6.1000000000000004E-3</v>
      </c>
      <c r="Z189" s="228">
        <v>-17.600000000000001</v>
      </c>
      <c r="AA189" s="228">
        <v>-8.6999999999999993</v>
      </c>
      <c r="AB189" s="228">
        <v>-8.9</v>
      </c>
      <c r="AC189" s="229">
        <v>-4.1000000000000003E-3</v>
      </c>
      <c r="AD189" s="228">
        <v>-17.600000000000001</v>
      </c>
      <c r="AE189" s="228">
        <v>-8.6999999999999993</v>
      </c>
      <c r="AF189" s="228">
        <v>-8.9</v>
      </c>
      <c r="AG189" s="229">
        <v>-4.1000000000000003E-3</v>
      </c>
      <c r="AH189" s="228">
        <v>-29.6</v>
      </c>
      <c r="AI189" s="228">
        <v>-23.8</v>
      </c>
      <c r="AJ189" s="228">
        <v>-5.8</v>
      </c>
      <c r="AK189" s="229">
        <v>-6.7999999999999996E-3</v>
      </c>
      <c r="AL189" s="228">
        <v>-35.9</v>
      </c>
      <c r="AM189" s="228">
        <v>-22.9</v>
      </c>
      <c r="AN189" s="228">
        <v>-13</v>
      </c>
      <c r="AO189" s="229">
        <v>-8.3000000000000001E-3</v>
      </c>
      <c r="AP189" s="231">
        <v>4305.8100000000004</v>
      </c>
      <c r="AQ189" s="231">
        <v>4294.2700000000004</v>
      </c>
      <c r="AR189" s="228">
        <v>0</v>
      </c>
      <c r="AS189" s="228">
        <v>157</v>
      </c>
      <c r="AT189" s="228">
        <v>186</v>
      </c>
      <c r="AU189" s="228">
        <v>-29</v>
      </c>
      <c r="AV189" s="229">
        <v>-0.15640000000000001</v>
      </c>
      <c r="AW189" s="228">
        <v>117</v>
      </c>
      <c r="AX189" s="228">
        <v>130</v>
      </c>
      <c r="AY189" s="228">
        <v>-13</v>
      </c>
      <c r="AZ189" s="229">
        <v>-0.1002</v>
      </c>
      <c r="BA189" s="228">
        <v>40</v>
      </c>
      <c r="BB189" s="228">
        <v>56</v>
      </c>
      <c r="BC189" s="228">
        <v>-16</v>
      </c>
      <c r="BD189" s="229">
        <v>-0.28760000000000002</v>
      </c>
      <c r="BE189" s="228">
        <v>1</v>
      </c>
      <c r="BF189" s="228">
        <v>1</v>
      </c>
      <c r="BG189" s="228">
        <v>0</v>
      </c>
      <c r="BH189" s="229">
        <v>-0.1</v>
      </c>
      <c r="BI189" s="228">
        <v>748</v>
      </c>
      <c r="BJ189" s="228">
        <v>955</v>
      </c>
      <c r="BK189" s="228">
        <v>-207</v>
      </c>
      <c r="BL189" s="229">
        <v>-0.2167</v>
      </c>
      <c r="BM189" s="228">
        <v>228</v>
      </c>
      <c r="BN189" s="228">
        <v>199</v>
      </c>
      <c r="BO189" s="228">
        <v>29</v>
      </c>
      <c r="BP189" s="229">
        <v>0.14829999999999999</v>
      </c>
      <c r="BQ189" s="230">
        <v>1134</v>
      </c>
      <c r="BR189" s="230">
        <v>1340</v>
      </c>
      <c r="BS189" s="228">
        <v>-207</v>
      </c>
      <c r="BT189" s="229">
        <v>-0.1542</v>
      </c>
      <c r="BU189" s="230">
        <v>248056</v>
      </c>
      <c r="BV189" s="230">
        <v>231925</v>
      </c>
      <c r="BW189" s="230">
        <v>16131</v>
      </c>
      <c r="BX189" s="229">
        <v>6.9599999999999995E-2</v>
      </c>
      <c r="BY189" s="228">
        <v>847</v>
      </c>
      <c r="BZ189" s="228">
        <v>817</v>
      </c>
      <c r="CA189" s="228">
        <v>31</v>
      </c>
      <c r="CB189" s="229">
        <v>3.7400000000000003E-2</v>
      </c>
      <c r="CC189" s="228">
        <v>706</v>
      </c>
      <c r="CD189" s="228">
        <v>698</v>
      </c>
      <c r="CE189" s="228">
        <v>8</v>
      </c>
      <c r="CF189" s="229">
        <v>1.21E-2</v>
      </c>
      <c r="CG189" s="228">
        <v>138</v>
      </c>
      <c r="CH189" s="228">
        <v>116</v>
      </c>
      <c r="CI189" s="228">
        <v>22</v>
      </c>
      <c r="CJ189" s="229">
        <v>0.18909999999999999</v>
      </c>
      <c r="CK189" s="228">
        <v>3</v>
      </c>
      <c r="CL189" s="228">
        <v>3</v>
      </c>
      <c r="CM189" s="228">
        <v>0</v>
      </c>
      <c r="CN189" s="229">
        <v>7.6899999999999996E-2</v>
      </c>
      <c r="CO189" s="228">
        <v>816</v>
      </c>
      <c r="CP189" s="228">
        <v>784</v>
      </c>
      <c r="CQ189" s="228">
        <v>31</v>
      </c>
      <c r="CR189" s="229">
        <v>4.02E-2</v>
      </c>
      <c r="CS189" s="228">
        <v>345</v>
      </c>
      <c r="CT189" s="228">
        <v>349</v>
      </c>
      <c r="CU189" s="228">
        <v>-5</v>
      </c>
      <c r="CV189" s="229">
        <v>-1.37E-2</v>
      </c>
      <c r="CW189" s="230">
        <v>2007</v>
      </c>
      <c r="CX189" s="230">
        <v>1950</v>
      </c>
      <c r="CY189" s="228">
        <v>57</v>
      </c>
      <c r="CZ189" s="229">
        <v>2.9399999999999999E-2</v>
      </c>
      <c r="DA189" s="228">
        <v>40.57</v>
      </c>
      <c r="DB189" s="228">
        <v>42.05</v>
      </c>
      <c r="DC189" s="228">
        <v>-1.48</v>
      </c>
      <c r="DD189" s="228">
        <v>-1.48</v>
      </c>
      <c r="DE189" s="228">
        <v>37.86</v>
      </c>
      <c r="DF189" s="228">
        <v>37.950000000000003</v>
      </c>
      <c r="DG189" s="228">
        <v>2.71</v>
      </c>
      <c r="DH189" s="228">
        <v>-0.09</v>
      </c>
      <c r="DI189" s="228">
        <v>40.869999999999997</v>
      </c>
      <c r="DJ189" s="228">
        <v>42.36</v>
      </c>
      <c r="DK189" s="228">
        <v>-1.49</v>
      </c>
      <c r="DL189" s="228">
        <v>-1.49</v>
      </c>
      <c r="DM189" s="228">
        <v>39.6</v>
      </c>
      <c r="DN189" s="228">
        <v>40.520000000000003</v>
      </c>
      <c r="DO189" s="228">
        <v>-0.92</v>
      </c>
      <c r="DP189" s="228">
        <v>-0.92</v>
      </c>
      <c r="DQ189" s="228">
        <v>0.42</v>
      </c>
      <c r="DR189" s="228">
        <v>0.45</v>
      </c>
      <c r="DS189" s="228">
        <v>-0.03</v>
      </c>
      <c r="DT189" s="229">
        <v>-6.6699999999999995E-2</v>
      </c>
      <c r="DU189" s="231">
        <v>5000</v>
      </c>
      <c r="DV189" s="231">
        <v>4400</v>
      </c>
      <c r="DW189" s="228">
        <v>0.31</v>
      </c>
      <c r="DX189" s="228">
        <v>0.21</v>
      </c>
      <c r="DY189" s="228">
        <v>0.1</v>
      </c>
      <c r="DZ189" s="229">
        <v>0.47620000000000001</v>
      </c>
      <c r="EA189" s="229">
        <v>0.16619999999999999</v>
      </c>
      <c r="EB189" s="230">
        <v>275200</v>
      </c>
      <c r="EC189" s="229">
        <v>-2.8E-3</v>
      </c>
      <c r="ED189" s="229">
        <v>0.16619999999999999</v>
      </c>
      <c r="EE189" s="228">
        <v>-11.54</v>
      </c>
      <c r="EF189" s="229">
        <v>-2.7000000000000001E-3</v>
      </c>
      <c r="EG189" s="230">
        <v>83939</v>
      </c>
      <c r="EH189" s="230">
        <v>90254</v>
      </c>
      <c r="EI189" s="229">
        <v>-7.0000000000000007E-2</v>
      </c>
      <c r="EJ189" s="229">
        <v>0.33839999999999998</v>
      </c>
      <c r="EK189" s="228">
        <v>908.82</v>
      </c>
      <c r="EL189" s="228">
        <v>225.02</v>
      </c>
      <c r="EM189" s="228">
        <v>156.88</v>
      </c>
      <c r="EN189" s="228">
        <v>37.5</v>
      </c>
      <c r="EO189" s="231">
        <v>1290.72</v>
      </c>
      <c r="EP189" s="231">
        <v>1520.01</v>
      </c>
      <c r="EQ189" s="228">
        <v>-229.29</v>
      </c>
      <c r="ER189" s="229">
        <v>-0.15079999999999999</v>
      </c>
      <c r="ES189" s="228">
        <v>925.63</v>
      </c>
      <c r="ET189" s="228">
        <v>356.1</v>
      </c>
      <c r="EU189" s="228">
        <v>846.82</v>
      </c>
      <c r="EV189" s="231">
        <v>5241546</v>
      </c>
      <c r="EW189" s="231">
        <v>2128.5500000000002</v>
      </c>
      <c r="EX189" s="231">
        <v>2070.44</v>
      </c>
      <c r="EY189" s="228">
        <v>58.11</v>
      </c>
      <c r="EZ189" s="229">
        <v>2.81E-2</v>
      </c>
      <c r="FA189" s="229">
        <v>0.8881</v>
      </c>
      <c r="FB189" s="227" t="s">
        <v>567</v>
      </c>
      <c r="FC189">
        <f t="shared" si="3"/>
        <v>0</v>
      </c>
    </row>
    <row r="190" spans="1:159" ht="17.25" thickBot="1" x14ac:dyDescent="0.3">
      <c r="A190" s="226">
        <v>46093</v>
      </c>
      <c r="B190" s="227" t="s">
        <v>161</v>
      </c>
      <c r="C190" s="227" t="s">
        <v>293</v>
      </c>
      <c r="D190" s="228">
        <v>1450</v>
      </c>
      <c r="E190" s="228">
        <v>18</v>
      </c>
      <c r="F190" s="228">
        <v>403.6</v>
      </c>
      <c r="G190" s="228">
        <v>386.9</v>
      </c>
      <c r="H190" s="228">
        <v>16.7</v>
      </c>
      <c r="I190" s="229">
        <v>4.3200000000000002E-2</v>
      </c>
      <c r="J190" s="228">
        <v>402.15</v>
      </c>
      <c r="K190" s="228">
        <v>385.75</v>
      </c>
      <c r="L190" s="228">
        <v>16.399999999999999</v>
      </c>
      <c r="M190" s="229">
        <v>4.2500000000000003E-2</v>
      </c>
      <c r="N190" s="228">
        <v>403.6</v>
      </c>
      <c r="O190" s="228">
        <v>386.9</v>
      </c>
      <c r="P190" s="228">
        <v>16.7</v>
      </c>
      <c r="Q190" s="229">
        <v>4.3200000000000002E-2</v>
      </c>
      <c r="R190" s="228">
        <v>406</v>
      </c>
      <c r="S190" s="228">
        <v>389.25</v>
      </c>
      <c r="T190" s="228">
        <v>16.75</v>
      </c>
      <c r="U190" s="229">
        <v>4.2999999999999997E-2</v>
      </c>
      <c r="V190" s="228">
        <v>407.9</v>
      </c>
      <c r="W190" s="228">
        <v>391.75</v>
      </c>
      <c r="X190" s="228">
        <v>16.149999999999999</v>
      </c>
      <c r="Y190" s="229">
        <v>4.1200000000000001E-2</v>
      </c>
      <c r="Z190" s="228">
        <v>1.45</v>
      </c>
      <c r="AA190" s="228">
        <v>1.1499999999999999</v>
      </c>
      <c r="AB190" s="228">
        <v>0.3</v>
      </c>
      <c r="AC190" s="229">
        <v>3.5999999999999999E-3</v>
      </c>
      <c r="AD190" s="228">
        <v>1.45</v>
      </c>
      <c r="AE190" s="228">
        <v>1.1499999999999999</v>
      </c>
      <c r="AF190" s="228">
        <v>0.3</v>
      </c>
      <c r="AG190" s="229">
        <v>3.5999999999999999E-3</v>
      </c>
      <c r="AH190" s="228">
        <v>3.85</v>
      </c>
      <c r="AI190" s="228">
        <v>3.5</v>
      </c>
      <c r="AJ190" s="228">
        <v>0.35</v>
      </c>
      <c r="AK190" s="229">
        <v>9.5999999999999992E-3</v>
      </c>
      <c r="AL190" s="228">
        <v>5.75</v>
      </c>
      <c r="AM190" s="228">
        <v>6</v>
      </c>
      <c r="AN190" s="228">
        <v>-0.25</v>
      </c>
      <c r="AO190" s="229">
        <v>1.43E-2</v>
      </c>
      <c r="AP190" s="228">
        <v>399.59</v>
      </c>
      <c r="AQ190" s="228">
        <v>403.19</v>
      </c>
      <c r="AR190" s="228">
        <v>0</v>
      </c>
      <c r="AS190" s="230">
        <v>1273</v>
      </c>
      <c r="AT190" s="228">
        <v>693</v>
      </c>
      <c r="AU190" s="228">
        <v>580</v>
      </c>
      <c r="AV190" s="229">
        <v>0.83740000000000003</v>
      </c>
      <c r="AW190" s="230">
        <v>1165</v>
      </c>
      <c r="AX190" s="228">
        <v>634</v>
      </c>
      <c r="AY190" s="228">
        <v>531</v>
      </c>
      <c r="AZ190" s="229">
        <v>0.83809999999999996</v>
      </c>
      <c r="BA190" s="228">
        <v>97</v>
      </c>
      <c r="BB190" s="228">
        <v>50</v>
      </c>
      <c r="BC190" s="228">
        <v>47</v>
      </c>
      <c r="BD190" s="229">
        <v>0.94720000000000004</v>
      </c>
      <c r="BE190" s="228">
        <v>10</v>
      </c>
      <c r="BF190" s="228">
        <v>9</v>
      </c>
      <c r="BG190" s="228">
        <v>1</v>
      </c>
      <c r="BH190" s="229">
        <v>0.1656</v>
      </c>
      <c r="BI190" s="230">
        <v>8509</v>
      </c>
      <c r="BJ190" s="230">
        <v>3802</v>
      </c>
      <c r="BK190" s="230">
        <v>4708</v>
      </c>
      <c r="BL190" s="229">
        <v>1.2383999999999999</v>
      </c>
      <c r="BM190" s="230">
        <v>3109</v>
      </c>
      <c r="BN190" s="230">
        <v>1232</v>
      </c>
      <c r="BO190" s="230">
        <v>1877</v>
      </c>
      <c r="BP190" s="229">
        <v>1.5227999999999999</v>
      </c>
      <c r="BQ190" s="230">
        <v>12891</v>
      </c>
      <c r="BR190" s="230">
        <v>5726</v>
      </c>
      <c r="BS190" s="230">
        <v>7164</v>
      </c>
      <c r="BT190" s="229">
        <v>1.2511000000000001</v>
      </c>
      <c r="BU190" s="230">
        <v>27798785</v>
      </c>
      <c r="BV190" s="230">
        <v>10763270</v>
      </c>
      <c r="BW190" s="230">
        <v>17035515</v>
      </c>
      <c r="BX190" s="229">
        <v>1.5827</v>
      </c>
      <c r="BY190" s="230">
        <v>2247</v>
      </c>
      <c r="BZ190" s="230">
        <v>2049</v>
      </c>
      <c r="CA190" s="228">
        <v>198</v>
      </c>
      <c r="CB190" s="229">
        <v>9.6500000000000002E-2</v>
      </c>
      <c r="CC190" s="230">
        <v>2150</v>
      </c>
      <c r="CD190" s="230">
        <v>1965</v>
      </c>
      <c r="CE190" s="228">
        <v>185</v>
      </c>
      <c r="CF190" s="229">
        <v>9.4200000000000006E-2</v>
      </c>
      <c r="CG190" s="228">
        <v>84</v>
      </c>
      <c r="CH190" s="228">
        <v>72</v>
      </c>
      <c r="CI190" s="228">
        <v>12</v>
      </c>
      <c r="CJ190" s="229">
        <v>0.161</v>
      </c>
      <c r="CK190" s="228">
        <v>14</v>
      </c>
      <c r="CL190" s="228">
        <v>12</v>
      </c>
      <c r="CM190" s="228">
        <v>1</v>
      </c>
      <c r="CN190" s="229">
        <v>8.9200000000000002E-2</v>
      </c>
      <c r="CO190" s="230">
        <v>1183</v>
      </c>
      <c r="CP190" s="230">
        <v>1244</v>
      </c>
      <c r="CQ190" s="228">
        <v>-61</v>
      </c>
      <c r="CR190" s="229">
        <v>-4.8599999999999997E-2</v>
      </c>
      <c r="CS190" s="230">
        <v>1217</v>
      </c>
      <c r="CT190" s="230">
        <v>1001</v>
      </c>
      <c r="CU190" s="228">
        <v>216</v>
      </c>
      <c r="CV190" s="229">
        <v>0.2157</v>
      </c>
      <c r="CW190" s="230">
        <v>4648</v>
      </c>
      <c r="CX190" s="230">
        <v>4295</v>
      </c>
      <c r="CY190" s="228">
        <v>353</v>
      </c>
      <c r="CZ190" s="229">
        <v>8.2299999999999998E-2</v>
      </c>
      <c r="DA190" s="228">
        <v>31.75</v>
      </c>
      <c r="DB190" s="228">
        <v>29.44</v>
      </c>
      <c r="DC190" s="228">
        <v>2.31</v>
      </c>
      <c r="DD190" s="228">
        <v>2.31</v>
      </c>
      <c r="DE190" s="228">
        <v>31.65</v>
      </c>
      <c r="DF190" s="228">
        <v>31.21</v>
      </c>
      <c r="DG190" s="228">
        <v>0.1</v>
      </c>
      <c r="DH190" s="228">
        <v>0.44</v>
      </c>
      <c r="DI190" s="228">
        <v>31.18</v>
      </c>
      <c r="DJ190" s="228">
        <v>29.2</v>
      </c>
      <c r="DK190" s="228">
        <v>1.98</v>
      </c>
      <c r="DL190" s="228">
        <v>1.98</v>
      </c>
      <c r="DM190" s="228">
        <v>33.31</v>
      </c>
      <c r="DN190" s="228">
        <v>30.16</v>
      </c>
      <c r="DO190" s="228">
        <v>3.15</v>
      </c>
      <c r="DP190" s="228">
        <v>3.15</v>
      </c>
      <c r="DQ190" s="228">
        <v>1.03</v>
      </c>
      <c r="DR190" s="228">
        <v>0.8</v>
      </c>
      <c r="DS190" s="228">
        <v>0.23</v>
      </c>
      <c r="DT190" s="229">
        <v>0.28749999999999998</v>
      </c>
      <c r="DU190" s="228">
        <v>420</v>
      </c>
      <c r="DV190" s="228">
        <v>380</v>
      </c>
      <c r="DW190" s="228">
        <v>0.37</v>
      </c>
      <c r="DX190" s="228">
        <v>0.32</v>
      </c>
      <c r="DY190" s="228">
        <v>0.05</v>
      </c>
      <c r="DZ190" s="229">
        <v>0.15620000000000001</v>
      </c>
      <c r="EA190" s="229">
        <v>4.3400000000000001E-2</v>
      </c>
      <c r="EB190" s="230">
        <v>2101050</v>
      </c>
      <c r="EC190" s="229">
        <v>5.8999999999999999E-3</v>
      </c>
      <c r="ED190" s="229">
        <v>4.3400000000000001E-2</v>
      </c>
      <c r="EE190" s="228">
        <v>3.6</v>
      </c>
      <c r="EF190" s="229">
        <v>8.9999999999999993E-3</v>
      </c>
      <c r="EG190" s="230">
        <v>9819661</v>
      </c>
      <c r="EH190" s="230">
        <v>3657094</v>
      </c>
      <c r="EI190" s="229">
        <v>1.6851</v>
      </c>
      <c r="EJ190" s="229">
        <v>0.35320000000000001</v>
      </c>
      <c r="EK190" s="231">
        <v>8790.2999999999993</v>
      </c>
      <c r="EL190" s="231">
        <v>3038.06</v>
      </c>
      <c r="EM190" s="231">
        <v>1260.8699999999999</v>
      </c>
      <c r="EN190" s="228">
        <v>80.989999999999995</v>
      </c>
      <c r="EO190" s="231">
        <v>13089.23</v>
      </c>
      <c r="EP190" s="231">
        <v>5675.23</v>
      </c>
      <c r="EQ190" s="231">
        <v>7414</v>
      </c>
      <c r="ER190" s="229">
        <v>1.3064</v>
      </c>
      <c r="ES190" s="231">
        <v>1181.71</v>
      </c>
      <c r="ET190" s="231">
        <v>1161.9100000000001</v>
      </c>
      <c r="EU190" s="231">
        <v>2247.77</v>
      </c>
      <c r="EV190" s="231">
        <v>202215001</v>
      </c>
      <c r="EW190" s="231">
        <v>4591.3900000000003</v>
      </c>
      <c r="EX190" s="231">
        <v>4144.16</v>
      </c>
      <c r="EY190" s="228">
        <v>447.23</v>
      </c>
      <c r="EZ190" s="229">
        <v>0.1079</v>
      </c>
      <c r="FA190" s="229">
        <v>0.56950000000000001</v>
      </c>
      <c r="FB190" s="227" t="s">
        <v>555</v>
      </c>
      <c r="FC190">
        <f t="shared" si="3"/>
        <v>0</v>
      </c>
    </row>
    <row r="191" spans="1:159" ht="17.25" thickBot="1" x14ac:dyDescent="0.3">
      <c r="A191" s="226">
        <v>46093</v>
      </c>
      <c r="B191" s="227" t="s">
        <v>227</v>
      </c>
      <c r="C191" s="227" t="s">
        <v>294</v>
      </c>
      <c r="D191" s="228">
        <v>5500</v>
      </c>
      <c r="E191" s="228">
        <v>18</v>
      </c>
      <c r="F191" s="228">
        <v>193.92</v>
      </c>
      <c r="G191" s="228">
        <v>194.99</v>
      </c>
      <c r="H191" s="228">
        <v>-1.07</v>
      </c>
      <c r="I191" s="229">
        <v>-5.4999999999999997E-3</v>
      </c>
      <c r="J191" s="228">
        <v>193.47</v>
      </c>
      <c r="K191" s="228">
        <v>194.74</v>
      </c>
      <c r="L191" s="228">
        <v>-1.27</v>
      </c>
      <c r="M191" s="229">
        <v>-6.4999999999999997E-3</v>
      </c>
      <c r="N191" s="228">
        <v>193.92</v>
      </c>
      <c r="O191" s="228">
        <v>194.99</v>
      </c>
      <c r="P191" s="228">
        <v>-1.07</v>
      </c>
      <c r="Q191" s="229">
        <v>-5.4999999999999997E-3</v>
      </c>
      <c r="R191" s="228">
        <v>195.19</v>
      </c>
      <c r="S191" s="228">
        <v>196.28</v>
      </c>
      <c r="T191" s="228">
        <v>-1.0900000000000001</v>
      </c>
      <c r="U191" s="229">
        <v>-5.5999999999999999E-3</v>
      </c>
      <c r="V191" s="228">
        <v>195.71</v>
      </c>
      <c r="W191" s="228">
        <v>197.09</v>
      </c>
      <c r="X191" s="228">
        <v>-1.38</v>
      </c>
      <c r="Y191" s="229">
        <v>-7.0000000000000001E-3</v>
      </c>
      <c r="Z191" s="228">
        <v>0.45</v>
      </c>
      <c r="AA191" s="228">
        <v>0.25</v>
      </c>
      <c r="AB191" s="228">
        <v>0.2</v>
      </c>
      <c r="AC191" s="229">
        <v>2.3E-3</v>
      </c>
      <c r="AD191" s="228">
        <v>0.45</v>
      </c>
      <c r="AE191" s="228">
        <v>0.25</v>
      </c>
      <c r="AF191" s="228">
        <v>0.2</v>
      </c>
      <c r="AG191" s="229">
        <v>2.3E-3</v>
      </c>
      <c r="AH191" s="228">
        <v>1.72</v>
      </c>
      <c r="AI191" s="228">
        <v>1.54</v>
      </c>
      <c r="AJ191" s="228">
        <v>0.18</v>
      </c>
      <c r="AK191" s="229">
        <v>8.8999999999999999E-3</v>
      </c>
      <c r="AL191" s="228">
        <v>2.2400000000000002</v>
      </c>
      <c r="AM191" s="228">
        <v>2.35</v>
      </c>
      <c r="AN191" s="228">
        <v>-0.11</v>
      </c>
      <c r="AO191" s="229">
        <v>1.1599999999999999E-2</v>
      </c>
      <c r="AP191" s="228">
        <v>192.94</v>
      </c>
      <c r="AQ191" s="228">
        <v>194.04</v>
      </c>
      <c r="AR191" s="228">
        <v>0</v>
      </c>
      <c r="AS191" s="228">
        <v>721</v>
      </c>
      <c r="AT191" s="228">
        <v>952</v>
      </c>
      <c r="AU191" s="228">
        <v>-232</v>
      </c>
      <c r="AV191" s="229">
        <v>-0.24340000000000001</v>
      </c>
      <c r="AW191" s="228">
        <v>632</v>
      </c>
      <c r="AX191" s="228">
        <v>852</v>
      </c>
      <c r="AY191" s="228">
        <v>-220</v>
      </c>
      <c r="AZ191" s="229">
        <v>-0.2581</v>
      </c>
      <c r="BA191" s="228">
        <v>81</v>
      </c>
      <c r="BB191" s="228">
        <v>92</v>
      </c>
      <c r="BC191" s="228">
        <v>-11</v>
      </c>
      <c r="BD191" s="229">
        <v>-0.1241</v>
      </c>
      <c r="BE191" s="228">
        <v>8</v>
      </c>
      <c r="BF191" s="228">
        <v>9</v>
      </c>
      <c r="BG191" s="228">
        <v>-1</v>
      </c>
      <c r="BH191" s="229">
        <v>-7.3200000000000001E-2</v>
      </c>
      <c r="BI191" s="230">
        <v>1761</v>
      </c>
      <c r="BJ191" s="230">
        <v>2510</v>
      </c>
      <c r="BK191" s="228">
        <v>-750</v>
      </c>
      <c r="BL191" s="229">
        <v>-0.29859999999999998</v>
      </c>
      <c r="BM191" s="228">
        <v>976</v>
      </c>
      <c r="BN191" s="230">
        <v>1336</v>
      </c>
      <c r="BO191" s="228">
        <v>-360</v>
      </c>
      <c r="BP191" s="229">
        <v>-0.26910000000000001</v>
      </c>
      <c r="BQ191" s="230">
        <v>3457</v>
      </c>
      <c r="BR191" s="230">
        <v>4798</v>
      </c>
      <c r="BS191" s="230">
        <v>-1341</v>
      </c>
      <c r="BT191" s="229">
        <v>-0.27950000000000003</v>
      </c>
      <c r="BU191" s="230">
        <v>25428612</v>
      </c>
      <c r="BV191" s="230">
        <v>36100115</v>
      </c>
      <c r="BW191" s="230">
        <v>-10671503</v>
      </c>
      <c r="BX191" s="229">
        <v>-0.29559999999999997</v>
      </c>
      <c r="BY191" s="230">
        <v>4431</v>
      </c>
      <c r="BZ191" s="230">
        <v>4469</v>
      </c>
      <c r="CA191" s="228">
        <v>-37</v>
      </c>
      <c r="CB191" s="229">
        <v>-8.3000000000000001E-3</v>
      </c>
      <c r="CC191" s="230">
        <v>3817</v>
      </c>
      <c r="CD191" s="230">
        <v>3865</v>
      </c>
      <c r="CE191" s="228">
        <v>-48</v>
      </c>
      <c r="CF191" s="229">
        <v>-1.24E-2</v>
      </c>
      <c r="CG191" s="228">
        <v>370</v>
      </c>
      <c r="CH191" s="228">
        <v>359</v>
      </c>
      <c r="CI191" s="228">
        <v>11</v>
      </c>
      <c r="CJ191" s="229">
        <v>0.03</v>
      </c>
      <c r="CK191" s="228">
        <v>244</v>
      </c>
      <c r="CL191" s="228">
        <v>244</v>
      </c>
      <c r="CM191" s="228">
        <v>0</v>
      </c>
      <c r="CN191" s="229">
        <v>-8.9999999999999998E-4</v>
      </c>
      <c r="CO191" s="230">
        <v>2584</v>
      </c>
      <c r="CP191" s="230">
        <v>2534</v>
      </c>
      <c r="CQ191" s="228">
        <v>50</v>
      </c>
      <c r="CR191" s="229">
        <v>1.9599999999999999E-2</v>
      </c>
      <c r="CS191" s="230">
        <v>1683</v>
      </c>
      <c r="CT191" s="230">
        <v>1655</v>
      </c>
      <c r="CU191" s="228">
        <v>28</v>
      </c>
      <c r="CV191" s="229">
        <v>1.6799999999999999E-2</v>
      </c>
      <c r="CW191" s="230">
        <v>8698</v>
      </c>
      <c r="CX191" s="230">
        <v>8658</v>
      </c>
      <c r="CY191" s="228">
        <v>40</v>
      </c>
      <c r="CZ191" s="229">
        <v>4.7000000000000002E-3</v>
      </c>
      <c r="DA191" s="228">
        <v>37.380000000000003</v>
      </c>
      <c r="DB191" s="228">
        <v>37.31</v>
      </c>
      <c r="DC191" s="228">
        <v>7.0000000000000007E-2</v>
      </c>
      <c r="DD191" s="228">
        <v>7.0000000000000007E-2</v>
      </c>
      <c r="DE191" s="228">
        <v>34.9</v>
      </c>
      <c r="DF191" s="228">
        <v>34.979999999999997</v>
      </c>
      <c r="DG191" s="228">
        <v>2.48</v>
      </c>
      <c r="DH191" s="228">
        <v>-0.08</v>
      </c>
      <c r="DI191" s="228">
        <v>36.96</v>
      </c>
      <c r="DJ191" s="228">
        <v>36.9</v>
      </c>
      <c r="DK191" s="228">
        <v>0.06</v>
      </c>
      <c r="DL191" s="228">
        <v>0.06</v>
      </c>
      <c r="DM191" s="228">
        <v>38.14</v>
      </c>
      <c r="DN191" s="228">
        <v>38.1</v>
      </c>
      <c r="DO191" s="228">
        <v>0.04</v>
      </c>
      <c r="DP191" s="228">
        <v>0.04</v>
      </c>
      <c r="DQ191" s="228">
        <v>0.65</v>
      </c>
      <c r="DR191" s="228">
        <v>0.65</v>
      </c>
      <c r="DS191" s="228">
        <v>0</v>
      </c>
      <c r="DT191" s="229">
        <v>0</v>
      </c>
      <c r="DU191" s="228">
        <v>210</v>
      </c>
      <c r="DV191" s="228">
        <v>200</v>
      </c>
      <c r="DW191" s="228">
        <v>0.55000000000000004</v>
      </c>
      <c r="DX191" s="228">
        <v>0.53</v>
      </c>
      <c r="DY191" s="228">
        <v>0.02</v>
      </c>
      <c r="DZ191" s="229">
        <v>3.7699999999999997E-2</v>
      </c>
      <c r="EA191" s="229">
        <v>0.1386</v>
      </c>
      <c r="EB191" s="230">
        <v>31119000</v>
      </c>
      <c r="EC191" s="229">
        <v>6.4999999999999997E-3</v>
      </c>
      <c r="ED191" s="229">
        <v>0.1386</v>
      </c>
      <c r="EE191" s="228">
        <v>1.1000000000000001</v>
      </c>
      <c r="EF191" s="229">
        <v>5.7000000000000002E-3</v>
      </c>
      <c r="EG191" s="230">
        <v>9681852</v>
      </c>
      <c r="EH191" s="230">
        <v>13878731</v>
      </c>
      <c r="EI191" s="229">
        <v>-0.3024</v>
      </c>
      <c r="EJ191" s="229">
        <v>0.38069999999999998</v>
      </c>
      <c r="EK191" s="231">
        <v>1881.45</v>
      </c>
      <c r="EL191" s="228">
        <v>962.06</v>
      </c>
      <c r="EM191" s="228">
        <v>717.46</v>
      </c>
      <c r="EN191" s="228">
        <v>108.94</v>
      </c>
      <c r="EO191" s="231">
        <v>3560.97</v>
      </c>
      <c r="EP191" s="231">
        <v>5000.95</v>
      </c>
      <c r="EQ191" s="231">
        <v>-1439.98</v>
      </c>
      <c r="ER191" s="229">
        <v>-0.28789999999999999</v>
      </c>
      <c r="ES191" s="231">
        <v>2825.24</v>
      </c>
      <c r="ET191" s="231">
        <v>1692.54</v>
      </c>
      <c r="EU191" s="231">
        <v>4436.13</v>
      </c>
      <c r="EV191" s="231">
        <v>872935214</v>
      </c>
      <c r="EW191" s="231">
        <v>8953.9</v>
      </c>
      <c r="EX191" s="231">
        <v>8943.48</v>
      </c>
      <c r="EY191" s="228">
        <v>10.42</v>
      </c>
      <c r="EZ191" s="229">
        <v>1.1999999999999999E-3</v>
      </c>
      <c r="FA191" s="229">
        <v>0.51380000000000003</v>
      </c>
      <c r="FB191" s="227" t="s">
        <v>568</v>
      </c>
      <c r="FC191">
        <f t="shared" si="3"/>
        <v>0</v>
      </c>
    </row>
    <row r="192" spans="1:159" ht="17.25" thickBot="1" x14ac:dyDescent="0.3">
      <c r="A192" s="226">
        <v>46093</v>
      </c>
      <c r="B192" s="227" t="s">
        <v>221</v>
      </c>
      <c r="C192" s="227" t="s">
        <v>663</v>
      </c>
      <c r="D192" s="228">
        <v>800</v>
      </c>
      <c r="E192" s="228">
        <v>18</v>
      </c>
      <c r="F192" s="228">
        <v>554.29999999999995</v>
      </c>
      <c r="G192" s="228">
        <v>557.65</v>
      </c>
      <c r="H192" s="228">
        <v>-3.35</v>
      </c>
      <c r="I192" s="229">
        <v>-6.0000000000000001E-3</v>
      </c>
      <c r="J192" s="228">
        <v>551.85</v>
      </c>
      <c r="K192" s="228">
        <v>556.9</v>
      </c>
      <c r="L192" s="228">
        <v>-5.05</v>
      </c>
      <c r="M192" s="229">
        <v>-9.1000000000000004E-3</v>
      </c>
      <c r="N192" s="228">
        <v>554.29999999999995</v>
      </c>
      <c r="O192" s="228">
        <v>557.65</v>
      </c>
      <c r="P192" s="228">
        <v>-3.35</v>
      </c>
      <c r="Q192" s="229">
        <v>-6.0000000000000001E-3</v>
      </c>
      <c r="R192" s="228">
        <v>556.6</v>
      </c>
      <c r="S192" s="228">
        <v>559.6</v>
      </c>
      <c r="T192" s="228">
        <v>-3</v>
      </c>
      <c r="U192" s="229">
        <v>-5.4000000000000003E-3</v>
      </c>
      <c r="V192" s="228">
        <v>0</v>
      </c>
      <c r="W192" s="228">
        <v>0</v>
      </c>
      <c r="X192" s="228">
        <v>0</v>
      </c>
      <c r="Y192" s="229">
        <v>0</v>
      </c>
      <c r="Z192" s="228">
        <v>2.4500000000000002</v>
      </c>
      <c r="AA192" s="228">
        <v>0.75</v>
      </c>
      <c r="AB192" s="228">
        <v>1.7</v>
      </c>
      <c r="AC192" s="229">
        <v>4.4000000000000003E-3</v>
      </c>
      <c r="AD192" s="228">
        <v>2.4500000000000002</v>
      </c>
      <c r="AE192" s="228">
        <v>0.75</v>
      </c>
      <c r="AF192" s="228">
        <v>1.7</v>
      </c>
      <c r="AG192" s="229">
        <v>4.4000000000000003E-3</v>
      </c>
      <c r="AH192" s="228">
        <v>4.75</v>
      </c>
      <c r="AI192" s="228">
        <v>2.7</v>
      </c>
      <c r="AJ192" s="228">
        <v>2.0499999999999998</v>
      </c>
      <c r="AK192" s="229">
        <v>8.6E-3</v>
      </c>
      <c r="AL192" s="228">
        <v>0</v>
      </c>
      <c r="AM192" s="228">
        <v>0</v>
      </c>
      <c r="AN192" s="228">
        <v>0</v>
      </c>
      <c r="AO192" s="229">
        <v>0</v>
      </c>
      <c r="AP192" s="228">
        <v>553.04</v>
      </c>
      <c r="AQ192" s="228">
        <v>555.13</v>
      </c>
      <c r="AR192" s="228">
        <v>0</v>
      </c>
      <c r="AS192" s="228">
        <v>59</v>
      </c>
      <c r="AT192" s="228">
        <v>56</v>
      </c>
      <c r="AU192" s="228">
        <v>3</v>
      </c>
      <c r="AV192" s="229">
        <v>5.8400000000000001E-2</v>
      </c>
      <c r="AW192" s="228">
        <v>53</v>
      </c>
      <c r="AX192" s="228">
        <v>49</v>
      </c>
      <c r="AY192" s="228">
        <v>4</v>
      </c>
      <c r="AZ192" s="229">
        <v>8.2100000000000006E-2</v>
      </c>
      <c r="BA192" s="228">
        <v>6</v>
      </c>
      <c r="BB192" s="228">
        <v>7</v>
      </c>
      <c r="BC192" s="228">
        <v>-1</v>
      </c>
      <c r="BD192" s="229">
        <v>-0.1069</v>
      </c>
      <c r="BE192" s="228">
        <v>0</v>
      </c>
      <c r="BF192" s="228">
        <v>0</v>
      </c>
      <c r="BG192" s="228">
        <v>0</v>
      </c>
      <c r="BH192" s="229">
        <v>0</v>
      </c>
      <c r="BI192" s="228">
        <v>122</v>
      </c>
      <c r="BJ192" s="228">
        <v>66</v>
      </c>
      <c r="BK192" s="228">
        <v>56</v>
      </c>
      <c r="BL192" s="229">
        <v>0.85629999999999995</v>
      </c>
      <c r="BM192" s="228">
        <v>39</v>
      </c>
      <c r="BN192" s="228">
        <v>26</v>
      </c>
      <c r="BO192" s="228">
        <v>14</v>
      </c>
      <c r="BP192" s="229">
        <v>0.53449999999999998</v>
      </c>
      <c r="BQ192" s="228">
        <v>221</v>
      </c>
      <c r="BR192" s="228">
        <v>148</v>
      </c>
      <c r="BS192" s="228">
        <v>73</v>
      </c>
      <c r="BT192" s="229">
        <v>0.4965</v>
      </c>
      <c r="BU192" s="230">
        <v>890283</v>
      </c>
      <c r="BV192" s="230">
        <v>886264</v>
      </c>
      <c r="BW192" s="230">
        <v>4019</v>
      </c>
      <c r="BX192" s="229">
        <v>4.4999999999999997E-3</v>
      </c>
      <c r="BY192" s="228">
        <v>609</v>
      </c>
      <c r="BZ192" s="228">
        <v>618</v>
      </c>
      <c r="CA192" s="228">
        <v>-10</v>
      </c>
      <c r="CB192" s="229">
        <v>-1.5800000000000002E-2</v>
      </c>
      <c r="CC192" s="228">
        <v>560</v>
      </c>
      <c r="CD192" s="228">
        <v>570</v>
      </c>
      <c r="CE192" s="228">
        <v>-10</v>
      </c>
      <c r="CF192" s="229">
        <v>-1.7500000000000002E-2</v>
      </c>
      <c r="CG192" s="228">
        <v>48</v>
      </c>
      <c r="CH192" s="228">
        <v>48</v>
      </c>
      <c r="CI192" s="228">
        <v>0</v>
      </c>
      <c r="CJ192" s="229">
        <v>4.5999999999999999E-3</v>
      </c>
      <c r="CK192" s="228">
        <v>0</v>
      </c>
      <c r="CL192" s="228">
        <v>0</v>
      </c>
      <c r="CM192" s="228">
        <v>0</v>
      </c>
      <c r="CN192" s="229">
        <v>0</v>
      </c>
      <c r="CO192" s="228">
        <v>254</v>
      </c>
      <c r="CP192" s="228">
        <v>244</v>
      </c>
      <c r="CQ192" s="228">
        <v>9</v>
      </c>
      <c r="CR192" s="229">
        <v>3.7600000000000001E-2</v>
      </c>
      <c r="CS192" s="228">
        <v>141</v>
      </c>
      <c r="CT192" s="228">
        <v>140</v>
      </c>
      <c r="CU192" s="228">
        <v>1</v>
      </c>
      <c r="CV192" s="229">
        <v>6.0000000000000001E-3</v>
      </c>
      <c r="CW192" s="230">
        <v>1003</v>
      </c>
      <c r="CX192" s="230">
        <v>1003</v>
      </c>
      <c r="CY192" s="228">
        <v>0</v>
      </c>
      <c r="CZ192" s="229">
        <v>2.9999999999999997E-4</v>
      </c>
      <c r="DA192" s="228">
        <v>34.82</v>
      </c>
      <c r="DB192" s="228">
        <v>34.479999999999997</v>
      </c>
      <c r="DC192" s="228">
        <v>0.34</v>
      </c>
      <c r="DD192" s="228">
        <v>0.34</v>
      </c>
      <c r="DE192" s="228">
        <v>30.65</v>
      </c>
      <c r="DF192" s="228">
        <v>30.72</v>
      </c>
      <c r="DG192" s="228">
        <v>4.17</v>
      </c>
      <c r="DH192" s="228">
        <v>-7.0000000000000007E-2</v>
      </c>
      <c r="DI192" s="228">
        <v>35.1</v>
      </c>
      <c r="DJ192" s="228">
        <v>34.29</v>
      </c>
      <c r="DK192" s="228">
        <v>0.81</v>
      </c>
      <c r="DL192" s="228">
        <v>0.81</v>
      </c>
      <c r="DM192" s="228">
        <v>33.950000000000003</v>
      </c>
      <c r="DN192" s="228">
        <v>34.97</v>
      </c>
      <c r="DO192" s="228">
        <v>-1.02</v>
      </c>
      <c r="DP192" s="228">
        <v>-1.02</v>
      </c>
      <c r="DQ192" s="228">
        <v>0.56000000000000005</v>
      </c>
      <c r="DR192" s="228">
        <v>0.56999999999999995</v>
      </c>
      <c r="DS192" s="228">
        <v>-0.01</v>
      </c>
      <c r="DT192" s="229">
        <v>-1.7500000000000002E-2</v>
      </c>
      <c r="DU192" s="228">
        <v>700</v>
      </c>
      <c r="DV192" s="228">
        <v>600</v>
      </c>
      <c r="DW192" s="228">
        <v>0.32</v>
      </c>
      <c r="DX192" s="228">
        <v>0.39</v>
      </c>
      <c r="DY192" s="228">
        <v>-7.0000000000000007E-2</v>
      </c>
      <c r="DZ192" s="229">
        <v>-0.17949999999999999</v>
      </c>
      <c r="EA192" s="229">
        <v>7.9200000000000007E-2</v>
      </c>
      <c r="EB192" s="230">
        <v>865600</v>
      </c>
      <c r="EC192" s="229">
        <v>4.1000000000000003E-3</v>
      </c>
      <c r="ED192" s="229">
        <v>7.9200000000000007E-2</v>
      </c>
      <c r="EE192" s="228">
        <v>2.09</v>
      </c>
      <c r="EF192" s="229">
        <v>3.8E-3</v>
      </c>
      <c r="EG192" s="230">
        <v>368097</v>
      </c>
      <c r="EH192" s="230">
        <v>483210</v>
      </c>
      <c r="EI192" s="229">
        <v>-0.2382</v>
      </c>
      <c r="EJ192" s="229">
        <v>0.41349999999999998</v>
      </c>
      <c r="EK192" s="228">
        <v>132.31</v>
      </c>
      <c r="EL192" s="228">
        <v>40.74</v>
      </c>
      <c r="EM192" s="228">
        <v>59.35</v>
      </c>
      <c r="EN192" s="228">
        <v>15.25</v>
      </c>
      <c r="EO192" s="228">
        <v>232.4</v>
      </c>
      <c r="EP192" s="228">
        <v>155.5</v>
      </c>
      <c r="EQ192" s="228">
        <v>76.91</v>
      </c>
      <c r="ER192" s="229">
        <v>0.49459999999999998</v>
      </c>
      <c r="ES192" s="228">
        <v>289.41000000000003</v>
      </c>
      <c r="ET192" s="228">
        <v>151.58000000000001</v>
      </c>
      <c r="EU192" s="228">
        <v>608.87</v>
      </c>
      <c r="EV192" s="231">
        <v>25116370</v>
      </c>
      <c r="EW192" s="231">
        <v>1049.8499999999999</v>
      </c>
      <c r="EX192" s="231">
        <v>1054.27</v>
      </c>
      <c r="EY192" s="228">
        <v>-4.42</v>
      </c>
      <c r="EZ192" s="229">
        <v>-4.1999999999999997E-3</v>
      </c>
      <c r="FA192" s="229">
        <v>0.72070000000000001</v>
      </c>
      <c r="FB192" s="227" t="s">
        <v>568</v>
      </c>
      <c r="FC192">
        <f t="shared" si="3"/>
        <v>0</v>
      </c>
    </row>
    <row r="193" spans="1:159" ht="17.25" thickBot="1" x14ac:dyDescent="0.3">
      <c r="A193" s="226">
        <v>46093</v>
      </c>
      <c r="B193" s="227" t="s">
        <v>221</v>
      </c>
      <c r="C193" s="227" t="s">
        <v>295</v>
      </c>
      <c r="D193" s="228">
        <v>175</v>
      </c>
      <c r="E193" s="228">
        <v>18</v>
      </c>
      <c r="F193" s="231">
        <v>2453</v>
      </c>
      <c r="G193" s="231">
        <v>2470.3000000000002</v>
      </c>
      <c r="H193" s="228">
        <v>-17.3</v>
      </c>
      <c r="I193" s="229">
        <v>-7.0000000000000001E-3</v>
      </c>
      <c r="J193" s="231">
        <v>2442.4</v>
      </c>
      <c r="K193" s="231">
        <v>2464.9</v>
      </c>
      <c r="L193" s="228">
        <v>-22.5</v>
      </c>
      <c r="M193" s="229">
        <v>-9.1000000000000004E-3</v>
      </c>
      <c r="N193" s="231">
        <v>2453</v>
      </c>
      <c r="O193" s="231">
        <v>2470.3000000000002</v>
      </c>
      <c r="P193" s="228">
        <v>-17.3</v>
      </c>
      <c r="Q193" s="229">
        <v>-7.0000000000000001E-3</v>
      </c>
      <c r="R193" s="231">
        <v>2466.6999999999998</v>
      </c>
      <c r="S193" s="231">
        <v>2487.3000000000002</v>
      </c>
      <c r="T193" s="228">
        <v>-20.6</v>
      </c>
      <c r="U193" s="229">
        <v>-8.3000000000000001E-3</v>
      </c>
      <c r="V193" s="231">
        <v>2473.9</v>
      </c>
      <c r="W193" s="231">
        <v>2493.6</v>
      </c>
      <c r="X193" s="228">
        <v>-19.7</v>
      </c>
      <c r="Y193" s="229">
        <v>-7.9000000000000008E-3</v>
      </c>
      <c r="Z193" s="228">
        <v>10.6</v>
      </c>
      <c r="AA193" s="228">
        <v>5.4</v>
      </c>
      <c r="AB193" s="228">
        <v>5.2</v>
      </c>
      <c r="AC193" s="229">
        <v>4.3E-3</v>
      </c>
      <c r="AD193" s="228">
        <v>10.6</v>
      </c>
      <c r="AE193" s="228">
        <v>5.4</v>
      </c>
      <c r="AF193" s="228">
        <v>5.2</v>
      </c>
      <c r="AG193" s="229">
        <v>4.3E-3</v>
      </c>
      <c r="AH193" s="228">
        <v>24.3</v>
      </c>
      <c r="AI193" s="228">
        <v>22.4</v>
      </c>
      <c r="AJ193" s="228">
        <v>1.9</v>
      </c>
      <c r="AK193" s="229">
        <v>9.9000000000000008E-3</v>
      </c>
      <c r="AL193" s="228">
        <v>31.5</v>
      </c>
      <c r="AM193" s="228">
        <v>28.7</v>
      </c>
      <c r="AN193" s="228">
        <v>2.8</v>
      </c>
      <c r="AO193" s="229">
        <v>1.29E-2</v>
      </c>
      <c r="AP193" s="231">
        <v>2458.7800000000002</v>
      </c>
      <c r="AQ193" s="231">
        <v>2472.33</v>
      </c>
      <c r="AR193" s="228">
        <v>0</v>
      </c>
      <c r="AS193" s="228">
        <v>790</v>
      </c>
      <c r="AT193" s="230">
        <v>1185</v>
      </c>
      <c r="AU193" s="228">
        <v>-395</v>
      </c>
      <c r="AV193" s="229">
        <v>-0.33329999999999999</v>
      </c>
      <c r="AW193" s="228">
        <v>676</v>
      </c>
      <c r="AX193" s="228">
        <v>580</v>
      </c>
      <c r="AY193" s="228">
        <v>95</v>
      </c>
      <c r="AZ193" s="229">
        <v>0.16450000000000001</v>
      </c>
      <c r="BA193" s="228">
        <v>78</v>
      </c>
      <c r="BB193" s="228">
        <v>505</v>
      </c>
      <c r="BC193" s="228">
        <v>-427</v>
      </c>
      <c r="BD193" s="229">
        <v>-0.84550000000000003</v>
      </c>
      <c r="BE193" s="228">
        <v>36</v>
      </c>
      <c r="BF193" s="228">
        <v>100</v>
      </c>
      <c r="BG193" s="228">
        <v>-64</v>
      </c>
      <c r="BH193" s="229">
        <v>-0.6371</v>
      </c>
      <c r="BI193" s="230">
        <v>3231</v>
      </c>
      <c r="BJ193" s="230">
        <v>3016</v>
      </c>
      <c r="BK193" s="228">
        <v>215</v>
      </c>
      <c r="BL193" s="229">
        <v>7.1199999999999999E-2</v>
      </c>
      <c r="BM193" s="230">
        <v>1786</v>
      </c>
      <c r="BN193" s="230">
        <v>1741</v>
      </c>
      <c r="BO193" s="228">
        <v>45</v>
      </c>
      <c r="BP193" s="229">
        <v>2.6100000000000002E-2</v>
      </c>
      <c r="BQ193" s="230">
        <v>5806</v>
      </c>
      <c r="BR193" s="230">
        <v>5941</v>
      </c>
      <c r="BS193" s="228">
        <v>-135</v>
      </c>
      <c r="BT193" s="229">
        <v>-2.2700000000000001E-2</v>
      </c>
      <c r="BU193" s="230">
        <v>3078779</v>
      </c>
      <c r="BV193" s="230">
        <v>2916747</v>
      </c>
      <c r="BW193" s="230">
        <v>162032</v>
      </c>
      <c r="BX193" s="229">
        <v>5.5599999999999997E-2</v>
      </c>
      <c r="BY193" s="230">
        <v>7821</v>
      </c>
      <c r="BZ193" s="230">
        <v>7755</v>
      </c>
      <c r="CA193" s="228">
        <v>66</v>
      </c>
      <c r="CB193" s="229">
        <v>8.6E-3</v>
      </c>
      <c r="CC193" s="230">
        <v>6591</v>
      </c>
      <c r="CD193" s="230">
        <v>6544</v>
      </c>
      <c r="CE193" s="228">
        <v>47</v>
      </c>
      <c r="CF193" s="229">
        <v>7.1000000000000004E-3</v>
      </c>
      <c r="CG193" s="228">
        <v>820</v>
      </c>
      <c r="CH193" s="228">
        <v>808</v>
      </c>
      <c r="CI193" s="228">
        <v>13</v>
      </c>
      <c r="CJ193" s="229">
        <v>1.5699999999999999E-2</v>
      </c>
      <c r="CK193" s="228">
        <v>410</v>
      </c>
      <c r="CL193" s="228">
        <v>403</v>
      </c>
      <c r="CM193" s="228">
        <v>7</v>
      </c>
      <c r="CN193" s="229">
        <v>1.77E-2</v>
      </c>
      <c r="CO193" s="230">
        <v>4348</v>
      </c>
      <c r="CP193" s="230">
        <v>4192</v>
      </c>
      <c r="CQ193" s="228">
        <v>156</v>
      </c>
      <c r="CR193" s="229">
        <v>3.7199999999999997E-2</v>
      </c>
      <c r="CS193" s="230">
        <v>2435</v>
      </c>
      <c r="CT193" s="230">
        <v>2426</v>
      </c>
      <c r="CU193" s="228">
        <v>9</v>
      </c>
      <c r="CV193" s="229">
        <v>3.8999999999999998E-3</v>
      </c>
      <c r="CW193" s="230">
        <v>14604</v>
      </c>
      <c r="CX193" s="230">
        <v>14373</v>
      </c>
      <c r="CY193" s="228">
        <v>232</v>
      </c>
      <c r="CZ193" s="229">
        <v>1.61E-2</v>
      </c>
      <c r="DA193" s="228">
        <v>31.05</v>
      </c>
      <c r="DB193" s="228">
        <v>31.95</v>
      </c>
      <c r="DC193" s="228">
        <v>-0.9</v>
      </c>
      <c r="DD193" s="228">
        <v>-0.9</v>
      </c>
      <c r="DE193" s="228">
        <v>26.65</v>
      </c>
      <c r="DF193" s="228">
        <v>26.69</v>
      </c>
      <c r="DG193" s="228">
        <v>4.4000000000000004</v>
      </c>
      <c r="DH193" s="228">
        <v>-0.04</v>
      </c>
      <c r="DI193" s="228">
        <v>30.77</v>
      </c>
      <c r="DJ193" s="228">
        <v>31.55</v>
      </c>
      <c r="DK193" s="228">
        <v>-0.78</v>
      </c>
      <c r="DL193" s="228">
        <v>-0.78</v>
      </c>
      <c r="DM193" s="228">
        <v>31.56</v>
      </c>
      <c r="DN193" s="228">
        <v>32.630000000000003</v>
      </c>
      <c r="DO193" s="228">
        <v>-1.07</v>
      </c>
      <c r="DP193" s="228">
        <v>-1.07</v>
      </c>
      <c r="DQ193" s="228">
        <v>0.56000000000000005</v>
      </c>
      <c r="DR193" s="228">
        <v>0.57999999999999996</v>
      </c>
      <c r="DS193" s="228">
        <v>-0.02</v>
      </c>
      <c r="DT193" s="229">
        <v>-3.4500000000000003E-2</v>
      </c>
      <c r="DU193" s="231">
        <v>2700</v>
      </c>
      <c r="DV193" s="231">
        <v>2600</v>
      </c>
      <c r="DW193" s="228">
        <v>0.55000000000000004</v>
      </c>
      <c r="DX193" s="228">
        <v>0.57999999999999996</v>
      </c>
      <c r="DY193" s="228">
        <v>-0.03</v>
      </c>
      <c r="DZ193" s="229">
        <v>-5.1700000000000003E-2</v>
      </c>
      <c r="EA193" s="229">
        <v>0.1573</v>
      </c>
      <c r="EB193" s="230">
        <v>4936225</v>
      </c>
      <c r="EC193" s="229">
        <v>5.5999999999999999E-3</v>
      </c>
      <c r="ED193" s="229">
        <v>0.1573</v>
      </c>
      <c r="EE193" s="228">
        <v>13.55</v>
      </c>
      <c r="EF193" s="229">
        <v>5.4999999999999997E-3</v>
      </c>
      <c r="EG193" s="230">
        <v>1422196</v>
      </c>
      <c r="EH193" s="230">
        <v>1528873</v>
      </c>
      <c r="EI193" s="229">
        <v>-6.9800000000000001E-2</v>
      </c>
      <c r="EJ193" s="229">
        <v>0.46189999999999998</v>
      </c>
      <c r="EK193" s="231">
        <v>3461.8</v>
      </c>
      <c r="EL193" s="231">
        <v>1801.86</v>
      </c>
      <c r="EM193" s="228">
        <v>792.39</v>
      </c>
      <c r="EN193" s="228">
        <v>255.06</v>
      </c>
      <c r="EO193" s="231">
        <v>6056.05</v>
      </c>
      <c r="EP193" s="231">
        <v>6261.56</v>
      </c>
      <c r="EQ193" s="228">
        <v>-205.51</v>
      </c>
      <c r="ER193" s="229">
        <v>-3.2800000000000003E-2</v>
      </c>
      <c r="ES193" s="231">
        <v>4912.95</v>
      </c>
      <c r="ET193" s="231">
        <v>2646.38</v>
      </c>
      <c r="EU193" s="231">
        <v>7829.34</v>
      </c>
      <c r="EV193" s="231">
        <v>126444612</v>
      </c>
      <c r="EW193" s="231">
        <v>15388.67</v>
      </c>
      <c r="EX193" s="231">
        <v>15221.65</v>
      </c>
      <c r="EY193" s="228">
        <v>167.02</v>
      </c>
      <c r="EZ193" s="229">
        <v>1.0999999999999999E-2</v>
      </c>
      <c r="FA193" s="229">
        <v>0.47089999999999999</v>
      </c>
      <c r="FB193" s="227" t="s">
        <v>567</v>
      </c>
      <c r="FC193">
        <f t="shared" si="3"/>
        <v>0</v>
      </c>
    </row>
    <row r="194" spans="1:159" ht="17.25" thickBot="1" x14ac:dyDescent="0.3">
      <c r="A194" s="226">
        <v>46093</v>
      </c>
      <c r="B194" s="227" t="s">
        <v>221</v>
      </c>
      <c r="C194" s="227" t="s">
        <v>296</v>
      </c>
      <c r="D194" s="228">
        <v>600</v>
      </c>
      <c r="E194" s="228">
        <v>18</v>
      </c>
      <c r="F194" s="231">
        <v>1351.3</v>
      </c>
      <c r="G194" s="231">
        <v>1335.6</v>
      </c>
      <c r="H194" s="228">
        <v>15.7</v>
      </c>
      <c r="I194" s="229">
        <v>1.18E-2</v>
      </c>
      <c r="J194" s="231">
        <v>1349.8</v>
      </c>
      <c r="K194" s="231">
        <v>1334.4</v>
      </c>
      <c r="L194" s="228">
        <v>15.4</v>
      </c>
      <c r="M194" s="229">
        <v>1.15E-2</v>
      </c>
      <c r="N194" s="231">
        <v>1351.3</v>
      </c>
      <c r="O194" s="231">
        <v>1335.6</v>
      </c>
      <c r="P194" s="228">
        <v>15.7</v>
      </c>
      <c r="Q194" s="229">
        <v>1.18E-2</v>
      </c>
      <c r="R194" s="231">
        <v>1359.4</v>
      </c>
      <c r="S194" s="231">
        <v>1343.6</v>
      </c>
      <c r="T194" s="228">
        <v>15.8</v>
      </c>
      <c r="U194" s="229">
        <v>1.18E-2</v>
      </c>
      <c r="V194" s="231">
        <v>1365.2</v>
      </c>
      <c r="W194" s="231">
        <v>1350.8</v>
      </c>
      <c r="X194" s="228">
        <v>14.4</v>
      </c>
      <c r="Y194" s="229">
        <v>1.0699999999999999E-2</v>
      </c>
      <c r="Z194" s="228">
        <v>1.5</v>
      </c>
      <c r="AA194" s="228">
        <v>1.2</v>
      </c>
      <c r="AB194" s="228">
        <v>0.3</v>
      </c>
      <c r="AC194" s="229">
        <v>1.1000000000000001E-3</v>
      </c>
      <c r="AD194" s="228">
        <v>1.5</v>
      </c>
      <c r="AE194" s="228">
        <v>1.2</v>
      </c>
      <c r="AF194" s="228">
        <v>0.3</v>
      </c>
      <c r="AG194" s="229">
        <v>1.1000000000000001E-3</v>
      </c>
      <c r="AH194" s="228">
        <v>9.6</v>
      </c>
      <c r="AI194" s="228">
        <v>9.1999999999999993</v>
      </c>
      <c r="AJ194" s="228">
        <v>0.4</v>
      </c>
      <c r="AK194" s="229">
        <v>7.1000000000000004E-3</v>
      </c>
      <c r="AL194" s="228">
        <v>15.4</v>
      </c>
      <c r="AM194" s="228">
        <v>16.399999999999999</v>
      </c>
      <c r="AN194" s="228">
        <v>-1</v>
      </c>
      <c r="AO194" s="229">
        <v>1.14E-2</v>
      </c>
      <c r="AP194" s="231">
        <v>1347.54</v>
      </c>
      <c r="AQ194" s="231">
        <v>1354.5</v>
      </c>
      <c r="AR194" s="228">
        <v>0</v>
      </c>
      <c r="AS194" s="228">
        <v>440</v>
      </c>
      <c r="AT194" s="228">
        <v>377</v>
      </c>
      <c r="AU194" s="228">
        <v>63</v>
      </c>
      <c r="AV194" s="229">
        <v>0.16769999999999999</v>
      </c>
      <c r="AW194" s="228">
        <v>420</v>
      </c>
      <c r="AX194" s="228">
        <v>354</v>
      </c>
      <c r="AY194" s="228">
        <v>66</v>
      </c>
      <c r="AZ194" s="229">
        <v>0.18659999999999999</v>
      </c>
      <c r="BA194" s="228">
        <v>19</v>
      </c>
      <c r="BB194" s="228">
        <v>20</v>
      </c>
      <c r="BC194" s="228">
        <v>-1</v>
      </c>
      <c r="BD194" s="229">
        <v>-7.2900000000000006E-2</v>
      </c>
      <c r="BE194" s="228">
        <v>2</v>
      </c>
      <c r="BF194" s="228">
        <v>3</v>
      </c>
      <c r="BG194" s="228">
        <v>-1</v>
      </c>
      <c r="BH194" s="229">
        <v>-0.45950000000000002</v>
      </c>
      <c r="BI194" s="230">
        <v>1474</v>
      </c>
      <c r="BJ194" s="230">
        <v>1014</v>
      </c>
      <c r="BK194" s="228">
        <v>460</v>
      </c>
      <c r="BL194" s="229">
        <v>0.45350000000000001</v>
      </c>
      <c r="BM194" s="228">
        <v>513</v>
      </c>
      <c r="BN194" s="228">
        <v>515</v>
      </c>
      <c r="BO194" s="228">
        <v>-1</v>
      </c>
      <c r="BP194" s="229">
        <v>-2.7000000000000001E-3</v>
      </c>
      <c r="BQ194" s="230">
        <v>2428</v>
      </c>
      <c r="BR194" s="230">
        <v>1906</v>
      </c>
      <c r="BS194" s="228">
        <v>522</v>
      </c>
      <c r="BT194" s="229">
        <v>0.27379999999999999</v>
      </c>
      <c r="BU194" s="230">
        <v>3130818</v>
      </c>
      <c r="BV194" s="230">
        <v>1533892</v>
      </c>
      <c r="BW194" s="230">
        <v>1596926</v>
      </c>
      <c r="BX194" s="229">
        <v>1.0410999999999999</v>
      </c>
      <c r="BY194" s="230">
        <v>2533</v>
      </c>
      <c r="BZ194" s="230">
        <v>2592</v>
      </c>
      <c r="CA194" s="228">
        <v>-59</v>
      </c>
      <c r="CB194" s="229">
        <v>-2.29E-2</v>
      </c>
      <c r="CC194" s="230">
        <v>2478</v>
      </c>
      <c r="CD194" s="230">
        <v>2541</v>
      </c>
      <c r="CE194" s="228">
        <v>-64</v>
      </c>
      <c r="CF194" s="229">
        <v>-2.5000000000000001E-2</v>
      </c>
      <c r="CG194" s="228">
        <v>51</v>
      </c>
      <c r="CH194" s="228">
        <v>47</v>
      </c>
      <c r="CI194" s="228">
        <v>4</v>
      </c>
      <c r="CJ194" s="229">
        <v>8.3199999999999996E-2</v>
      </c>
      <c r="CK194" s="228">
        <v>4</v>
      </c>
      <c r="CL194" s="228">
        <v>4</v>
      </c>
      <c r="CM194" s="228">
        <v>0</v>
      </c>
      <c r="CN194" s="229">
        <v>0.1</v>
      </c>
      <c r="CO194" s="230">
        <v>1295</v>
      </c>
      <c r="CP194" s="230">
        <v>1194</v>
      </c>
      <c r="CQ194" s="228">
        <v>102</v>
      </c>
      <c r="CR194" s="229">
        <v>8.5300000000000001E-2</v>
      </c>
      <c r="CS194" s="228">
        <v>767</v>
      </c>
      <c r="CT194" s="228">
        <v>760</v>
      </c>
      <c r="CU194" s="228">
        <v>7</v>
      </c>
      <c r="CV194" s="229">
        <v>9.5999999999999992E-3</v>
      </c>
      <c r="CW194" s="230">
        <v>4595</v>
      </c>
      <c r="CX194" s="230">
        <v>4545</v>
      </c>
      <c r="CY194" s="228">
        <v>50</v>
      </c>
      <c r="CZ194" s="229">
        <v>1.0999999999999999E-2</v>
      </c>
      <c r="DA194" s="228">
        <v>32.49</v>
      </c>
      <c r="DB194" s="228">
        <v>32.590000000000003</v>
      </c>
      <c r="DC194" s="228">
        <v>-0.1</v>
      </c>
      <c r="DD194" s="228">
        <v>-0.1</v>
      </c>
      <c r="DE194" s="228">
        <v>30.67</v>
      </c>
      <c r="DF194" s="228">
        <v>30.7</v>
      </c>
      <c r="DG194" s="228">
        <v>1.82</v>
      </c>
      <c r="DH194" s="228">
        <v>-0.03</v>
      </c>
      <c r="DI194" s="228">
        <v>31.86</v>
      </c>
      <c r="DJ194" s="228">
        <v>31.34</v>
      </c>
      <c r="DK194" s="228">
        <v>0.52</v>
      </c>
      <c r="DL194" s="228">
        <v>0.52</v>
      </c>
      <c r="DM194" s="228">
        <v>34.29</v>
      </c>
      <c r="DN194" s="228">
        <v>35.04</v>
      </c>
      <c r="DO194" s="228">
        <v>-0.75</v>
      </c>
      <c r="DP194" s="228">
        <v>-0.75</v>
      </c>
      <c r="DQ194" s="228">
        <v>0.59</v>
      </c>
      <c r="DR194" s="228">
        <v>0.64</v>
      </c>
      <c r="DS194" s="228">
        <v>-0.05</v>
      </c>
      <c r="DT194" s="229">
        <v>-7.8100000000000003E-2</v>
      </c>
      <c r="DU194" s="231">
        <v>1440</v>
      </c>
      <c r="DV194" s="231">
        <v>1340</v>
      </c>
      <c r="DW194" s="228">
        <v>0.35</v>
      </c>
      <c r="DX194" s="228">
        <v>0.51</v>
      </c>
      <c r="DY194" s="228">
        <v>-0.16</v>
      </c>
      <c r="DZ194" s="229">
        <v>-0.31369999999999998</v>
      </c>
      <c r="EA194" s="229">
        <v>2.18E-2</v>
      </c>
      <c r="EB194" s="230">
        <v>376200</v>
      </c>
      <c r="EC194" s="229">
        <v>6.0000000000000001E-3</v>
      </c>
      <c r="ED194" s="229">
        <v>2.18E-2</v>
      </c>
      <c r="EE194" s="228">
        <v>6.96</v>
      </c>
      <c r="EF194" s="229">
        <v>5.1999999999999998E-3</v>
      </c>
      <c r="EG194" s="230">
        <v>1894613</v>
      </c>
      <c r="EH194" s="230">
        <v>864338</v>
      </c>
      <c r="EI194" s="229">
        <v>1.1919999999999999</v>
      </c>
      <c r="EJ194" s="229">
        <v>0.60509999999999997</v>
      </c>
      <c r="EK194" s="231">
        <v>1547.55</v>
      </c>
      <c r="EL194" s="228">
        <v>507.7</v>
      </c>
      <c r="EM194" s="228">
        <v>438.73</v>
      </c>
      <c r="EN194" s="228">
        <v>37.07</v>
      </c>
      <c r="EO194" s="231">
        <v>2493.98</v>
      </c>
      <c r="EP194" s="231">
        <v>1951.76</v>
      </c>
      <c r="EQ194" s="228">
        <v>542.22</v>
      </c>
      <c r="ER194" s="229">
        <v>0.27779999999999999</v>
      </c>
      <c r="ES194" s="231">
        <v>1402.71</v>
      </c>
      <c r="ET194" s="228">
        <v>771.76</v>
      </c>
      <c r="EU194" s="231">
        <v>2532.98</v>
      </c>
      <c r="EV194" s="231">
        <v>80031540</v>
      </c>
      <c r="EW194" s="231">
        <v>4707.45</v>
      </c>
      <c r="EX194" s="231">
        <v>4630.01</v>
      </c>
      <c r="EY194" s="228">
        <v>77.44</v>
      </c>
      <c r="EZ194" s="229">
        <v>1.67E-2</v>
      </c>
      <c r="FA194" s="229">
        <v>0.4249</v>
      </c>
      <c r="FB194" s="227" t="s">
        <v>556</v>
      </c>
      <c r="FC194">
        <f t="shared" si="3"/>
        <v>0</v>
      </c>
    </row>
    <row r="195" spans="1:159" ht="17.25" thickBot="1" x14ac:dyDescent="0.3">
      <c r="A195" s="226">
        <v>46093</v>
      </c>
      <c r="B195" s="227" t="s">
        <v>184</v>
      </c>
      <c r="C195" s="227" t="s">
        <v>595</v>
      </c>
      <c r="D195" s="228">
        <v>200</v>
      </c>
      <c r="E195" s="228">
        <v>18</v>
      </c>
      <c r="F195" s="231">
        <v>2550.1999999999998</v>
      </c>
      <c r="G195" s="231">
        <v>2568.6</v>
      </c>
      <c r="H195" s="228">
        <v>-18.399999999999999</v>
      </c>
      <c r="I195" s="229">
        <v>-7.1999999999999998E-3</v>
      </c>
      <c r="J195" s="231">
        <v>2549.6999999999998</v>
      </c>
      <c r="K195" s="231">
        <v>2566</v>
      </c>
      <c r="L195" s="228">
        <v>-16.3</v>
      </c>
      <c r="M195" s="229">
        <v>-6.4000000000000003E-3</v>
      </c>
      <c r="N195" s="231">
        <v>2550.1999999999998</v>
      </c>
      <c r="O195" s="231">
        <v>2568.6</v>
      </c>
      <c r="P195" s="228">
        <v>-18.399999999999999</v>
      </c>
      <c r="Q195" s="229">
        <v>-7.1999999999999998E-3</v>
      </c>
      <c r="R195" s="231">
        <v>2547</v>
      </c>
      <c r="S195" s="231">
        <v>2571.6999999999998</v>
      </c>
      <c r="T195" s="228">
        <v>-24.7</v>
      </c>
      <c r="U195" s="229">
        <v>-9.5999999999999992E-3</v>
      </c>
      <c r="V195" s="231">
        <v>2553.1999999999998</v>
      </c>
      <c r="W195" s="231">
        <v>2575</v>
      </c>
      <c r="X195" s="228">
        <v>-21.8</v>
      </c>
      <c r="Y195" s="229">
        <v>-8.5000000000000006E-3</v>
      </c>
      <c r="Z195" s="228">
        <v>0.5</v>
      </c>
      <c r="AA195" s="228">
        <v>2.6</v>
      </c>
      <c r="AB195" s="228">
        <v>-2.1</v>
      </c>
      <c r="AC195" s="229">
        <v>2.0000000000000001E-4</v>
      </c>
      <c r="AD195" s="228">
        <v>0.5</v>
      </c>
      <c r="AE195" s="228">
        <v>2.6</v>
      </c>
      <c r="AF195" s="228">
        <v>-2.1</v>
      </c>
      <c r="AG195" s="229">
        <v>2.0000000000000001E-4</v>
      </c>
      <c r="AH195" s="228">
        <v>-2.7</v>
      </c>
      <c r="AI195" s="228">
        <v>5.7</v>
      </c>
      <c r="AJ195" s="228">
        <v>-8.4</v>
      </c>
      <c r="AK195" s="229">
        <v>-1.1000000000000001E-3</v>
      </c>
      <c r="AL195" s="228">
        <v>3.5</v>
      </c>
      <c r="AM195" s="228">
        <v>9</v>
      </c>
      <c r="AN195" s="228">
        <v>-5.5</v>
      </c>
      <c r="AO195" s="229">
        <v>1.4E-3</v>
      </c>
      <c r="AP195" s="231">
        <v>2534.27</v>
      </c>
      <c r="AQ195" s="231">
        <v>2528.6999999999998</v>
      </c>
      <c r="AR195" s="228">
        <v>0</v>
      </c>
      <c r="AS195" s="228">
        <v>107</v>
      </c>
      <c r="AT195" s="228">
        <v>101</v>
      </c>
      <c r="AU195" s="228">
        <v>6</v>
      </c>
      <c r="AV195" s="229">
        <v>5.8500000000000003E-2</v>
      </c>
      <c r="AW195" s="228">
        <v>99</v>
      </c>
      <c r="AX195" s="228">
        <v>97</v>
      </c>
      <c r="AY195" s="228">
        <v>2</v>
      </c>
      <c r="AZ195" s="229">
        <v>2.47E-2</v>
      </c>
      <c r="BA195" s="228">
        <v>7</v>
      </c>
      <c r="BB195" s="228">
        <v>4</v>
      </c>
      <c r="BC195" s="228">
        <v>4</v>
      </c>
      <c r="BD195" s="229">
        <v>1</v>
      </c>
      <c r="BE195" s="228">
        <v>0</v>
      </c>
      <c r="BF195" s="228">
        <v>1</v>
      </c>
      <c r="BG195" s="228">
        <v>0</v>
      </c>
      <c r="BH195" s="229">
        <v>-0.18179999999999999</v>
      </c>
      <c r="BI195" s="228">
        <v>78</v>
      </c>
      <c r="BJ195" s="228">
        <v>170</v>
      </c>
      <c r="BK195" s="228">
        <v>-92</v>
      </c>
      <c r="BL195" s="229">
        <v>-0.54279999999999995</v>
      </c>
      <c r="BM195" s="228">
        <v>104</v>
      </c>
      <c r="BN195" s="228">
        <v>82</v>
      </c>
      <c r="BO195" s="228">
        <v>22</v>
      </c>
      <c r="BP195" s="229">
        <v>0.27350000000000002</v>
      </c>
      <c r="BQ195" s="228">
        <v>289</v>
      </c>
      <c r="BR195" s="228">
        <v>353</v>
      </c>
      <c r="BS195" s="228">
        <v>-64</v>
      </c>
      <c r="BT195" s="229">
        <v>-0.18090000000000001</v>
      </c>
      <c r="BU195" s="230">
        <v>268740</v>
      </c>
      <c r="BV195" s="230">
        <v>303295</v>
      </c>
      <c r="BW195" s="230">
        <v>-34555</v>
      </c>
      <c r="BX195" s="229">
        <v>-0.1139</v>
      </c>
      <c r="BY195" s="228">
        <v>797</v>
      </c>
      <c r="BZ195" s="228">
        <v>801</v>
      </c>
      <c r="CA195" s="228">
        <v>-5</v>
      </c>
      <c r="CB195" s="229">
        <v>-5.7000000000000002E-3</v>
      </c>
      <c r="CC195" s="228">
        <v>770</v>
      </c>
      <c r="CD195" s="228">
        <v>777</v>
      </c>
      <c r="CE195" s="228">
        <v>-6</v>
      </c>
      <c r="CF195" s="229">
        <v>-8.3000000000000001E-3</v>
      </c>
      <c r="CG195" s="228">
        <v>23</v>
      </c>
      <c r="CH195" s="228">
        <v>22</v>
      </c>
      <c r="CI195" s="228">
        <v>2</v>
      </c>
      <c r="CJ195" s="229">
        <v>8.7499999999999994E-2</v>
      </c>
      <c r="CK195" s="228">
        <v>3</v>
      </c>
      <c r="CL195" s="228">
        <v>3</v>
      </c>
      <c r="CM195" s="228">
        <v>0</v>
      </c>
      <c r="CN195" s="229">
        <v>0</v>
      </c>
      <c r="CO195" s="228">
        <v>160</v>
      </c>
      <c r="CP195" s="228">
        <v>159</v>
      </c>
      <c r="CQ195" s="228">
        <v>1</v>
      </c>
      <c r="CR195" s="229">
        <v>6.1000000000000004E-3</v>
      </c>
      <c r="CS195" s="228">
        <v>118</v>
      </c>
      <c r="CT195" s="228">
        <v>118</v>
      </c>
      <c r="CU195" s="228">
        <v>-1</v>
      </c>
      <c r="CV195" s="229">
        <v>-4.7000000000000002E-3</v>
      </c>
      <c r="CW195" s="230">
        <v>1074</v>
      </c>
      <c r="CX195" s="230">
        <v>1079</v>
      </c>
      <c r="CY195" s="228">
        <v>-4</v>
      </c>
      <c r="CZ195" s="229">
        <v>-3.8999999999999998E-3</v>
      </c>
      <c r="DA195" s="228">
        <v>42.26</v>
      </c>
      <c r="DB195" s="228">
        <v>41.17</v>
      </c>
      <c r="DC195" s="228">
        <v>1.0900000000000001</v>
      </c>
      <c r="DD195" s="228">
        <v>1.0900000000000001</v>
      </c>
      <c r="DE195" s="228">
        <v>43.64</v>
      </c>
      <c r="DF195" s="228">
        <v>43.74</v>
      </c>
      <c r="DG195" s="228">
        <v>-1.38</v>
      </c>
      <c r="DH195" s="228">
        <v>-0.1</v>
      </c>
      <c r="DI195" s="228">
        <v>40.72</v>
      </c>
      <c r="DJ195" s="228">
        <v>40.880000000000003</v>
      </c>
      <c r="DK195" s="228">
        <v>-0.16</v>
      </c>
      <c r="DL195" s="228">
        <v>-0.16</v>
      </c>
      <c r="DM195" s="228">
        <v>43.4</v>
      </c>
      <c r="DN195" s="228">
        <v>41.76</v>
      </c>
      <c r="DO195" s="228">
        <v>1.64</v>
      </c>
      <c r="DP195" s="228">
        <v>1.64</v>
      </c>
      <c r="DQ195" s="228">
        <v>0.74</v>
      </c>
      <c r="DR195" s="228">
        <v>0.75</v>
      </c>
      <c r="DS195" s="228">
        <v>-0.01</v>
      </c>
      <c r="DT195" s="229">
        <v>-1.3299999999999999E-2</v>
      </c>
      <c r="DU195" s="231">
        <v>2800</v>
      </c>
      <c r="DV195" s="231">
        <v>2700</v>
      </c>
      <c r="DW195" s="228">
        <v>1.34</v>
      </c>
      <c r="DX195" s="228">
        <v>0.48</v>
      </c>
      <c r="DY195" s="228">
        <v>0.86</v>
      </c>
      <c r="DZ195" s="229">
        <v>1.7917000000000001</v>
      </c>
      <c r="EA195" s="229">
        <v>3.3000000000000002E-2</v>
      </c>
      <c r="EB195" s="230">
        <v>95800</v>
      </c>
      <c r="EC195" s="229">
        <v>-1.2999999999999999E-3</v>
      </c>
      <c r="ED195" s="229">
        <v>3.3000000000000002E-2</v>
      </c>
      <c r="EE195" s="228">
        <v>-5.57</v>
      </c>
      <c r="EF195" s="229">
        <v>-2.2000000000000001E-3</v>
      </c>
      <c r="EG195" s="230">
        <v>124754</v>
      </c>
      <c r="EH195" s="230">
        <v>190598</v>
      </c>
      <c r="EI195" s="229">
        <v>-0.34549999999999997</v>
      </c>
      <c r="EJ195" s="229">
        <v>0.4642</v>
      </c>
      <c r="EK195" s="228">
        <v>84.78</v>
      </c>
      <c r="EL195" s="228">
        <v>104.62</v>
      </c>
      <c r="EM195" s="228">
        <v>106.37</v>
      </c>
      <c r="EN195" s="228">
        <v>25.02</v>
      </c>
      <c r="EO195" s="228">
        <v>295.77</v>
      </c>
      <c r="EP195" s="228">
        <v>375.73</v>
      </c>
      <c r="EQ195" s="228">
        <v>-79.959999999999994</v>
      </c>
      <c r="ER195" s="229">
        <v>-0.21279999999999999</v>
      </c>
      <c r="ES195" s="228">
        <v>175.2</v>
      </c>
      <c r="ET195" s="228">
        <v>118.91</v>
      </c>
      <c r="EU195" s="228">
        <v>796.76</v>
      </c>
      <c r="EV195" s="231">
        <v>15879795</v>
      </c>
      <c r="EW195" s="231">
        <v>1090.8699999999999</v>
      </c>
      <c r="EX195" s="231">
        <v>1101.26</v>
      </c>
      <c r="EY195" s="228">
        <v>-10.39</v>
      </c>
      <c r="EZ195" s="229">
        <v>-9.4000000000000004E-3</v>
      </c>
      <c r="FA195" s="229">
        <v>0.26529999999999998</v>
      </c>
      <c r="FB195" s="227" t="s">
        <v>568</v>
      </c>
      <c r="FC195">
        <f t="shared" ref="FC195:FC258" si="4">BY259-CC259</f>
        <v>0</v>
      </c>
    </row>
    <row r="196" spans="1:159" ht="17.25" thickBot="1" x14ac:dyDescent="0.3">
      <c r="A196" s="226">
        <v>46093</v>
      </c>
      <c r="B196" s="227" t="s">
        <v>168</v>
      </c>
      <c r="C196" s="227" t="s">
        <v>297</v>
      </c>
      <c r="D196" s="228">
        <v>175</v>
      </c>
      <c r="E196" s="228">
        <v>18</v>
      </c>
      <c r="F196" s="231">
        <v>4145.6000000000004</v>
      </c>
      <c r="G196" s="231">
        <v>4143.6000000000004</v>
      </c>
      <c r="H196" s="228">
        <v>2</v>
      </c>
      <c r="I196" s="229">
        <v>5.0000000000000001E-4</v>
      </c>
      <c r="J196" s="231">
        <v>4129.6000000000004</v>
      </c>
      <c r="K196" s="231">
        <v>4140.3</v>
      </c>
      <c r="L196" s="228">
        <v>-10.7</v>
      </c>
      <c r="M196" s="229">
        <v>-2.5999999999999999E-3</v>
      </c>
      <c r="N196" s="231">
        <v>4145.6000000000004</v>
      </c>
      <c r="O196" s="231">
        <v>4143.6000000000004</v>
      </c>
      <c r="P196" s="228">
        <v>2</v>
      </c>
      <c r="Q196" s="229">
        <v>5.0000000000000001E-4</v>
      </c>
      <c r="R196" s="231">
        <v>4166.8999999999996</v>
      </c>
      <c r="S196" s="231">
        <v>4169.8</v>
      </c>
      <c r="T196" s="228">
        <v>-2.9</v>
      </c>
      <c r="U196" s="229">
        <v>-6.9999999999999999E-4</v>
      </c>
      <c r="V196" s="231">
        <v>4182</v>
      </c>
      <c r="W196" s="231">
        <v>4190</v>
      </c>
      <c r="X196" s="228">
        <v>-8</v>
      </c>
      <c r="Y196" s="229">
        <v>-1.9E-3</v>
      </c>
      <c r="Z196" s="228">
        <v>16</v>
      </c>
      <c r="AA196" s="228">
        <v>3.3</v>
      </c>
      <c r="AB196" s="228">
        <v>12.7</v>
      </c>
      <c r="AC196" s="229">
        <v>3.8999999999999998E-3</v>
      </c>
      <c r="AD196" s="228">
        <v>16</v>
      </c>
      <c r="AE196" s="228">
        <v>3.3</v>
      </c>
      <c r="AF196" s="228">
        <v>12.7</v>
      </c>
      <c r="AG196" s="229">
        <v>3.8999999999999998E-3</v>
      </c>
      <c r="AH196" s="228">
        <v>37.299999999999997</v>
      </c>
      <c r="AI196" s="228">
        <v>29.5</v>
      </c>
      <c r="AJ196" s="228">
        <v>7.8</v>
      </c>
      <c r="AK196" s="229">
        <v>8.9999999999999993E-3</v>
      </c>
      <c r="AL196" s="228">
        <v>52.4</v>
      </c>
      <c r="AM196" s="228">
        <v>49.7</v>
      </c>
      <c r="AN196" s="228">
        <v>2.7</v>
      </c>
      <c r="AO196" s="229">
        <v>1.2699999999999999E-2</v>
      </c>
      <c r="AP196" s="231">
        <v>4114.83</v>
      </c>
      <c r="AQ196" s="231">
        <v>4131.74</v>
      </c>
      <c r="AR196" s="228">
        <v>0</v>
      </c>
      <c r="AS196" s="228">
        <v>514</v>
      </c>
      <c r="AT196" s="228">
        <v>301</v>
      </c>
      <c r="AU196" s="228">
        <v>214</v>
      </c>
      <c r="AV196" s="229">
        <v>0.7107</v>
      </c>
      <c r="AW196" s="228">
        <v>480</v>
      </c>
      <c r="AX196" s="228">
        <v>284</v>
      </c>
      <c r="AY196" s="228">
        <v>196</v>
      </c>
      <c r="AZ196" s="229">
        <v>0.69140000000000001</v>
      </c>
      <c r="BA196" s="228">
        <v>33</v>
      </c>
      <c r="BB196" s="228">
        <v>16</v>
      </c>
      <c r="BC196" s="228">
        <v>17</v>
      </c>
      <c r="BD196" s="229">
        <v>1.0314000000000001</v>
      </c>
      <c r="BE196" s="228">
        <v>2</v>
      </c>
      <c r="BF196" s="228">
        <v>1</v>
      </c>
      <c r="BG196" s="228">
        <v>1</v>
      </c>
      <c r="BH196" s="229">
        <v>1</v>
      </c>
      <c r="BI196" s="230">
        <v>1626</v>
      </c>
      <c r="BJ196" s="228">
        <v>683</v>
      </c>
      <c r="BK196" s="228">
        <v>943</v>
      </c>
      <c r="BL196" s="229">
        <v>1.3804000000000001</v>
      </c>
      <c r="BM196" s="230">
        <v>1031</v>
      </c>
      <c r="BN196" s="228">
        <v>633</v>
      </c>
      <c r="BO196" s="228">
        <v>397</v>
      </c>
      <c r="BP196" s="229">
        <v>0.62729999999999997</v>
      </c>
      <c r="BQ196" s="230">
        <v>3171</v>
      </c>
      <c r="BR196" s="230">
        <v>1617</v>
      </c>
      <c r="BS196" s="230">
        <v>1554</v>
      </c>
      <c r="BT196" s="229">
        <v>0.96089999999999998</v>
      </c>
      <c r="BU196" s="230">
        <v>1107862</v>
      </c>
      <c r="BV196" s="230">
        <v>464727</v>
      </c>
      <c r="BW196" s="230">
        <v>643135</v>
      </c>
      <c r="BX196" s="229">
        <v>1.3838999999999999</v>
      </c>
      <c r="BY196" s="230">
        <v>4068</v>
      </c>
      <c r="BZ196" s="230">
        <v>4065</v>
      </c>
      <c r="CA196" s="228">
        <v>3</v>
      </c>
      <c r="CB196" s="229">
        <v>6.9999999999999999E-4</v>
      </c>
      <c r="CC196" s="230">
        <v>3964</v>
      </c>
      <c r="CD196" s="230">
        <v>3969</v>
      </c>
      <c r="CE196" s="228">
        <v>-5</v>
      </c>
      <c r="CF196" s="229">
        <v>-1.4E-3</v>
      </c>
      <c r="CG196" s="228">
        <v>94</v>
      </c>
      <c r="CH196" s="228">
        <v>87</v>
      </c>
      <c r="CI196" s="228">
        <v>7</v>
      </c>
      <c r="CJ196" s="229">
        <v>8.6199999999999999E-2</v>
      </c>
      <c r="CK196" s="228">
        <v>10</v>
      </c>
      <c r="CL196" s="228">
        <v>9</v>
      </c>
      <c r="CM196" s="228">
        <v>1</v>
      </c>
      <c r="CN196" s="229">
        <v>8.7999999999999995E-2</v>
      </c>
      <c r="CO196" s="230">
        <v>1269</v>
      </c>
      <c r="CP196" s="230">
        <v>1116</v>
      </c>
      <c r="CQ196" s="228">
        <v>152</v>
      </c>
      <c r="CR196" s="229">
        <v>0.13650000000000001</v>
      </c>
      <c r="CS196" s="228">
        <v>578</v>
      </c>
      <c r="CT196" s="228">
        <v>557</v>
      </c>
      <c r="CU196" s="228">
        <v>21</v>
      </c>
      <c r="CV196" s="229">
        <v>3.7699999999999997E-2</v>
      </c>
      <c r="CW196" s="230">
        <v>5914</v>
      </c>
      <c r="CX196" s="230">
        <v>5738</v>
      </c>
      <c r="CY196" s="228">
        <v>176</v>
      </c>
      <c r="CZ196" s="229">
        <v>3.0700000000000002E-2</v>
      </c>
      <c r="DA196" s="228">
        <v>25.76</v>
      </c>
      <c r="DB196" s="228">
        <v>26.41</v>
      </c>
      <c r="DC196" s="228">
        <v>-0.65</v>
      </c>
      <c r="DD196" s="228">
        <v>-0.65</v>
      </c>
      <c r="DE196" s="228">
        <v>24.5</v>
      </c>
      <c r="DF196" s="228">
        <v>24.56</v>
      </c>
      <c r="DG196" s="228">
        <v>1.26</v>
      </c>
      <c r="DH196" s="228">
        <v>-0.06</v>
      </c>
      <c r="DI196" s="228">
        <v>25.07</v>
      </c>
      <c r="DJ196" s="228">
        <v>25.5</v>
      </c>
      <c r="DK196" s="228">
        <v>-0.43</v>
      </c>
      <c r="DL196" s="228">
        <v>-0.43</v>
      </c>
      <c r="DM196" s="228">
        <v>26.86</v>
      </c>
      <c r="DN196" s="228">
        <v>27.39</v>
      </c>
      <c r="DO196" s="228">
        <v>-0.53</v>
      </c>
      <c r="DP196" s="228">
        <v>-0.53</v>
      </c>
      <c r="DQ196" s="228">
        <v>0.46</v>
      </c>
      <c r="DR196" s="228">
        <v>0.5</v>
      </c>
      <c r="DS196" s="228">
        <v>-0.04</v>
      </c>
      <c r="DT196" s="229">
        <v>-0.08</v>
      </c>
      <c r="DU196" s="231">
        <v>4760</v>
      </c>
      <c r="DV196" s="231">
        <v>4000</v>
      </c>
      <c r="DW196" s="228">
        <v>0.63</v>
      </c>
      <c r="DX196" s="228">
        <v>0.93</v>
      </c>
      <c r="DY196" s="228">
        <v>-0.3</v>
      </c>
      <c r="DZ196" s="229">
        <v>-0.3226</v>
      </c>
      <c r="EA196" s="229">
        <v>2.5600000000000001E-2</v>
      </c>
      <c r="EB196" s="230">
        <v>231000</v>
      </c>
      <c r="EC196" s="229">
        <v>5.1000000000000004E-3</v>
      </c>
      <c r="ED196" s="229">
        <v>2.5600000000000001E-2</v>
      </c>
      <c r="EE196" s="228">
        <v>16.91</v>
      </c>
      <c r="EF196" s="229">
        <v>4.1000000000000003E-3</v>
      </c>
      <c r="EG196" s="230">
        <v>569790</v>
      </c>
      <c r="EH196" s="230">
        <v>258938</v>
      </c>
      <c r="EI196" s="229">
        <v>1.2004999999999999</v>
      </c>
      <c r="EJ196" s="229">
        <v>0.51429999999999998</v>
      </c>
      <c r="EK196" s="231">
        <v>1690.81</v>
      </c>
      <c r="EL196" s="231">
        <v>1024.29</v>
      </c>
      <c r="EM196" s="228">
        <v>510.77</v>
      </c>
      <c r="EN196" s="228">
        <v>46.84</v>
      </c>
      <c r="EO196" s="231">
        <v>3225.87</v>
      </c>
      <c r="EP196" s="231">
        <v>1656.31</v>
      </c>
      <c r="EQ196" s="231">
        <v>1569.56</v>
      </c>
      <c r="ER196" s="229">
        <v>0.9476</v>
      </c>
      <c r="ES196" s="231">
        <v>1348.08</v>
      </c>
      <c r="ET196" s="228">
        <v>570.44000000000005</v>
      </c>
      <c r="EU196" s="231">
        <v>4068.26</v>
      </c>
      <c r="EV196" s="231">
        <v>45680146</v>
      </c>
      <c r="EW196" s="231">
        <v>5986.79</v>
      </c>
      <c r="EX196" s="231">
        <v>5809.03</v>
      </c>
      <c r="EY196" s="228">
        <v>177.76</v>
      </c>
      <c r="EZ196" s="229">
        <v>3.0599999999999999E-2</v>
      </c>
      <c r="FA196" s="229">
        <v>0.31230000000000002</v>
      </c>
      <c r="FB196" s="227" t="s">
        <v>555</v>
      </c>
      <c r="FC196">
        <f t="shared" si="4"/>
        <v>0</v>
      </c>
    </row>
    <row r="197" spans="1:159" ht="17.25" thickBot="1" x14ac:dyDescent="0.3">
      <c r="A197" s="226">
        <v>46093</v>
      </c>
      <c r="B197" s="227" t="s">
        <v>162</v>
      </c>
      <c r="C197" s="227" t="s">
        <v>688</v>
      </c>
      <c r="D197" s="228">
        <v>800</v>
      </c>
      <c r="E197" s="228">
        <v>18</v>
      </c>
      <c r="F197" s="228">
        <v>325.45</v>
      </c>
      <c r="G197" s="228">
        <v>336.25</v>
      </c>
      <c r="H197" s="228">
        <v>-10.8</v>
      </c>
      <c r="I197" s="229">
        <v>-3.2099999999999997E-2</v>
      </c>
      <c r="J197" s="228">
        <v>324.55</v>
      </c>
      <c r="K197" s="228">
        <v>335.35</v>
      </c>
      <c r="L197" s="228">
        <v>-10.8</v>
      </c>
      <c r="M197" s="229">
        <v>-3.2199999999999999E-2</v>
      </c>
      <c r="N197" s="228">
        <v>325.45</v>
      </c>
      <c r="O197" s="228">
        <v>336.25</v>
      </c>
      <c r="P197" s="228">
        <v>-10.8</v>
      </c>
      <c r="Q197" s="229">
        <v>-3.2099999999999997E-2</v>
      </c>
      <c r="R197" s="228">
        <v>327.39999999999998</v>
      </c>
      <c r="S197" s="228">
        <v>338.55</v>
      </c>
      <c r="T197" s="228">
        <v>-11.15</v>
      </c>
      <c r="U197" s="229">
        <v>-3.2899999999999999E-2</v>
      </c>
      <c r="V197" s="228">
        <v>329.6</v>
      </c>
      <c r="W197" s="228">
        <v>340.7</v>
      </c>
      <c r="X197" s="228">
        <v>-11.1</v>
      </c>
      <c r="Y197" s="229">
        <v>-3.2599999999999997E-2</v>
      </c>
      <c r="Z197" s="228">
        <v>0.9</v>
      </c>
      <c r="AA197" s="228">
        <v>0.9</v>
      </c>
      <c r="AB197" s="228">
        <v>0</v>
      </c>
      <c r="AC197" s="229">
        <v>2.8E-3</v>
      </c>
      <c r="AD197" s="228">
        <v>0.9</v>
      </c>
      <c r="AE197" s="228">
        <v>0.9</v>
      </c>
      <c r="AF197" s="228">
        <v>0</v>
      </c>
      <c r="AG197" s="229">
        <v>2.8E-3</v>
      </c>
      <c r="AH197" s="228">
        <v>2.85</v>
      </c>
      <c r="AI197" s="228">
        <v>3.2</v>
      </c>
      <c r="AJ197" s="228">
        <v>-0.35</v>
      </c>
      <c r="AK197" s="229">
        <v>8.8000000000000005E-3</v>
      </c>
      <c r="AL197" s="228">
        <v>5.05</v>
      </c>
      <c r="AM197" s="228">
        <v>5.35</v>
      </c>
      <c r="AN197" s="228">
        <v>-0.3</v>
      </c>
      <c r="AO197" s="229">
        <v>1.5599999999999999E-2</v>
      </c>
      <c r="AP197" s="228">
        <v>327.02</v>
      </c>
      <c r="AQ197" s="228">
        <v>329.1</v>
      </c>
      <c r="AR197" s="228">
        <v>0</v>
      </c>
      <c r="AS197" s="228">
        <v>473</v>
      </c>
      <c r="AT197" s="228">
        <v>276</v>
      </c>
      <c r="AU197" s="228">
        <v>197</v>
      </c>
      <c r="AV197" s="229">
        <v>0.71109999999999995</v>
      </c>
      <c r="AW197" s="228">
        <v>368</v>
      </c>
      <c r="AX197" s="228">
        <v>222</v>
      </c>
      <c r="AY197" s="228">
        <v>146</v>
      </c>
      <c r="AZ197" s="229">
        <v>0.65600000000000003</v>
      </c>
      <c r="BA197" s="228">
        <v>84</v>
      </c>
      <c r="BB197" s="228">
        <v>42</v>
      </c>
      <c r="BC197" s="228">
        <v>42</v>
      </c>
      <c r="BD197" s="229">
        <v>1.0056</v>
      </c>
      <c r="BE197" s="228">
        <v>21</v>
      </c>
      <c r="BF197" s="228">
        <v>12</v>
      </c>
      <c r="BG197" s="228">
        <v>9</v>
      </c>
      <c r="BH197" s="229">
        <v>0.70920000000000005</v>
      </c>
      <c r="BI197" s="230">
        <v>1328</v>
      </c>
      <c r="BJ197" s="228">
        <v>917</v>
      </c>
      <c r="BK197" s="228">
        <v>411</v>
      </c>
      <c r="BL197" s="229">
        <v>0.4481</v>
      </c>
      <c r="BM197" s="228">
        <v>927</v>
      </c>
      <c r="BN197" s="228">
        <v>539</v>
      </c>
      <c r="BO197" s="228">
        <v>388</v>
      </c>
      <c r="BP197" s="229">
        <v>0.7198</v>
      </c>
      <c r="BQ197" s="230">
        <v>2728</v>
      </c>
      <c r="BR197" s="230">
        <v>1733</v>
      </c>
      <c r="BS197" s="228">
        <v>995</v>
      </c>
      <c r="BT197" s="229">
        <v>0.5746</v>
      </c>
      <c r="BU197" s="230">
        <v>9707654</v>
      </c>
      <c r="BV197" s="230">
        <v>5949596</v>
      </c>
      <c r="BW197" s="230">
        <v>3758058</v>
      </c>
      <c r="BX197" s="229">
        <v>0.63160000000000005</v>
      </c>
      <c r="BY197" s="230">
        <v>2350</v>
      </c>
      <c r="BZ197" s="230">
        <v>2359</v>
      </c>
      <c r="CA197" s="228">
        <v>-9</v>
      </c>
      <c r="CB197" s="229">
        <v>-4.0000000000000001E-3</v>
      </c>
      <c r="CC197" s="230">
        <v>2149</v>
      </c>
      <c r="CD197" s="230">
        <v>2177</v>
      </c>
      <c r="CE197" s="228">
        <v>-28</v>
      </c>
      <c r="CF197" s="229">
        <v>-1.3100000000000001E-2</v>
      </c>
      <c r="CG197" s="228">
        <v>159</v>
      </c>
      <c r="CH197" s="228">
        <v>145</v>
      </c>
      <c r="CI197" s="228">
        <v>14</v>
      </c>
      <c r="CJ197" s="229">
        <v>9.5200000000000007E-2</v>
      </c>
      <c r="CK197" s="228">
        <v>43</v>
      </c>
      <c r="CL197" s="228">
        <v>37</v>
      </c>
      <c r="CM197" s="228">
        <v>5</v>
      </c>
      <c r="CN197" s="229">
        <v>0.14169999999999999</v>
      </c>
      <c r="CO197" s="230">
        <v>1730</v>
      </c>
      <c r="CP197" s="230">
        <v>1590</v>
      </c>
      <c r="CQ197" s="228">
        <v>140</v>
      </c>
      <c r="CR197" s="229">
        <v>8.7800000000000003E-2</v>
      </c>
      <c r="CS197" s="228">
        <v>854</v>
      </c>
      <c r="CT197" s="228">
        <v>850</v>
      </c>
      <c r="CU197" s="228">
        <v>4</v>
      </c>
      <c r="CV197" s="229">
        <v>4.3E-3</v>
      </c>
      <c r="CW197" s="230">
        <v>4933</v>
      </c>
      <c r="CX197" s="230">
        <v>4799</v>
      </c>
      <c r="CY197" s="228">
        <v>134</v>
      </c>
      <c r="CZ197" s="229">
        <v>2.7900000000000001E-2</v>
      </c>
      <c r="DA197" s="228">
        <v>41.17</v>
      </c>
      <c r="DB197" s="228">
        <v>38.76</v>
      </c>
      <c r="DC197" s="228">
        <v>2.41</v>
      </c>
      <c r="DD197" s="228">
        <v>2.41</v>
      </c>
      <c r="DE197" s="228">
        <v>35.49</v>
      </c>
      <c r="DF197" s="228">
        <v>35.31</v>
      </c>
      <c r="DG197" s="228">
        <v>5.68</v>
      </c>
      <c r="DH197" s="228">
        <v>0.18</v>
      </c>
      <c r="DI197" s="228">
        <v>40.61</v>
      </c>
      <c r="DJ197" s="228">
        <v>38.299999999999997</v>
      </c>
      <c r="DK197" s="228">
        <v>2.31</v>
      </c>
      <c r="DL197" s="228">
        <v>2.31</v>
      </c>
      <c r="DM197" s="228">
        <v>41.96</v>
      </c>
      <c r="DN197" s="228">
        <v>39.54</v>
      </c>
      <c r="DO197" s="228">
        <v>2.42</v>
      </c>
      <c r="DP197" s="228">
        <v>2.42</v>
      </c>
      <c r="DQ197" s="228">
        <v>0.49</v>
      </c>
      <c r="DR197" s="228">
        <v>0.53</v>
      </c>
      <c r="DS197" s="228">
        <v>-0.04</v>
      </c>
      <c r="DT197" s="229">
        <v>-7.5499999999999998E-2</v>
      </c>
      <c r="DU197" s="228">
        <v>400</v>
      </c>
      <c r="DV197" s="228">
        <v>290</v>
      </c>
      <c r="DW197" s="228">
        <v>0.7</v>
      </c>
      <c r="DX197" s="228">
        <v>0.59</v>
      </c>
      <c r="DY197" s="228">
        <v>0.11</v>
      </c>
      <c r="DZ197" s="229">
        <v>0.18640000000000001</v>
      </c>
      <c r="EA197" s="229">
        <v>8.5699999999999998E-2</v>
      </c>
      <c r="EB197" s="230">
        <v>5598400</v>
      </c>
      <c r="EC197" s="229">
        <v>6.0000000000000001E-3</v>
      </c>
      <c r="ED197" s="229">
        <v>8.5699999999999998E-2</v>
      </c>
      <c r="EE197" s="228">
        <v>2.08</v>
      </c>
      <c r="EF197" s="229">
        <v>6.4000000000000003E-3</v>
      </c>
      <c r="EG197" s="230">
        <v>4003939</v>
      </c>
      <c r="EH197" s="230">
        <v>2658610</v>
      </c>
      <c r="EI197" s="229">
        <v>0.50600000000000001</v>
      </c>
      <c r="EJ197" s="229">
        <v>0.41249999999999998</v>
      </c>
      <c r="EK197" s="231">
        <v>1461.8</v>
      </c>
      <c r="EL197" s="228">
        <v>931.65</v>
      </c>
      <c r="EM197" s="228">
        <v>475.96</v>
      </c>
      <c r="EN197" s="228">
        <v>165.04</v>
      </c>
      <c r="EO197" s="231">
        <v>2869.42</v>
      </c>
      <c r="EP197" s="231">
        <v>1896.15</v>
      </c>
      <c r="EQ197" s="228">
        <v>973.27</v>
      </c>
      <c r="ER197" s="229">
        <v>0.51329999999999998</v>
      </c>
      <c r="ES197" s="231">
        <v>2029.72</v>
      </c>
      <c r="ET197" s="228">
        <v>913.17</v>
      </c>
      <c r="EU197" s="231">
        <v>2351.4299999999998</v>
      </c>
      <c r="EV197" s="231">
        <v>317235726</v>
      </c>
      <c r="EW197" s="231">
        <v>5294.32</v>
      </c>
      <c r="EX197" s="231">
        <v>5239.63</v>
      </c>
      <c r="EY197" s="228">
        <v>54.69</v>
      </c>
      <c r="EZ197" s="229">
        <v>1.04E-2</v>
      </c>
      <c r="FA197" s="229">
        <v>0.4778</v>
      </c>
      <c r="FB197" s="227" t="s">
        <v>568</v>
      </c>
      <c r="FC197">
        <f t="shared" si="4"/>
        <v>0</v>
      </c>
    </row>
    <row r="198" spans="1:159" ht="17.25" thickBot="1" x14ac:dyDescent="0.3">
      <c r="A198" s="226">
        <v>46093</v>
      </c>
      <c r="B198" s="227" t="s">
        <v>170</v>
      </c>
      <c r="C198" s="227" t="s">
        <v>298</v>
      </c>
      <c r="D198" s="228">
        <v>250</v>
      </c>
      <c r="E198" s="228">
        <v>18</v>
      </c>
      <c r="F198" s="231">
        <v>4442.8</v>
      </c>
      <c r="G198" s="231">
        <v>4438.7</v>
      </c>
      <c r="H198" s="228">
        <v>4.0999999999999996</v>
      </c>
      <c r="I198" s="229">
        <v>8.9999999999999998E-4</v>
      </c>
      <c r="J198" s="231">
        <v>4446</v>
      </c>
      <c r="K198" s="231">
        <v>4431.2</v>
      </c>
      <c r="L198" s="228">
        <v>14.8</v>
      </c>
      <c r="M198" s="229">
        <v>3.3E-3</v>
      </c>
      <c r="N198" s="231">
        <v>4442.8</v>
      </c>
      <c r="O198" s="231">
        <v>4438.7</v>
      </c>
      <c r="P198" s="228">
        <v>4.0999999999999996</v>
      </c>
      <c r="Q198" s="229">
        <v>8.9999999999999998E-4</v>
      </c>
      <c r="R198" s="231">
        <v>4445</v>
      </c>
      <c r="S198" s="231">
        <v>4439.2</v>
      </c>
      <c r="T198" s="228">
        <v>5.8</v>
      </c>
      <c r="U198" s="229">
        <v>1.2999999999999999E-3</v>
      </c>
      <c r="V198" s="231">
        <v>4454.7</v>
      </c>
      <c r="W198" s="231">
        <v>4466</v>
      </c>
      <c r="X198" s="228">
        <v>-11.3</v>
      </c>
      <c r="Y198" s="229">
        <v>-2.5000000000000001E-3</v>
      </c>
      <c r="Z198" s="228">
        <v>-3.2</v>
      </c>
      <c r="AA198" s="228">
        <v>7.5</v>
      </c>
      <c r="AB198" s="228">
        <v>-10.7</v>
      </c>
      <c r="AC198" s="229">
        <v>-6.9999999999999999E-4</v>
      </c>
      <c r="AD198" s="228">
        <v>-3.2</v>
      </c>
      <c r="AE198" s="228">
        <v>7.5</v>
      </c>
      <c r="AF198" s="228">
        <v>-10.7</v>
      </c>
      <c r="AG198" s="229">
        <v>-6.9999999999999999E-4</v>
      </c>
      <c r="AH198" s="228">
        <v>-1</v>
      </c>
      <c r="AI198" s="228">
        <v>8</v>
      </c>
      <c r="AJ198" s="228">
        <v>-9</v>
      </c>
      <c r="AK198" s="229">
        <v>-2.0000000000000001E-4</v>
      </c>
      <c r="AL198" s="228">
        <v>8.6999999999999993</v>
      </c>
      <c r="AM198" s="228">
        <v>34.799999999999997</v>
      </c>
      <c r="AN198" s="228">
        <v>-26.1</v>
      </c>
      <c r="AO198" s="229">
        <v>2E-3</v>
      </c>
      <c r="AP198" s="231">
        <v>4432.5600000000004</v>
      </c>
      <c r="AQ198" s="231">
        <v>4443.3900000000003</v>
      </c>
      <c r="AR198" s="228">
        <v>0</v>
      </c>
      <c r="AS198" s="228">
        <v>168</v>
      </c>
      <c r="AT198" s="228">
        <v>192</v>
      </c>
      <c r="AU198" s="228">
        <v>-24</v>
      </c>
      <c r="AV198" s="229">
        <v>-0.1234</v>
      </c>
      <c r="AW198" s="228">
        <v>163</v>
      </c>
      <c r="AX198" s="228">
        <v>186</v>
      </c>
      <c r="AY198" s="228">
        <v>-23</v>
      </c>
      <c r="AZ198" s="229">
        <v>-0.1239</v>
      </c>
      <c r="BA198" s="228">
        <v>5</v>
      </c>
      <c r="BB198" s="228">
        <v>6</v>
      </c>
      <c r="BC198" s="228">
        <v>-1</v>
      </c>
      <c r="BD198" s="229">
        <v>-9.8000000000000004E-2</v>
      </c>
      <c r="BE198" s="228">
        <v>0</v>
      </c>
      <c r="BF198" s="228">
        <v>0</v>
      </c>
      <c r="BG198" s="228">
        <v>0</v>
      </c>
      <c r="BH198" s="229">
        <v>-0.25</v>
      </c>
      <c r="BI198" s="228">
        <v>396</v>
      </c>
      <c r="BJ198" s="228">
        <v>368</v>
      </c>
      <c r="BK198" s="228">
        <v>28</v>
      </c>
      <c r="BL198" s="229">
        <v>7.5999999999999998E-2</v>
      </c>
      <c r="BM198" s="228">
        <v>147</v>
      </c>
      <c r="BN198" s="228">
        <v>140</v>
      </c>
      <c r="BO198" s="228">
        <v>7</v>
      </c>
      <c r="BP198" s="229">
        <v>5.0999999999999997E-2</v>
      </c>
      <c r="BQ198" s="228">
        <v>711</v>
      </c>
      <c r="BR198" s="228">
        <v>700</v>
      </c>
      <c r="BS198" s="228">
        <v>11</v>
      </c>
      <c r="BT198" s="229">
        <v>1.6400000000000001E-2</v>
      </c>
      <c r="BU198" s="230">
        <v>325369</v>
      </c>
      <c r="BV198" s="230">
        <v>325752</v>
      </c>
      <c r="BW198" s="228">
        <v>-383</v>
      </c>
      <c r="BX198" s="229">
        <v>-1.1999999999999999E-3</v>
      </c>
      <c r="BY198" s="230">
        <v>1219</v>
      </c>
      <c r="BZ198" s="230">
        <v>1227</v>
      </c>
      <c r="CA198" s="228">
        <v>-8</v>
      </c>
      <c r="CB198" s="229">
        <v>-6.6E-3</v>
      </c>
      <c r="CC198" s="230">
        <v>1198</v>
      </c>
      <c r="CD198" s="230">
        <v>1207</v>
      </c>
      <c r="CE198" s="228">
        <v>-9</v>
      </c>
      <c r="CF198" s="229">
        <v>-7.4000000000000003E-3</v>
      </c>
      <c r="CG198" s="228">
        <v>20</v>
      </c>
      <c r="CH198" s="228">
        <v>20</v>
      </c>
      <c r="CI198" s="228">
        <v>1</v>
      </c>
      <c r="CJ198" s="229">
        <v>3.39E-2</v>
      </c>
      <c r="CK198" s="228">
        <v>1</v>
      </c>
      <c r="CL198" s="228">
        <v>1</v>
      </c>
      <c r="CM198" s="228">
        <v>0</v>
      </c>
      <c r="CN198" s="229">
        <v>0.1429</v>
      </c>
      <c r="CO198" s="228">
        <v>369</v>
      </c>
      <c r="CP198" s="228">
        <v>333</v>
      </c>
      <c r="CQ198" s="228">
        <v>36</v>
      </c>
      <c r="CR198" s="229">
        <v>0.10879999999999999</v>
      </c>
      <c r="CS198" s="228">
        <v>304</v>
      </c>
      <c r="CT198" s="228">
        <v>301</v>
      </c>
      <c r="CU198" s="228">
        <v>3</v>
      </c>
      <c r="CV198" s="229">
        <v>1.0699999999999999E-2</v>
      </c>
      <c r="CW198" s="230">
        <v>1892</v>
      </c>
      <c r="CX198" s="230">
        <v>1861</v>
      </c>
      <c r="CY198" s="228">
        <v>31</v>
      </c>
      <c r="CZ198" s="229">
        <v>1.6799999999999999E-2</v>
      </c>
      <c r="DA198" s="228">
        <v>23.9</v>
      </c>
      <c r="DB198" s="228">
        <v>24.3</v>
      </c>
      <c r="DC198" s="228">
        <v>-0.4</v>
      </c>
      <c r="DD198" s="228">
        <v>-0.4</v>
      </c>
      <c r="DE198" s="228">
        <v>25.21</v>
      </c>
      <c r="DF198" s="228">
        <v>25.27</v>
      </c>
      <c r="DG198" s="228">
        <v>-1.31</v>
      </c>
      <c r="DH198" s="228">
        <v>-0.06</v>
      </c>
      <c r="DI198" s="228">
        <v>23.24</v>
      </c>
      <c r="DJ198" s="228">
        <v>23.74</v>
      </c>
      <c r="DK198" s="228">
        <v>-0.5</v>
      </c>
      <c r="DL198" s="228">
        <v>-0.5</v>
      </c>
      <c r="DM198" s="228">
        <v>25.68</v>
      </c>
      <c r="DN198" s="228">
        <v>25.76</v>
      </c>
      <c r="DO198" s="228">
        <v>-0.08</v>
      </c>
      <c r="DP198" s="228">
        <v>-0.08</v>
      </c>
      <c r="DQ198" s="228">
        <v>0.82</v>
      </c>
      <c r="DR198" s="228">
        <v>0.9</v>
      </c>
      <c r="DS198" s="228">
        <v>-0.08</v>
      </c>
      <c r="DT198" s="229">
        <v>-8.8900000000000007E-2</v>
      </c>
      <c r="DU198" s="231">
        <v>4700</v>
      </c>
      <c r="DV198" s="231">
        <v>4200</v>
      </c>
      <c r="DW198" s="228">
        <v>0.37</v>
      </c>
      <c r="DX198" s="228">
        <v>0.38</v>
      </c>
      <c r="DY198" s="228">
        <v>-0.01</v>
      </c>
      <c r="DZ198" s="229">
        <v>-2.63E-2</v>
      </c>
      <c r="EA198" s="229">
        <v>1.7399999999999999E-2</v>
      </c>
      <c r="EB198" s="230">
        <v>46000</v>
      </c>
      <c r="EC198" s="229">
        <v>5.0000000000000001E-4</v>
      </c>
      <c r="ED198" s="229">
        <v>1.7399999999999999E-2</v>
      </c>
      <c r="EE198" s="228">
        <v>10.83</v>
      </c>
      <c r="EF198" s="229">
        <v>2.3999999999999998E-3</v>
      </c>
      <c r="EG198" s="230">
        <v>170961</v>
      </c>
      <c r="EH198" s="230">
        <v>187820</v>
      </c>
      <c r="EI198" s="229">
        <v>-8.9800000000000005E-2</v>
      </c>
      <c r="EJ198" s="229">
        <v>0.52539999999999998</v>
      </c>
      <c r="EK198" s="228">
        <v>410.76</v>
      </c>
      <c r="EL198" s="228">
        <v>144.78</v>
      </c>
      <c r="EM198" s="228">
        <v>167.68</v>
      </c>
      <c r="EN198" s="228">
        <v>19.86</v>
      </c>
      <c r="EO198" s="228">
        <v>723.22</v>
      </c>
      <c r="EP198" s="228">
        <v>708.96</v>
      </c>
      <c r="EQ198" s="228">
        <v>14.26</v>
      </c>
      <c r="ER198" s="229">
        <v>2.01E-2</v>
      </c>
      <c r="ES198" s="228">
        <v>374.3</v>
      </c>
      <c r="ET198" s="228">
        <v>286.83999999999997</v>
      </c>
      <c r="EU198" s="231">
        <v>1219.23</v>
      </c>
      <c r="EV198" s="231">
        <v>10726004</v>
      </c>
      <c r="EW198" s="231">
        <v>1880.37</v>
      </c>
      <c r="EX198" s="231">
        <v>1845.83</v>
      </c>
      <c r="EY198" s="228">
        <v>34.54</v>
      </c>
      <c r="EZ198" s="229">
        <v>1.8700000000000001E-2</v>
      </c>
      <c r="FA198" s="229">
        <v>0.39700000000000002</v>
      </c>
      <c r="FB198" s="227" t="s">
        <v>556</v>
      </c>
      <c r="FC198">
        <f t="shared" si="4"/>
        <v>0</v>
      </c>
    </row>
    <row r="199" spans="1:159" ht="17.25" thickBot="1" x14ac:dyDescent="0.3">
      <c r="A199" s="226">
        <v>46093</v>
      </c>
      <c r="B199" s="227" t="s">
        <v>161</v>
      </c>
      <c r="C199" s="227" t="s">
        <v>299</v>
      </c>
      <c r="D199" s="228">
        <v>425</v>
      </c>
      <c r="E199" s="228">
        <v>18</v>
      </c>
      <c r="F199" s="231">
        <v>1503.2</v>
      </c>
      <c r="G199" s="231">
        <v>1443.3</v>
      </c>
      <c r="H199" s="228">
        <v>59.9</v>
      </c>
      <c r="I199" s="229">
        <v>4.1500000000000002E-2</v>
      </c>
      <c r="J199" s="231">
        <v>1506</v>
      </c>
      <c r="K199" s="231">
        <v>1439</v>
      </c>
      <c r="L199" s="228">
        <v>67</v>
      </c>
      <c r="M199" s="229">
        <v>4.6600000000000003E-2</v>
      </c>
      <c r="N199" s="231">
        <v>1503.2</v>
      </c>
      <c r="O199" s="231">
        <v>1443.3</v>
      </c>
      <c r="P199" s="228">
        <v>59.9</v>
      </c>
      <c r="Q199" s="229">
        <v>4.1500000000000002E-2</v>
      </c>
      <c r="R199" s="231">
        <v>1500.2</v>
      </c>
      <c r="S199" s="231">
        <v>1442.4</v>
      </c>
      <c r="T199" s="228">
        <v>57.8</v>
      </c>
      <c r="U199" s="229">
        <v>4.0099999999999997E-2</v>
      </c>
      <c r="V199" s="228">
        <v>0</v>
      </c>
      <c r="W199" s="228">
        <v>0</v>
      </c>
      <c r="X199" s="228">
        <v>0</v>
      </c>
      <c r="Y199" s="229">
        <v>0</v>
      </c>
      <c r="Z199" s="228">
        <v>-2.8</v>
      </c>
      <c r="AA199" s="228">
        <v>4.3</v>
      </c>
      <c r="AB199" s="228">
        <v>-7.1</v>
      </c>
      <c r="AC199" s="229">
        <v>-1.9E-3</v>
      </c>
      <c r="AD199" s="228">
        <v>-2.8</v>
      </c>
      <c r="AE199" s="228">
        <v>4.3</v>
      </c>
      <c r="AF199" s="228">
        <v>-7.1</v>
      </c>
      <c r="AG199" s="229">
        <v>-1.9E-3</v>
      </c>
      <c r="AH199" s="228">
        <v>-5.8</v>
      </c>
      <c r="AI199" s="228">
        <v>3.4</v>
      </c>
      <c r="AJ199" s="228">
        <v>-9.1999999999999993</v>
      </c>
      <c r="AK199" s="229">
        <v>-3.8999999999999998E-3</v>
      </c>
      <c r="AL199" s="228">
        <v>0</v>
      </c>
      <c r="AM199" s="228">
        <v>0</v>
      </c>
      <c r="AN199" s="228">
        <v>0</v>
      </c>
      <c r="AO199" s="229">
        <v>0</v>
      </c>
      <c r="AP199" s="231">
        <v>1495.28</v>
      </c>
      <c r="AQ199" s="231">
        <v>1492.89</v>
      </c>
      <c r="AR199" s="228">
        <v>0</v>
      </c>
      <c r="AS199" s="228">
        <v>196</v>
      </c>
      <c r="AT199" s="228">
        <v>92</v>
      </c>
      <c r="AU199" s="228">
        <v>104</v>
      </c>
      <c r="AV199" s="229">
        <v>1.1292</v>
      </c>
      <c r="AW199" s="228">
        <v>188</v>
      </c>
      <c r="AX199" s="228">
        <v>85</v>
      </c>
      <c r="AY199" s="228">
        <v>102</v>
      </c>
      <c r="AZ199" s="229">
        <v>1.1990000000000001</v>
      </c>
      <c r="BA199" s="228">
        <v>8</v>
      </c>
      <c r="BB199" s="228">
        <v>7</v>
      </c>
      <c r="BC199" s="228">
        <v>1</v>
      </c>
      <c r="BD199" s="229">
        <v>0.2233</v>
      </c>
      <c r="BE199" s="228">
        <v>0</v>
      </c>
      <c r="BF199" s="228">
        <v>0</v>
      </c>
      <c r="BG199" s="228">
        <v>0</v>
      </c>
      <c r="BH199" s="229">
        <v>0</v>
      </c>
      <c r="BI199" s="230">
        <v>1149</v>
      </c>
      <c r="BJ199" s="228">
        <v>149</v>
      </c>
      <c r="BK199" s="230">
        <v>1001</v>
      </c>
      <c r="BL199" s="229">
        <v>6.7359</v>
      </c>
      <c r="BM199" s="228">
        <v>268</v>
      </c>
      <c r="BN199" s="228">
        <v>39</v>
      </c>
      <c r="BO199" s="228">
        <v>228</v>
      </c>
      <c r="BP199" s="229">
        <v>5.7892999999999999</v>
      </c>
      <c r="BQ199" s="230">
        <v>1613</v>
      </c>
      <c r="BR199" s="228">
        <v>280</v>
      </c>
      <c r="BS199" s="230">
        <v>1333</v>
      </c>
      <c r="BT199" s="229">
        <v>4.7602000000000002</v>
      </c>
      <c r="BU199" s="230">
        <v>960464</v>
      </c>
      <c r="BV199" s="230">
        <v>292340</v>
      </c>
      <c r="BW199" s="230">
        <v>668124</v>
      </c>
      <c r="BX199" s="229">
        <v>2.2854000000000001</v>
      </c>
      <c r="BY199" s="228">
        <v>549</v>
      </c>
      <c r="BZ199" s="228">
        <v>538</v>
      </c>
      <c r="CA199" s="228">
        <v>12</v>
      </c>
      <c r="CB199" s="229">
        <v>2.1999999999999999E-2</v>
      </c>
      <c r="CC199" s="228">
        <v>527</v>
      </c>
      <c r="CD199" s="228">
        <v>516</v>
      </c>
      <c r="CE199" s="228">
        <v>11</v>
      </c>
      <c r="CF199" s="229">
        <v>2.1000000000000001E-2</v>
      </c>
      <c r="CG199" s="228">
        <v>22</v>
      </c>
      <c r="CH199" s="228">
        <v>21</v>
      </c>
      <c r="CI199" s="228">
        <v>1</v>
      </c>
      <c r="CJ199" s="229">
        <v>4.48E-2</v>
      </c>
      <c r="CK199" s="228">
        <v>0</v>
      </c>
      <c r="CL199" s="228">
        <v>0</v>
      </c>
      <c r="CM199" s="228">
        <v>0</v>
      </c>
      <c r="CN199" s="229">
        <v>0</v>
      </c>
      <c r="CO199" s="228">
        <v>250</v>
      </c>
      <c r="CP199" s="228">
        <v>256</v>
      </c>
      <c r="CQ199" s="228">
        <v>-6</v>
      </c>
      <c r="CR199" s="229">
        <v>-2.2200000000000001E-2</v>
      </c>
      <c r="CS199" s="228">
        <v>156</v>
      </c>
      <c r="CT199" s="228">
        <v>141</v>
      </c>
      <c r="CU199" s="228">
        <v>16</v>
      </c>
      <c r="CV199" s="229">
        <v>0.1104</v>
      </c>
      <c r="CW199" s="228">
        <v>956</v>
      </c>
      <c r="CX199" s="228">
        <v>934</v>
      </c>
      <c r="CY199" s="228">
        <v>22</v>
      </c>
      <c r="CZ199" s="229">
        <v>2.3199999999999998E-2</v>
      </c>
      <c r="DA199" s="228">
        <v>40.590000000000003</v>
      </c>
      <c r="DB199" s="228">
        <v>36.729999999999997</v>
      </c>
      <c r="DC199" s="228">
        <v>3.86</v>
      </c>
      <c r="DD199" s="228">
        <v>3.86</v>
      </c>
      <c r="DE199" s="228">
        <v>41.39</v>
      </c>
      <c r="DF199" s="228">
        <v>41.13</v>
      </c>
      <c r="DG199" s="228">
        <v>-0.8</v>
      </c>
      <c r="DH199" s="228">
        <v>0.26</v>
      </c>
      <c r="DI199" s="228">
        <v>40.35</v>
      </c>
      <c r="DJ199" s="228">
        <v>36.44</v>
      </c>
      <c r="DK199" s="228">
        <v>3.91</v>
      </c>
      <c r="DL199" s="228">
        <v>3.91</v>
      </c>
      <c r="DM199" s="228">
        <v>41.66</v>
      </c>
      <c r="DN199" s="228">
        <v>37.82</v>
      </c>
      <c r="DO199" s="228">
        <v>3.84</v>
      </c>
      <c r="DP199" s="228">
        <v>3.84</v>
      </c>
      <c r="DQ199" s="228">
        <v>0.62</v>
      </c>
      <c r="DR199" s="228">
        <v>0.55000000000000004</v>
      </c>
      <c r="DS199" s="228">
        <v>7.0000000000000007E-2</v>
      </c>
      <c r="DT199" s="229">
        <v>0.1273</v>
      </c>
      <c r="DU199" s="231">
        <v>1500</v>
      </c>
      <c r="DV199" s="231">
        <v>1400</v>
      </c>
      <c r="DW199" s="228">
        <v>0.23</v>
      </c>
      <c r="DX199" s="228">
        <v>0.27</v>
      </c>
      <c r="DY199" s="228">
        <v>-0.04</v>
      </c>
      <c r="DZ199" s="229">
        <v>-0.14810000000000001</v>
      </c>
      <c r="EA199" s="229">
        <v>4.07E-2</v>
      </c>
      <c r="EB199" s="230">
        <v>142375</v>
      </c>
      <c r="EC199" s="229">
        <v>-2E-3</v>
      </c>
      <c r="ED199" s="229">
        <v>4.07E-2</v>
      </c>
      <c r="EE199" s="228">
        <v>-2.39</v>
      </c>
      <c r="EF199" s="229">
        <v>-1.6000000000000001E-3</v>
      </c>
      <c r="EG199" s="230">
        <v>185322</v>
      </c>
      <c r="EH199" s="230">
        <v>137870</v>
      </c>
      <c r="EI199" s="229">
        <v>0.34420000000000001</v>
      </c>
      <c r="EJ199" s="229">
        <v>0.193</v>
      </c>
      <c r="EK199" s="231">
        <v>1210.98</v>
      </c>
      <c r="EL199" s="228">
        <v>261.18</v>
      </c>
      <c r="EM199" s="228">
        <v>194.83</v>
      </c>
      <c r="EN199" s="228">
        <v>22.36</v>
      </c>
      <c r="EO199" s="231">
        <v>1667</v>
      </c>
      <c r="EP199" s="228">
        <v>283.04000000000002</v>
      </c>
      <c r="EQ199" s="231">
        <v>1383.96</v>
      </c>
      <c r="ER199" s="229">
        <v>4.8897000000000004</v>
      </c>
      <c r="ES199" s="228">
        <v>262.55</v>
      </c>
      <c r="ET199" s="228">
        <v>150.15</v>
      </c>
      <c r="EU199" s="228">
        <v>549.44000000000005</v>
      </c>
      <c r="EV199" s="231">
        <v>24646022</v>
      </c>
      <c r="EW199" s="228">
        <v>962.14</v>
      </c>
      <c r="EX199" s="228">
        <v>920.03</v>
      </c>
      <c r="EY199" s="228">
        <v>42.11</v>
      </c>
      <c r="EZ199" s="229">
        <v>4.58E-2</v>
      </c>
      <c r="FA199" s="229">
        <v>0.2581</v>
      </c>
      <c r="FB199" s="227" t="s">
        <v>555</v>
      </c>
      <c r="FC199">
        <f t="shared" si="4"/>
        <v>0</v>
      </c>
    </row>
    <row r="200" spans="1:159" ht="17.25" thickBot="1" x14ac:dyDescent="0.3">
      <c r="A200" s="226">
        <v>46093</v>
      </c>
      <c r="B200" s="227" t="s">
        <v>197</v>
      </c>
      <c r="C200" s="227" t="s">
        <v>482</v>
      </c>
      <c r="D200" s="228">
        <v>100</v>
      </c>
      <c r="E200" s="228">
        <v>18</v>
      </c>
      <c r="F200" s="231">
        <v>3537.1</v>
      </c>
      <c r="G200" s="231">
        <v>3629.3</v>
      </c>
      <c r="H200" s="228">
        <v>-92.2</v>
      </c>
      <c r="I200" s="229">
        <v>-2.5399999999999999E-2</v>
      </c>
      <c r="J200" s="231">
        <v>3533.6</v>
      </c>
      <c r="K200" s="231">
        <v>3627.4</v>
      </c>
      <c r="L200" s="228">
        <v>-93.8</v>
      </c>
      <c r="M200" s="229">
        <v>-2.5899999999999999E-2</v>
      </c>
      <c r="N200" s="231">
        <v>3537.1</v>
      </c>
      <c r="O200" s="231">
        <v>3629.3</v>
      </c>
      <c r="P200" s="228">
        <v>-92.2</v>
      </c>
      <c r="Q200" s="229">
        <v>-2.5399999999999999E-2</v>
      </c>
      <c r="R200" s="231">
        <v>3558.7</v>
      </c>
      <c r="S200" s="231">
        <v>3653.2</v>
      </c>
      <c r="T200" s="228">
        <v>-94.5</v>
      </c>
      <c r="U200" s="229">
        <v>-2.5899999999999999E-2</v>
      </c>
      <c r="V200" s="231">
        <v>3579.2</v>
      </c>
      <c r="W200" s="231">
        <v>3669.7</v>
      </c>
      <c r="X200" s="228">
        <v>-90.5</v>
      </c>
      <c r="Y200" s="229">
        <v>-2.47E-2</v>
      </c>
      <c r="Z200" s="228">
        <v>3.5</v>
      </c>
      <c r="AA200" s="228">
        <v>1.9</v>
      </c>
      <c r="AB200" s="228">
        <v>1.6</v>
      </c>
      <c r="AC200" s="229">
        <v>1E-3</v>
      </c>
      <c r="AD200" s="228">
        <v>3.5</v>
      </c>
      <c r="AE200" s="228">
        <v>1.9</v>
      </c>
      <c r="AF200" s="228">
        <v>1.6</v>
      </c>
      <c r="AG200" s="229">
        <v>1E-3</v>
      </c>
      <c r="AH200" s="228">
        <v>25.1</v>
      </c>
      <c r="AI200" s="228">
        <v>25.8</v>
      </c>
      <c r="AJ200" s="228">
        <v>-0.7</v>
      </c>
      <c r="AK200" s="229">
        <v>7.1000000000000004E-3</v>
      </c>
      <c r="AL200" s="228">
        <v>45.6</v>
      </c>
      <c r="AM200" s="228">
        <v>42.3</v>
      </c>
      <c r="AN200" s="228">
        <v>3.3</v>
      </c>
      <c r="AO200" s="229">
        <v>1.29E-2</v>
      </c>
      <c r="AP200" s="231">
        <v>3541.8</v>
      </c>
      <c r="AQ200" s="231">
        <v>3565.71</v>
      </c>
      <c r="AR200" s="228">
        <v>0</v>
      </c>
      <c r="AS200" s="228">
        <v>281</v>
      </c>
      <c r="AT200" s="228">
        <v>229</v>
      </c>
      <c r="AU200" s="228">
        <v>52</v>
      </c>
      <c r="AV200" s="229">
        <v>0.2276</v>
      </c>
      <c r="AW200" s="228">
        <v>238</v>
      </c>
      <c r="AX200" s="228">
        <v>199</v>
      </c>
      <c r="AY200" s="228">
        <v>39</v>
      </c>
      <c r="AZ200" s="229">
        <v>0.19359999999999999</v>
      </c>
      <c r="BA200" s="228">
        <v>40</v>
      </c>
      <c r="BB200" s="228">
        <v>27</v>
      </c>
      <c r="BC200" s="228">
        <v>13</v>
      </c>
      <c r="BD200" s="229">
        <v>0.48039999999999999</v>
      </c>
      <c r="BE200" s="228">
        <v>3</v>
      </c>
      <c r="BF200" s="228">
        <v>3</v>
      </c>
      <c r="BG200" s="228">
        <v>0</v>
      </c>
      <c r="BH200" s="229">
        <v>0.19439999999999999</v>
      </c>
      <c r="BI200" s="230">
        <v>1244</v>
      </c>
      <c r="BJ200" s="228">
        <v>789</v>
      </c>
      <c r="BK200" s="228">
        <v>454</v>
      </c>
      <c r="BL200" s="229">
        <v>0.57550000000000001</v>
      </c>
      <c r="BM200" s="228">
        <v>720</v>
      </c>
      <c r="BN200" s="228">
        <v>402</v>
      </c>
      <c r="BO200" s="228">
        <v>318</v>
      </c>
      <c r="BP200" s="229">
        <v>0.78959999999999997</v>
      </c>
      <c r="BQ200" s="230">
        <v>2244</v>
      </c>
      <c r="BR200" s="230">
        <v>1420</v>
      </c>
      <c r="BS200" s="228">
        <v>824</v>
      </c>
      <c r="BT200" s="229">
        <v>0.58009999999999995</v>
      </c>
      <c r="BU200" s="230">
        <v>1009206</v>
      </c>
      <c r="BV200" s="230">
        <v>701835</v>
      </c>
      <c r="BW200" s="230">
        <v>307371</v>
      </c>
      <c r="BX200" s="229">
        <v>0.438</v>
      </c>
      <c r="BY200" s="230">
        <v>2213</v>
      </c>
      <c r="BZ200" s="230">
        <v>2195</v>
      </c>
      <c r="CA200" s="228">
        <v>17</v>
      </c>
      <c r="CB200" s="229">
        <v>7.7999999999999996E-3</v>
      </c>
      <c r="CC200" s="230">
        <v>2089</v>
      </c>
      <c r="CD200" s="230">
        <v>2087</v>
      </c>
      <c r="CE200" s="228">
        <v>1</v>
      </c>
      <c r="CF200" s="229">
        <v>5.9999999999999995E-4</v>
      </c>
      <c r="CG200" s="228">
        <v>115</v>
      </c>
      <c r="CH200" s="228">
        <v>100</v>
      </c>
      <c r="CI200" s="228">
        <v>15</v>
      </c>
      <c r="CJ200" s="229">
        <v>0.15210000000000001</v>
      </c>
      <c r="CK200" s="228">
        <v>9</v>
      </c>
      <c r="CL200" s="228">
        <v>9</v>
      </c>
      <c r="CM200" s="228">
        <v>1</v>
      </c>
      <c r="CN200" s="229">
        <v>8.6800000000000002E-2</v>
      </c>
      <c r="CO200" s="230">
        <v>1096</v>
      </c>
      <c r="CP200" s="228">
        <v>987</v>
      </c>
      <c r="CQ200" s="228">
        <v>109</v>
      </c>
      <c r="CR200" s="229">
        <v>0.1099</v>
      </c>
      <c r="CS200" s="228">
        <v>600</v>
      </c>
      <c r="CT200" s="228">
        <v>571</v>
      </c>
      <c r="CU200" s="228">
        <v>29</v>
      </c>
      <c r="CV200" s="229">
        <v>5.0200000000000002E-2</v>
      </c>
      <c r="CW200" s="230">
        <v>3908</v>
      </c>
      <c r="CX200" s="230">
        <v>3753</v>
      </c>
      <c r="CY200" s="228">
        <v>154</v>
      </c>
      <c r="CZ200" s="229">
        <v>4.1099999999999998E-2</v>
      </c>
      <c r="DA200" s="228">
        <v>36.69</v>
      </c>
      <c r="DB200" s="228">
        <v>36.33</v>
      </c>
      <c r="DC200" s="228">
        <v>0.36</v>
      </c>
      <c r="DD200" s="228">
        <v>0.36</v>
      </c>
      <c r="DE200" s="228">
        <v>41.71</v>
      </c>
      <c r="DF200" s="228">
        <v>41.67</v>
      </c>
      <c r="DG200" s="228">
        <v>-5.0199999999999996</v>
      </c>
      <c r="DH200" s="228">
        <v>0.04</v>
      </c>
      <c r="DI200" s="228">
        <v>36.619999999999997</v>
      </c>
      <c r="DJ200" s="228">
        <v>36.01</v>
      </c>
      <c r="DK200" s="228">
        <v>0.61</v>
      </c>
      <c r="DL200" s="228">
        <v>0.61</v>
      </c>
      <c r="DM200" s="228">
        <v>36.799999999999997</v>
      </c>
      <c r="DN200" s="228">
        <v>36.950000000000003</v>
      </c>
      <c r="DO200" s="228">
        <v>-0.15</v>
      </c>
      <c r="DP200" s="228">
        <v>-0.15</v>
      </c>
      <c r="DQ200" s="228">
        <v>0.55000000000000004</v>
      </c>
      <c r="DR200" s="228">
        <v>0.57999999999999996</v>
      </c>
      <c r="DS200" s="228">
        <v>-0.03</v>
      </c>
      <c r="DT200" s="229">
        <v>-5.1700000000000003E-2</v>
      </c>
      <c r="DU200" s="231">
        <v>4000</v>
      </c>
      <c r="DV200" s="231">
        <v>4000</v>
      </c>
      <c r="DW200" s="228">
        <v>0.57999999999999996</v>
      </c>
      <c r="DX200" s="228">
        <v>0.51</v>
      </c>
      <c r="DY200" s="228">
        <v>7.0000000000000007E-2</v>
      </c>
      <c r="DZ200" s="229">
        <v>0.13730000000000001</v>
      </c>
      <c r="EA200" s="229">
        <v>5.6000000000000001E-2</v>
      </c>
      <c r="EB200" s="230">
        <v>305600</v>
      </c>
      <c r="EC200" s="229">
        <v>6.1000000000000004E-3</v>
      </c>
      <c r="ED200" s="229">
        <v>5.6000000000000001E-2</v>
      </c>
      <c r="EE200" s="228">
        <v>23.91</v>
      </c>
      <c r="EF200" s="229">
        <v>6.7999999999999996E-3</v>
      </c>
      <c r="EG200" s="230">
        <v>518059</v>
      </c>
      <c r="EH200" s="230">
        <v>334831</v>
      </c>
      <c r="EI200" s="229">
        <v>0.54720000000000002</v>
      </c>
      <c r="EJ200" s="229">
        <v>0.51329999999999998</v>
      </c>
      <c r="EK200" s="231">
        <v>1355.42</v>
      </c>
      <c r="EL200" s="228">
        <v>725.33</v>
      </c>
      <c r="EM200" s="228">
        <v>281.52999999999997</v>
      </c>
      <c r="EN200" s="228">
        <v>68.58</v>
      </c>
      <c r="EO200" s="231">
        <v>2362.2800000000002</v>
      </c>
      <c r="EP200" s="231">
        <v>1536.42</v>
      </c>
      <c r="EQ200" s="228">
        <v>825.86</v>
      </c>
      <c r="ER200" s="229">
        <v>0.53749999999999998</v>
      </c>
      <c r="ES200" s="231">
        <v>1243.26</v>
      </c>
      <c r="ET200" s="228">
        <v>651.62</v>
      </c>
      <c r="EU200" s="231">
        <v>2213.34</v>
      </c>
      <c r="EV200" s="231">
        <v>33590487</v>
      </c>
      <c r="EW200" s="231">
        <v>4108.22</v>
      </c>
      <c r="EX200" s="231">
        <v>4014.19</v>
      </c>
      <c r="EY200" s="228">
        <v>94.03</v>
      </c>
      <c r="EZ200" s="229">
        <v>2.3400000000000001E-2</v>
      </c>
      <c r="FA200" s="229">
        <v>0.32890000000000003</v>
      </c>
      <c r="FB200" s="227" t="s">
        <v>567</v>
      </c>
      <c r="FC200">
        <f t="shared" si="4"/>
        <v>0</v>
      </c>
    </row>
    <row r="201" spans="1:159" ht="17.25" thickBot="1" x14ac:dyDescent="0.3">
      <c r="A201" s="226">
        <v>46093</v>
      </c>
      <c r="B201" s="227" t="s">
        <v>162</v>
      </c>
      <c r="C201" s="227" t="s">
        <v>300</v>
      </c>
      <c r="D201" s="228">
        <v>175</v>
      </c>
      <c r="E201" s="228">
        <v>18</v>
      </c>
      <c r="F201" s="231">
        <v>3426.6</v>
      </c>
      <c r="G201" s="231">
        <v>3597.2</v>
      </c>
      <c r="H201" s="228">
        <v>-170.6</v>
      </c>
      <c r="I201" s="229">
        <v>-4.7399999999999998E-2</v>
      </c>
      <c r="J201" s="231">
        <v>3422.6</v>
      </c>
      <c r="K201" s="231">
        <v>3600.8</v>
      </c>
      <c r="L201" s="228">
        <v>-178.2</v>
      </c>
      <c r="M201" s="229">
        <v>-4.9500000000000002E-2</v>
      </c>
      <c r="N201" s="231">
        <v>3426.6</v>
      </c>
      <c r="O201" s="231">
        <v>3597.2</v>
      </c>
      <c r="P201" s="228">
        <v>-170.6</v>
      </c>
      <c r="Q201" s="229">
        <v>-4.7399999999999998E-2</v>
      </c>
      <c r="R201" s="231">
        <v>3447.4</v>
      </c>
      <c r="S201" s="231">
        <v>3615.3</v>
      </c>
      <c r="T201" s="228">
        <v>-167.9</v>
      </c>
      <c r="U201" s="229">
        <v>-4.6399999999999997E-2</v>
      </c>
      <c r="V201" s="231">
        <v>3464.1</v>
      </c>
      <c r="W201" s="231">
        <v>3635.9</v>
      </c>
      <c r="X201" s="228">
        <v>-171.8</v>
      </c>
      <c r="Y201" s="229">
        <v>-4.7300000000000002E-2</v>
      </c>
      <c r="Z201" s="228">
        <v>4</v>
      </c>
      <c r="AA201" s="228">
        <v>-3.6</v>
      </c>
      <c r="AB201" s="228">
        <v>7.6</v>
      </c>
      <c r="AC201" s="229">
        <v>1.1999999999999999E-3</v>
      </c>
      <c r="AD201" s="228">
        <v>4</v>
      </c>
      <c r="AE201" s="228">
        <v>-3.6</v>
      </c>
      <c r="AF201" s="228">
        <v>7.6</v>
      </c>
      <c r="AG201" s="229">
        <v>1.1999999999999999E-3</v>
      </c>
      <c r="AH201" s="228">
        <v>24.8</v>
      </c>
      <c r="AI201" s="228">
        <v>14.5</v>
      </c>
      <c r="AJ201" s="228">
        <v>10.3</v>
      </c>
      <c r="AK201" s="229">
        <v>7.1999999999999998E-3</v>
      </c>
      <c r="AL201" s="228">
        <v>41.5</v>
      </c>
      <c r="AM201" s="228">
        <v>35.1</v>
      </c>
      <c r="AN201" s="228">
        <v>6.4</v>
      </c>
      <c r="AO201" s="229">
        <v>1.21E-2</v>
      </c>
      <c r="AP201" s="231">
        <v>3462.9</v>
      </c>
      <c r="AQ201" s="231">
        <v>3487.35</v>
      </c>
      <c r="AR201" s="228">
        <v>0</v>
      </c>
      <c r="AS201" s="228">
        <v>750</v>
      </c>
      <c r="AT201" s="228">
        <v>532</v>
      </c>
      <c r="AU201" s="228">
        <v>218</v>
      </c>
      <c r="AV201" s="229">
        <v>0.40899999999999997</v>
      </c>
      <c r="AW201" s="228">
        <v>692</v>
      </c>
      <c r="AX201" s="228">
        <v>499</v>
      </c>
      <c r="AY201" s="228">
        <v>192</v>
      </c>
      <c r="AZ201" s="229">
        <v>0.3846</v>
      </c>
      <c r="BA201" s="228">
        <v>51</v>
      </c>
      <c r="BB201" s="228">
        <v>29</v>
      </c>
      <c r="BC201" s="228">
        <v>22</v>
      </c>
      <c r="BD201" s="229">
        <v>0.74639999999999995</v>
      </c>
      <c r="BE201" s="228">
        <v>7</v>
      </c>
      <c r="BF201" s="228">
        <v>3</v>
      </c>
      <c r="BG201" s="228">
        <v>4</v>
      </c>
      <c r="BH201" s="229">
        <v>1.069</v>
      </c>
      <c r="BI201" s="230">
        <v>1513</v>
      </c>
      <c r="BJ201" s="230">
        <v>1325</v>
      </c>
      <c r="BK201" s="228">
        <v>187</v>
      </c>
      <c r="BL201" s="229">
        <v>0.1414</v>
      </c>
      <c r="BM201" s="230">
        <v>1418</v>
      </c>
      <c r="BN201" s="230">
        <v>1356</v>
      </c>
      <c r="BO201" s="228">
        <v>62</v>
      </c>
      <c r="BP201" s="229">
        <v>4.5400000000000003E-2</v>
      </c>
      <c r="BQ201" s="230">
        <v>3680</v>
      </c>
      <c r="BR201" s="230">
        <v>3214</v>
      </c>
      <c r="BS201" s="228">
        <v>467</v>
      </c>
      <c r="BT201" s="229">
        <v>0.1452</v>
      </c>
      <c r="BU201" s="230">
        <v>2626713</v>
      </c>
      <c r="BV201" s="230">
        <v>1335349</v>
      </c>
      <c r="BW201" s="230">
        <v>1291364</v>
      </c>
      <c r="BX201" s="229">
        <v>0.96709999999999996</v>
      </c>
      <c r="BY201" s="230">
        <v>2952</v>
      </c>
      <c r="BZ201" s="230">
        <v>2790</v>
      </c>
      <c r="CA201" s="228">
        <v>163</v>
      </c>
      <c r="CB201" s="229">
        <v>5.8400000000000001E-2</v>
      </c>
      <c r="CC201" s="230">
        <v>2916</v>
      </c>
      <c r="CD201" s="230">
        <v>2763</v>
      </c>
      <c r="CE201" s="228">
        <v>154</v>
      </c>
      <c r="CF201" s="229">
        <v>5.57E-2</v>
      </c>
      <c r="CG201" s="228">
        <v>30</v>
      </c>
      <c r="CH201" s="228">
        <v>24</v>
      </c>
      <c r="CI201" s="228">
        <v>7</v>
      </c>
      <c r="CJ201" s="229">
        <v>0.28749999999999998</v>
      </c>
      <c r="CK201" s="228">
        <v>6</v>
      </c>
      <c r="CL201" s="228">
        <v>3</v>
      </c>
      <c r="CM201" s="228">
        <v>2</v>
      </c>
      <c r="CN201" s="229">
        <v>0.63790000000000002</v>
      </c>
      <c r="CO201" s="228">
        <v>999</v>
      </c>
      <c r="CP201" s="228">
        <v>828</v>
      </c>
      <c r="CQ201" s="228">
        <v>170</v>
      </c>
      <c r="CR201" s="229">
        <v>0.2056</v>
      </c>
      <c r="CS201" s="228">
        <v>612</v>
      </c>
      <c r="CT201" s="228">
        <v>573</v>
      </c>
      <c r="CU201" s="228">
        <v>39</v>
      </c>
      <c r="CV201" s="229">
        <v>6.8900000000000003E-2</v>
      </c>
      <c r="CW201" s="230">
        <v>4563</v>
      </c>
      <c r="CX201" s="230">
        <v>4191</v>
      </c>
      <c r="CY201" s="228">
        <v>373</v>
      </c>
      <c r="CZ201" s="229">
        <v>8.8900000000000007E-2</v>
      </c>
      <c r="DA201" s="228">
        <v>39.07</v>
      </c>
      <c r="DB201" s="228">
        <v>35.340000000000003</v>
      </c>
      <c r="DC201" s="228">
        <v>3.73</v>
      </c>
      <c r="DD201" s="228">
        <v>3.73</v>
      </c>
      <c r="DE201" s="228">
        <v>31.62</v>
      </c>
      <c r="DF201" s="228">
        <v>30.94</v>
      </c>
      <c r="DG201" s="228">
        <v>7.45</v>
      </c>
      <c r="DH201" s="228">
        <v>0.68</v>
      </c>
      <c r="DI201" s="228">
        <v>38.99</v>
      </c>
      <c r="DJ201" s="228">
        <v>34.92</v>
      </c>
      <c r="DK201" s="228">
        <v>4.07</v>
      </c>
      <c r="DL201" s="228">
        <v>4.07</v>
      </c>
      <c r="DM201" s="228">
        <v>39.14</v>
      </c>
      <c r="DN201" s="228">
        <v>35.74</v>
      </c>
      <c r="DO201" s="228">
        <v>3.4</v>
      </c>
      <c r="DP201" s="228">
        <v>3.4</v>
      </c>
      <c r="DQ201" s="228">
        <v>0.61</v>
      </c>
      <c r="DR201" s="228">
        <v>0.69</v>
      </c>
      <c r="DS201" s="228">
        <v>-0.08</v>
      </c>
      <c r="DT201" s="229">
        <v>-0.1159</v>
      </c>
      <c r="DU201" s="231">
        <v>3800</v>
      </c>
      <c r="DV201" s="231">
        <v>3400</v>
      </c>
      <c r="DW201" s="228">
        <v>0.94</v>
      </c>
      <c r="DX201" s="228">
        <v>1.02</v>
      </c>
      <c r="DY201" s="228">
        <v>-0.08</v>
      </c>
      <c r="DZ201" s="229">
        <v>-7.8399999999999997E-2</v>
      </c>
      <c r="EA201" s="229">
        <v>1.2200000000000001E-2</v>
      </c>
      <c r="EB201" s="230">
        <v>78925</v>
      </c>
      <c r="EC201" s="229">
        <v>6.1000000000000004E-3</v>
      </c>
      <c r="ED201" s="229">
        <v>1.2200000000000001E-2</v>
      </c>
      <c r="EE201" s="228">
        <v>24.45</v>
      </c>
      <c r="EF201" s="229">
        <v>7.1000000000000004E-3</v>
      </c>
      <c r="EG201" s="230">
        <v>1404908</v>
      </c>
      <c r="EH201" s="230">
        <v>724254</v>
      </c>
      <c r="EI201" s="229">
        <v>0.93979999999999997</v>
      </c>
      <c r="EJ201" s="229">
        <v>0.53490000000000004</v>
      </c>
      <c r="EK201" s="231">
        <v>1659.89</v>
      </c>
      <c r="EL201" s="231">
        <v>1461.38</v>
      </c>
      <c r="EM201" s="228">
        <v>758.34</v>
      </c>
      <c r="EN201" s="228">
        <v>57.53</v>
      </c>
      <c r="EO201" s="231">
        <v>3879.6</v>
      </c>
      <c r="EP201" s="231">
        <v>3524.2</v>
      </c>
      <c r="EQ201" s="228">
        <v>355.4</v>
      </c>
      <c r="ER201" s="229">
        <v>0.1008</v>
      </c>
      <c r="ES201" s="231">
        <v>1126.55</v>
      </c>
      <c r="ET201" s="228">
        <v>645.4</v>
      </c>
      <c r="EU201" s="231">
        <v>2952.71</v>
      </c>
      <c r="EV201" s="231">
        <v>31634588</v>
      </c>
      <c r="EW201" s="231">
        <v>4724.6499999999996</v>
      </c>
      <c r="EX201" s="231">
        <v>4487.55</v>
      </c>
      <c r="EY201" s="228">
        <v>237.1</v>
      </c>
      <c r="EZ201" s="229">
        <v>5.28E-2</v>
      </c>
      <c r="FA201" s="229">
        <v>0.42099999999999999</v>
      </c>
      <c r="FB201" s="227" t="s">
        <v>567</v>
      </c>
      <c r="FC201">
        <f t="shared" si="4"/>
        <v>0</v>
      </c>
    </row>
    <row r="202" spans="1:159" ht="17.25" thickBot="1" x14ac:dyDescent="0.3">
      <c r="A202" s="226">
        <v>46093</v>
      </c>
      <c r="B202" s="227" t="s">
        <v>157</v>
      </c>
      <c r="C202" s="227" t="s">
        <v>302</v>
      </c>
      <c r="D202" s="228">
        <v>50</v>
      </c>
      <c r="E202" s="228">
        <v>18</v>
      </c>
      <c r="F202" s="231">
        <v>11130</v>
      </c>
      <c r="G202" s="231">
        <v>11472</v>
      </c>
      <c r="H202" s="228">
        <v>-342</v>
      </c>
      <c r="I202" s="229">
        <v>-2.98E-2</v>
      </c>
      <c r="J202" s="231">
        <v>11089</v>
      </c>
      <c r="K202" s="231">
        <v>11462</v>
      </c>
      <c r="L202" s="228">
        <v>-373</v>
      </c>
      <c r="M202" s="229">
        <v>-3.2500000000000001E-2</v>
      </c>
      <c r="N202" s="231">
        <v>11130</v>
      </c>
      <c r="O202" s="231">
        <v>11472</v>
      </c>
      <c r="P202" s="228">
        <v>-342</v>
      </c>
      <c r="Q202" s="229">
        <v>-2.98E-2</v>
      </c>
      <c r="R202" s="231">
        <v>11195</v>
      </c>
      <c r="S202" s="231">
        <v>11550</v>
      </c>
      <c r="T202" s="228">
        <v>-355</v>
      </c>
      <c r="U202" s="229">
        <v>-3.0700000000000002E-2</v>
      </c>
      <c r="V202" s="231">
        <v>11260</v>
      </c>
      <c r="W202" s="231">
        <v>11620</v>
      </c>
      <c r="X202" s="228">
        <v>-360</v>
      </c>
      <c r="Y202" s="229">
        <v>-3.1E-2</v>
      </c>
      <c r="Z202" s="228">
        <v>41</v>
      </c>
      <c r="AA202" s="228">
        <v>10</v>
      </c>
      <c r="AB202" s="228">
        <v>31</v>
      </c>
      <c r="AC202" s="229">
        <v>3.7000000000000002E-3</v>
      </c>
      <c r="AD202" s="228">
        <v>41</v>
      </c>
      <c r="AE202" s="228">
        <v>10</v>
      </c>
      <c r="AF202" s="228">
        <v>31</v>
      </c>
      <c r="AG202" s="229">
        <v>3.7000000000000002E-3</v>
      </c>
      <c r="AH202" s="228">
        <v>106</v>
      </c>
      <c r="AI202" s="228">
        <v>88</v>
      </c>
      <c r="AJ202" s="228">
        <v>18</v>
      </c>
      <c r="AK202" s="229">
        <v>9.5999999999999992E-3</v>
      </c>
      <c r="AL202" s="228">
        <v>171</v>
      </c>
      <c r="AM202" s="228">
        <v>158</v>
      </c>
      <c r="AN202" s="228">
        <v>13</v>
      </c>
      <c r="AO202" s="229">
        <v>1.54E-2</v>
      </c>
      <c r="AP202" s="231">
        <v>11236.86</v>
      </c>
      <c r="AQ202" s="231">
        <v>11321.85</v>
      </c>
      <c r="AR202" s="228">
        <v>0</v>
      </c>
      <c r="AS202" s="228">
        <v>394</v>
      </c>
      <c r="AT202" s="228">
        <v>210</v>
      </c>
      <c r="AU202" s="228">
        <v>184</v>
      </c>
      <c r="AV202" s="229">
        <v>0.88019999999999998</v>
      </c>
      <c r="AW202" s="228">
        <v>368</v>
      </c>
      <c r="AX202" s="228">
        <v>198</v>
      </c>
      <c r="AY202" s="228">
        <v>171</v>
      </c>
      <c r="AZ202" s="229">
        <v>0.86509999999999998</v>
      </c>
      <c r="BA202" s="228">
        <v>23</v>
      </c>
      <c r="BB202" s="228">
        <v>12</v>
      </c>
      <c r="BC202" s="228">
        <v>11</v>
      </c>
      <c r="BD202" s="229">
        <v>0.97599999999999998</v>
      </c>
      <c r="BE202" s="228">
        <v>3</v>
      </c>
      <c r="BF202" s="228">
        <v>0</v>
      </c>
      <c r="BG202" s="228">
        <v>2</v>
      </c>
      <c r="BH202" s="229">
        <v>5.125</v>
      </c>
      <c r="BI202" s="230">
        <v>1018</v>
      </c>
      <c r="BJ202" s="228">
        <v>685</v>
      </c>
      <c r="BK202" s="228">
        <v>334</v>
      </c>
      <c r="BL202" s="229">
        <v>0.48709999999999998</v>
      </c>
      <c r="BM202" s="228">
        <v>426</v>
      </c>
      <c r="BN202" s="228">
        <v>301</v>
      </c>
      <c r="BO202" s="228">
        <v>125</v>
      </c>
      <c r="BP202" s="229">
        <v>0.41339999999999999</v>
      </c>
      <c r="BQ202" s="230">
        <v>1838</v>
      </c>
      <c r="BR202" s="230">
        <v>1196</v>
      </c>
      <c r="BS202" s="228">
        <v>643</v>
      </c>
      <c r="BT202" s="229">
        <v>0.53739999999999999</v>
      </c>
      <c r="BU202" s="230">
        <v>544321</v>
      </c>
      <c r="BV202" s="230">
        <v>239649</v>
      </c>
      <c r="BW202" s="230">
        <v>304672</v>
      </c>
      <c r="BX202" s="229">
        <v>1.2713000000000001</v>
      </c>
      <c r="BY202" s="230">
        <v>2426</v>
      </c>
      <c r="BZ202" s="230">
        <v>2361</v>
      </c>
      <c r="CA202" s="228">
        <v>65</v>
      </c>
      <c r="CB202" s="229">
        <v>2.7400000000000001E-2</v>
      </c>
      <c r="CC202" s="230">
        <v>2366</v>
      </c>
      <c r="CD202" s="230">
        <v>2312</v>
      </c>
      <c r="CE202" s="228">
        <v>54</v>
      </c>
      <c r="CF202" s="229">
        <v>2.3400000000000001E-2</v>
      </c>
      <c r="CG202" s="228">
        <v>52</v>
      </c>
      <c r="CH202" s="228">
        <v>43</v>
      </c>
      <c r="CI202" s="228">
        <v>9</v>
      </c>
      <c r="CJ202" s="229">
        <v>0.21820000000000001</v>
      </c>
      <c r="CK202" s="228">
        <v>8</v>
      </c>
      <c r="CL202" s="228">
        <v>6</v>
      </c>
      <c r="CM202" s="228">
        <v>1</v>
      </c>
      <c r="CN202" s="229">
        <v>0.2054</v>
      </c>
      <c r="CO202" s="228">
        <v>975</v>
      </c>
      <c r="CP202" s="228">
        <v>932</v>
      </c>
      <c r="CQ202" s="228">
        <v>43</v>
      </c>
      <c r="CR202" s="229">
        <v>4.58E-2</v>
      </c>
      <c r="CS202" s="228">
        <v>440</v>
      </c>
      <c r="CT202" s="228">
        <v>444</v>
      </c>
      <c r="CU202" s="228">
        <v>-4</v>
      </c>
      <c r="CV202" s="229">
        <v>-9.5999999999999992E-3</v>
      </c>
      <c r="CW202" s="230">
        <v>3841</v>
      </c>
      <c r="CX202" s="230">
        <v>3738</v>
      </c>
      <c r="CY202" s="228">
        <v>103</v>
      </c>
      <c r="CZ202" s="229">
        <v>2.76E-2</v>
      </c>
      <c r="DA202" s="228">
        <v>33.44</v>
      </c>
      <c r="DB202" s="228">
        <v>31.68</v>
      </c>
      <c r="DC202" s="228">
        <v>1.76</v>
      </c>
      <c r="DD202" s="228">
        <v>1.76</v>
      </c>
      <c r="DE202" s="228">
        <v>25.84</v>
      </c>
      <c r="DF202" s="228">
        <v>25.51</v>
      </c>
      <c r="DG202" s="228">
        <v>7.6</v>
      </c>
      <c r="DH202" s="228">
        <v>0.33</v>
      </c>
      <c r="DI202" s="228">
        <v>33.049999999999997</v>
      </c>
      <c r="DJ202" s="228">
        <v>31.12</v>
      </c>
      <c r="DK202" s="228">
        <v>1.93</v>
      </c>
      <c r="DL202" s="228">
        <v>1.93</v>
      </c>
      <c r="DM202" s="228">
        <v>34.35</v>
      </c>
      <c r="DN202" s="228">
        <v>32.96</v>
      </c>
      <c r="DO202" s="228">
        <v>1.39</v>
      </c>
      <c r="DP202" s="228">
        <v>1.39</v>
      </c>
      <c r="DQ202" s="228">
        <v>0.45</v>
      </c>
      <c r="DR202" s="228">
        <v>0.48</v>
      </c>
      <c r="DS202" s="228">
        <v>-0.03</v>
      </c>
      <c r="DT202" s="229">
        <v>-6.25E-2</v>
      </c>
      <c r="DU202" s="231">
        <v>13000</v>
      </c>
      <c r="DV202" s="231">
        <v>11000</v>
      </c>
      <c r="DW202" s="228">
        <v>0.42</v>
      </c>
      <c r="DX202" s="228">
        <v>0.44</v>
      </c>
      <c r="DY202" s="228">
        <v>-0.02</v>
      </c>
      <c r="DZ202" s="229">
        <v>-4.5499999999999999E-2</v>
      </c>
      <c r="EA202" s="229">
        <v>2.46E-2</v>
      </c>
      <c r="EB202" s="230">
        <v>44100</v>
      </c>
      <c r="EC202" s="229">
        <v>5.7999999999999996E-3</v>
      </c>
      <c r="ED202" s="229">
        <v>2.46E-2</v>
      </c>
      <c r="EE202" s="228">
        <v>84.99</v>
      </c>
      <c r="EF202" s="229">
        <v>7.6E-3</v>
      </c>
      <c r="EG202" s="230">
        <v>353773</v>
      </c>
      <c r="EH202" s="230">
        <v>142489</v>
      </c>
      <c r="EI202" s="229">
        <v>1.4827999999999999</v>
      </c>
      <c r="EJ202" s="229">
        <v>0.64990000000000003</v>
      </c>
      <c r="EK202" s="231">
        <v>1129.93</v>
      </c>
      <c r="EL202" s="228">
        <v>429.74</v>
      </c>
      <c r="EM202" s="228">
        <v>398.05</v>
      </c>
      <c r="EN202" s="228">
        <v>74.53</v>
      </c>
      <c r="EO202" s="231">
        <v>1957.72</v>
      </c>
      <c r="EP202" s="231">
        <v>1307.95</v>
      </c>
      <c r="EQ202" s="228">
        <v>649.77</v>
      </c>
      <c r="ER202" s="229">
        <v>0.49680000000000002</v>
      </c>
      <c r="ES202" s="231">
        <v>1111.42</v>
      </c>
      <c r="ET202" s="228">
        <v>464.94</v>
      </c>
      <c r="EU202" s="231">
        <v>2426.0100000000002</v>
      </c>
      <c r="EV202" s="231">
        <v>11955674</v>
      </c>
      <c r="EW202" s="231">
        <v>4002.36</v>
      </c>
      <c r="EX202" s="231">
        <v>3975.97</v>
      </c>
      <c r="EY202" s="228">
        <v>26.39</v>
      </c>
      <c r="EZ202" s="229">
        <v>6.6E-3</v>
      </c>
      <c r="FA202" s="229">
        <v>0.28860000000000002</v>
      </c>
      <c r="FB202" s="227" t="s">
        <v>567</v>
      </c>
      <c r="FC202">
        <f t="shared" si="4"/>
        <v>0</v>
      </c>
    </row>
    <row r="203" spans="1:159" ht="17.25" thickBot="1" x14ac:dyDescent="0.3">
      <c r="A203" s="226">
        <v>46093</v>
      </c>
      <c r="B203" s="227" t="s">
        <v>172</v>
      </c>
      <c r="C203" s="227" t="s">
        <v>593</v>
      </c>
      <c r="D203" s="228">
        <v>4425</v>
      </c>
      <c r="E203" s="228">
        <v>18</v>
      </c>
      <c r="F203" s="228">
        <v>182.7</v>
      </c>
      <c r="G203" s="228">
        <v>181.55</v>
      </c>
      <c r="H203" s="228">
        <v>1.1499999999999999</v>
      </c>
      <c r="I203" s="229">
        <v>6.3E-3</v>
      </c>
      <c r="J203" s="228">
        <v>182.1</v>
      </c>
      <c r="K203" s="228">
        <v>180.92</v>
      </c>
      <c r="L203" s="228">
        <v>1.18</v>
      </c>
      <c r="M203" s="229">
        <v>6.4999999999999997E-3</v>
      </c>
      <c r="N203" s="228">
        <v>182.7</v>
      </c>
      <c r="O203" s="228">
        <v>181.55</v>
      </c>
      <c r="P203" s="228">
        <v>1.1499999999999999</v>
      </c>
      <c r="Q203" s="229">
        <v>6.3E-3</v>
      </c>
      <c r="R203" s="228">
        <v>183.7</v>
      </c>
      <c r="S203" s="228">
        <v>182.72</v>
      </c>
      <c r="T203" s="228">
        <v>0.98</v>
      </c>
      <c r="U203" s="229">
        <v>5.4000000000000003E-3</v>
      </c>
      <c r="V203" s="228">
        <v>184.8</v>
      </c>
      <c r="W203" s="228">
        <v>183.84</v>
      </c>
      <c r="X203" s="228">
        <v>0.96</v>
      </c>
      <c r="Y203" s="229">
        <v>5.1999999999999998E-3</v>
      </c>
      <c r="Z203" s="228">
        <v>0.6</v>
      </c>
      <c r="AA203" s="228">
        <v>0.63</v>
      </c>
      <c r="AB203" s="228">
        <v>-0.03</v>
      </c>
      <c r="AC203" s="229">
        <v>3.3E-3</v>
      </c>
      <c r="AD203" s="228">
        <v>0.6</v>
      </c>
      <c r="AE203" s="228">
        <v>0.63</v>
      </c>
      <c r="AF203" s="228">
        <v>-0.03</v>
      </c>
      <c r="AG203" s="229">
        <v>3.3E-3</v>
      </c>
      <c r="AH203" s="228">
        <v>1.6</v>
      </c>
      <c r="AI203" s="228">
        <v>1.8</v>
      </c>
      <c r="AJ203" s="228">
        <v>-0.2</v>
      </c>
      <c r="AK203" s="229">
        <v>8.8000000000000005E-3</v>
      </c>
      <c r="AL203" s="228">
        <v>2.7</v>
      </c>
      <c r="AM203" s="228">
        <v>2.92</v>
      </c>
      <c r="AN203" s="228">
        <v>-0.22</v>
      </c>
      <c r="AO203" s="229">
        <v>1.4800000000000001E-2</v>
      </c>
      <c r="AP203" s="228">
        <v>180.52</v>
      </c>
      <c r="AQ203" s="228">
        <v>181.05</v>
      </c>
      <c r="AR203" s="228">
        <v>0</v>
      </c>
      <c r="AS203" s="228">
        <v>446</v>
      </c>
      <c r="AT203" s="228">
        <v>368</v>
      </c>
      <c r="AU203" s="228">
        <v>78</v>
      </c>
      <c r="AV203" s="229">
        <v>0.21329999999999999</v>
      </c>
      <c r="AW203" s="228">
        <v>408</v>
      </c>
      <c r="AX203" s="228">
        <v>323</v>
      </c>
      <c r="AY203" s="228">
        <v>85</v>
      </c>
      <c r="AZ203" s="229">
        <v>0.26190000000000002</v>
      </c>
      <c r="BA203" s="228">
        <v>34</v>
      </c>
      <c r="BB203" s="228">
        <v>41</v>
      </c>
      <c r="BC203" s="228">
        <v>-7</v>
      </c>
      <c r="BD203" s="229">
        <v>-0.1673</v>
      </c>
      <c r="BE203" s="228">
        <v>4</v>
      </c>
      <c r="BF203" s="228">
        <v>3</v>
      </c>
      <c r="BG203" s="228">
        <v>1</v>
      </c>
      <c r="BH203" s="229">
        <v>0.1905</v>
      </c>
      <c r="BI203" s="228">
        <v>739</v>
      </c>
      <c r="BJ203" s="228">
        <v>593</v>
      </c>
      <c r="BK203" s="228">
        <v>146</v>
      </c>
      <c r="BL203" s="229">
        <v>0.24629999999999999</v>
      </c>
      <c r="BM203" s="228">
        <v>302</v>
      </c>
      <c r="BN203" s="228">
        <v>245</v>
      </c>
      <c r="BO203" s="228">
        <v>56</v>
      </c>
      <c r="BP203" s="229">
        <v>0.2286</v>
      </c>
      <c r="BQ203" s="230">
        <v>1486</v>
      </c>
      <c r="BR203" s="230">
        <v>1206</v>
      </c>
      <c r="BS203" s="228">
        <v>281</v>
      </c>
      <c r="BT203" s="229">
        <v>0.2326</v>
      </c>
      <c r="BU203" s="230">
        <v>14492477</v>
      </c>
      <c r="BV203" s="230">
        <v>13040306</v>
      </c>
      <c r="BW203" s="230">
        <v>1452171</v>
      </c>
      <c r="BX203" s="229">
        <v>0.1114</v>
      </c>
      <c r="BY203" s="230">
        <v>1687</v>
      </c>
      <c r="BZ203" s="230">
        <v>1600</v>
      </c>
      <c r="CA203" s="228">
        <v>87</v>
      </c>
      <c r="CB203" s="229">
        <v>5.4300000000000001E-2</v>
      </c>
      <c r="CC203" s="230">
        <v>1528</v>
      </c>
      <c r="CD203" s="230">
        <v>1452</v>
      </c>
      <c r="CE203" s="228">
        <v>76</v>
      </c>
      <c r="CF203" s="229">
        <v>5.2699999999999997E-2</v>
      </c>
      <c r="CG203" s="228">
        <v>111</v>
      </c>
      <c r="CH203" s="228">
        <v>101</v>
      </c>
      <c r="CI203" s="228">
        <v>10</v>
      </c>
      <c r="CJ203" s="229">
        <v>9.4E-2</v>
      </c>
      <c r="CK203" s="228">
        <v>48</v>
      </c>
      <c r="CL203" s="228">
        <v>47</v>
      </c>
      <c r="CM203" s="228">
        <v>1</v>
      </c>
      <c r="CN203" s="229">
        <v>1.89E-2</v>
      </c>
      <c r="CO203" s="228">
        <v>674</v>
      </c>
      <c r="CP203" s="228">
        <v>653</v>
      </c>
      <c r="CQ203" s="228">
        <v>21</v>
      </c>
      <c r="CR203" s="229">
        <v>3.1899999999999998E-2</v>
      </c>
      <c r="CS203" s="228">
        <v>490</v>
      </c>
      <c r="CT203" s="228">
        <v>490</v>
      </c>
      <c r="CU203" s="228">
        <v>0</v>
      </c>
      <c r="CV203" s="229">
        <v>-1E-3</v>
      </c>
      <c r="CW203" s="230">
        <v>2851</v>
      </c>
      <c r="CX203" s="230">
        <v>2743</v>
      </c>
      <c r="CY203" s="228">
        <v>107</v>
      </c>
      <c r="CZ203" s="229">
        <v>3.9100000000000003E-2</v>
      </c>
      <c r="DA203" s="228">
        <v>40.15</v>
      </c>
      <c r="DB203" s="228">
        <v>40.29</v>
      </c>
      <c r="DC203" s="228">
        <v>-0.14000000000000001</v>
      </c>
      <c r="DD203" s="228">
        <v>-0.14000000000000001</v>
      </c>
      <c r="DE203" s="228">
        <v>41.34</v>
      </c>
      <c r="DF203" s="228">
        <v>41.44</v>
      </c>
      <c r="DG203" s="228">
        <v>-1.19</v>
      </c>
      <c r="DH203" s="228">
        <v>-0.1</v>
      </c>
      <c r="DI203" s="228">
        <v>39.29</v>
      </c>
      <c r="DJ203" s="228">
        <v>39.79</v>
      </c>
      <c r="DK203" s="228">
        <v>-0.5</v>
      </c>
      <c r="DL203" s="228">
        <v>-0.5</v>
      </c>
      <c r="DM203" s="228">
        <v>42.25</v>
      </c>
      <c r="DN203" s="228">
        <v>41.51</v>
      </c>
      <c r="DO203" s="228">
        <v>0.74</v>
      </c>
      <c r="DP203" s="228">
        <v>0.74</v>
      </c>
      <c r="DQ203" s="228">
        <v>0.73</v>
      </c>
      <c r="DR203" s="228">
        <v>0.75</v>
      </c>
      <c r="DS203" s="228">
        <v>-0.02</v>
      </c>
      <c r="DT203" s="229">
        <v>-2.6700000000000002E-2</v>
      </c>
      <c r="DU203" s="228">
        <v>200</v>
      </c>
      <c r="DV203" s="228">
        <v>190</v>
      </c>
      <c r="DW203" s="228">
        <v>0.41</v>
      </c>
      <c r="DX203" s="228">
        <v>0.41</v>
      </c>
      <c r="DY203" s="228">
        <v>0</v>
      </c>
      <c r="DZ203" s="229">
        <v>0</v>
      </c>
      <c r="EA203" s="229">
        <v>9.4200000000000006E-2</v>
      </c>
      <c r="EB203" s="230">
        <v>8128725</v>
      </c>
      <c r="EC203" s="229">
        <v>5.4999999999999997E-3</v>
      </c>
      <c r="ED203" s="229">
        <v>9.4200000000000006E-2</v>
      </c>
      <c r="EE203" s="228">
        <v>0.53</v>
      </c>
      <c r="EF203" s="229">
        <v>2.8999999999999998E-3</v>
      </c>
      <c r="EG203" s="230">
        <v>5151991</v>
      </c>
      <c r="EH203" s="230">
        <v>5558627</v>
      </c>
      <c r="EI203" s="229">
        <v>-7.3200000000000001E-2</v>
      </c>
      <c r="EJ203" s="229">
        <v>0.35549999999999998</v>
      </c>
      <c r="EK203" s="228">
        <v>780.83</v>
      </c>
      <c r="EL203" s="228">
        <v>296.31</v>
      </c>
      <c r="EM203" s="228">
        <v>440.84</v>
      </c>
      <c r="EN203" s="228">
        <v>67.5</v>
      </c>
      <c r="EO203" s="231">
        <v>1517.98</v>
      </c>
      <c r="EP203" s="231">
        <v>1252.8399999999999</v>
      </c>
      <c r="EQ203" s="228">
        <v>265.14</v>
      </c>
      <c r="ER203" s="229">
        <v>0.21160000000000001</v>
      </c>
      <c r="ES203" s="228">
        <v>730.58</v>
      </c>
      <c r="ET203" s="228">
        <v>492.67</v>
      </c>
      <c r="EU203" s="231">
        <v>1688.39</v>
      </c>
      <c r="EV203" s="231">
        <v>289041713</v>
      </c>
      <c r="EW203" s="231">
        <v>2911.64</v>
      </c>
      <c r="EX203" s="231">
        <v>2796.34</v>
      </c>
      <c r="EY203" s="228">
        <v>115.3</v>
      </c>
      <c r="EZ203" s="229">
        <v>4.1200000000000001E-2</v>
      </c>
      <c r="FA203" s="229">
        <v>0.53979999999999995</v>
      </c>
      <c r="FB203" s="227" t="s">
        <v>555</v>
      </c>
      <c r="FC203">
        <f t="shared" si="4"/>
        <v>0</v>
      </c>
    </row>
    <row r="204" spans="1:159" ht="17.25" thickBot="1" x14ac:dyDescent="0.3">
      <c r="A204" s="226">
        <v>46093</v>
      </c>
      <c r="B204" s="227" t="s">
        <v>168</v>
      </c>
      <c r="C204" s="227" t="s">
        <v>569</v>
      </c>
      <c r="D204" s="228">
        <v>400</v>
      </c>
      <c r="E204" s="228">
        <v>18</v>
      </c>
      <c r="F204" s="231">
        <v>1365</v>
      </c>
      <c r="G204" s="231">
        <v>1386.1</v>
      </c>
      <c r="H204" s="228">
        <v>-21.1</v>
      </c>
      <c r="I204" s="229">
        <v>-1.52E-2</v>
      </c>
      <c r="J204" s="231">
        <v>1363.5</v>
      </c>
      <c r="K204" s="231">
        <v>1382.1</v>
      </c>
      <c r="L204" s="228">
        <v>-18.600000000000001</v>
      </c>
      <c r="M204" s="229">
        <v>-1.35E-2</v>
      </c>
      <c r="N204" s="231">
        <v>1365</v>
      </c>
      <c r="O204" s="231">
        <v>1386.1</v>
      </c>
      <c r="P204" s="228">
        <v>-21.1</v>
      </c>
      <c r="Q204" s="229">
        <v>-1.52E-2</v>
      </c>
      <c r="R204" s="231">
        <v>1373.8</v>
      </c>
      <c r="S204" s="231">
        <v>1393.6</v>
      </c>
      <c r="T204" s="228">
        <v>-19.8</v>
      </c>
      <c r="U204" s="229">
        <v>-1.4200000000000001E-2</v>
      </c>
      <c r="V204" s="231">
        <v>1386.4</v>
      </c>
      <c r="W204" s="231">
        <v>1403</v>
      </c>
      <c r="X204" s="228">
        <v>-16.600000000000001</v>
      </c>
      <c r="Y204" s="229">
        <v>-1.18E-2</v>
      </c>
      <c r="Z204" s="228">
        <v>1.5</v>
      </c>
      <c r="AA204" s="228">
        <v>4</v>
      </c>
      <c r="AB204" s="228">
        <v>-2.5</v>
      </c>
      <c r="AC204" s="229">
        <v>1.1000000000000001E-3</v>
      </c>
      <c r="AD204" s="228">
        <v>1.5</v>
      </c>
      <c r="AE204" s="228">
        <v>4</v>
      </c>
      <c r="AF204" s="228">
        <v>-2.5</v>
      </c>
      <c r="AG204" s="229">
        <v>1.1000000000000001E-3</v>
      </c>
      <c r="AH204" s="228">
        <v>10.3</v>
      </c>
      <c r="AI204" s="228">
        <v>11.5</v>
      </c>
      <c r="AJ204" s="228">
        <v>-1.2</v>
      </c>
      <c r="AK204" s="229">
        <v>7.6E-3</v>
      </c>
      <c r="AL204" s="228">
        <v>22.9</v>
      </c>
      <c r="AM204" s="228">
        <v>20.9</v>
      </c>
      <c r="AN204" s="228">
        <v>2</v>
      </c>
      <c r="AO204" s="229">
        <v>1.6799999999999999E-2</v>
      </c>
      <c r="AP204" s="231">
        <v>1362.58</v>
      </c>
      <c r="AQ204" s="231">
        <v>1368.79</v>
      </c>
      <c r="AR204" s="228">
        <v>0</v>
      </c>
      <c r="AS204" s="228">
        <v>214</v>
      </c>
      <c r="AT204" s="228">
        <v>134</v>
      </c>
      <c r="AU204" s="228">
        <v>80</v>
      </c>
      <c r="AV204" s="229">
        <v>0.59970000000000001</v>
      </c>
      <c r="AW204" s="228">
        <v>205</v>
      </c>
      <c r="AX204" s="228">
        <v>127</v>
      </c>
      <c r="AY204" s="228">
        <v>78</v>
      </c>
      <c r="AZ204" s="229">
        <v>0.61750000000000005</v>
      </c>
      <c r="BA204" s="228">
        <v>9</v>
      </c>
      <c r="BB204" s="228">
        <v>7</v>
      </c>
      <c r="BC204" s="228">
        <v>2</v>
      </c>
      <c r="BD204" s="229">
        <v>0.33600000000000002</v>
      </c>
      <c r="BE204" s="228">
        <v>0</v>
      </c>
      <c r="BF204" s="228">
        <v>0</v>
      </c>
      <c r="BG204" s="228">
        <v>0</v>
      </c>
      <c r="BH204" s="229">
        <v>-0.33329999999999999</v>
      </c>
      <c r="BI204" s="228">
        <v>350</v>
      </c>
      <c r="BJ204" s="228">
        <v>311</v>
      </c>
      <c r="BK204" s="228">
        <v>40</v>
      </c>
      <c r="BL204" s="229">
        <v>0.12770000000000001</v>
      </c>
      <c r="BM204" s="228">
        <v>218</v>
      </c>
      <c r="BN204" s="228">
        <v>224</v>
      </c>
      <c r="BO204" s="228">
        <v>-7</v>
      </c>
      <c r="BP204" s="229">
        <v>-2.92E-2</v>
      </c>
      <c r="BQ204" s="228">
        <v>782</v>
      </c>
      <c r="BR204" s="228">
        <v>669</v>
      </c>
      <c r="BS204" s="228">
        <v>113</v>
      </c>
      <c r="BT204" s="229">
        <v>0.1696</v>
      </c>
      <c r="BU204" s="230">
        <v>858846</v>
      </c>
      <c r="BV204" s="230">
        <v>331636</v>
      </c>
      <c r="BW204" s="230">
        <v>527210</v>
      </c>
      <c r="BX204" s="229">
        <v>1.5896999999999999</v>
      </c>
      <c r="BY204" s="230">
        <v>1423</v>
      </c>
      <c r="BZ204" s="230">
        <v>1394</v>
      </c>
      <c r="CA204" s="228">
        <v>29</v>
      </c>
      <c r="CB204" s="229">
        <v>2.0799999999999999E-2</v>
      </c>
      <c r="CC204" s="230">
        <v>1399</v>
      </c>
      <c r="CD204" s="230">
        <v>1372</v>
      </c>
      <c r="CE204" s="228">
        <v>27</v>
      </c>
      <c r="CF204" s="229">
        <v>1.9900000000000001E-2</v>
      </c>
      <c r="CG204" s="228">
        <v>23</v>
      </c>
      <c r="CH204" s="228">
        <v>21</v>
      </c>
      <c r="CI204" s="228">
        <v>2</v>
      </c>
      <c r="CJ204" s="229">
        <v>8.1199999999999994E-2</v>
      </c>
      <c r="CK204" s="228">
        <v>1</v>
      </c>
      <c r="CL204" s="228">
        <v>1</v>
      </c>
      <c r="CM204" s="228">
        <v>0</v>
      </c>
      <c r="CN204" s="229">
        <v>0</v>
      </c>
      <c r="CO204" s="228">
        <v>412</v>
      </c>
      <c r="CP204" s="228">
        <v>407</v>
      </c>
      <c r="CQ204" s="228">
        <v>5</v>
      </c>
      <c r="CR204" s="229">
        <v>1.23E-2</v>
      </c>
      <c r="CS204" s="228">
        <v>330</v>
      </c>
      <c r="CT204" s="228">
        <v>317</v>
      </c>
      <c r="CU204" s="228">
        <v>13</v>
      </c>
      <c r="CV204" s="229">
        <v>4.2599999999999999E-2</v>
      </c>
      <c r="CW204" s="230">
        <v>2166</v>
      </c>
      <c r="CX204" s="230">
        <v>2119</v>
      </c>
      <c r="CY204" s="228">
        <v>48</v>
      </c>
      <c r="CZ204" s="229">
        <v>2.24E-2</v>
      </c>
      <c r="DA204" s="228">
        <v>29.19</v>
      </c>
      <c r="DB204" s="228">
        <v>27.72</v>
      </c>
      <c r="DC204" s="228">
        <v>1.47</v>
      </c>
      <c r="DD204" s="228">
        <v>1.47</v>
      </c>
      <c r="DE204" s="228">
        <v>28.06</v>
      </c>
      <c r="DF204" s="228">
        <v>28.07</v>
      </c>
      <c r="DG204" s="228">
        <v>1.1299999999999999</v>
      </c>
      <c r="DH204" s="228">
        <v>-0.01</v>
      </c>
      <c r="DI204" s="228">
        <v>28.77</v>
      </c>
      <c r="DJ204" s="228">
        <v>27.46</v>
      </c>
      <c r="DK204" s="228">
        <v>1.31</v>
      </c>
      <c r="DL204" s="228">
        <v>1.31</v>
      </c>
      <c r="DM204" s="228">
        <v>29.88</v>
      </c>
      <c r="DN204" s="228">
        <v>28.08</v>
      </c>
      <c r="DO204" s="228">
        <v>1.8</v>
      </c>
      <c r="DP204" s="228">
        <v>1.8</v>
      </c>
      <c r="DQ204" s="228">
        <v>0.8</v>
      </c>
      <c r="DR204" s="228">
        <v>0.78</v>
      </c>
      <c r="DS204" s="228">
        <v>0.02</v>
      </c>
      <c r="DT204" s="229">
        <v>2.5600000000000001E-2</v>
      </c>
      <c r="DU204" s="231">
        <v>1500</v>
      </c>
      <c r="DV204" s="231">
        <v>1400</v>
      </c>
      <c r="DW204" s="228">
        <v>0.62</v>
      </c>
      <c r="DX204" s="228">
        <v>0.72</v>
      </c>
      <c r="DY204" s="228">
        <v>-0.1</v>
      </c>
      <c r="DZ204" s="229">
        <v>-0.1389</v>
      </c>
      <c r="EA204" s="229">
        <v>1.6899999999999998E-2</v>
      </c>
      <c r="EB204" s="230">
        <v>163600</v>
      </c>
      <c r="EC204" s="229">
        <v>6.4000000000000003E-3</v>
      </c>
      <c r="ED204" s="229">
        <v>1.6899999999999998E-2</v>
      </c>
      <c r="EE204" s="228">
        <v>6.21</v>
      </c>
      <c r="EF204" s="229">
        <v>4.5999999999999999E-3</v>
      </c>
      <c r="EG204" s="230">
        <v>466058</v>
      </c>
      <c r="EH204" s="230">
        <v>146724</v>
      </c>
      <c r="EI204" s="229">
        <v>2.1764000000000001</v>
      </c>
      <c r="EJ204" s="229">
        <v>0.54269999999999996</v>
      </c>
      <c r="EK204" s="228">
        <v>371.06</v>
      </c>
      <c r="EL204" s="228">
        <v>216.42</v>
      </c>
      <c r="EM204" s="228">
        <v>213.92</v>
      </c>
      <c r="EN204" s="228">
        <v>71.09</v>
      </c>
      <c r="EO204" s="228">
        <v>801.4</v>
      </c>
      <c r="EP204" s="228">
        <v>697.46</v>
      </c>
      <c r="EQ204" s="228">
        <v>103.94</v>
      </c>
      <c r="ER204" s="229">
        <v>0.14899999999999999</v>
      </c>
      <c r="ES204" s="228">
        <v>436.58</v>
      </c>
      <c r="ET204" s="228">
        <v>328.09</v>
      </c>
      <c r="EU204" s="231">
        <v>1423.59</v>
      </c>
      <c r="EV204" s="231">
        <v>37091426</v>
      </c>
      <c r="EW204" s="231">
        <v>2188.2600000000002</v>
      </c>
      <c r="EX204" s="231">
        <v>2163.46</v>
      </c>
      <c r="EY204" s="228">
        <v>24.8</v>
      </c>
      <c r="EZ204" s="229">
        <v>1.15E-2</v>
      </c>
      <c r="FA204" s="229">
        <v>0.42780000000000001</v>
      </c>
      <c r="FB204" s="227" t="s">
        <v>567</v>
      </c>
      <c r="FC204">
        <f t="shared" si="4"/>
        <v>0</v>
      </c>
    </row>
    <row r="205" spans="1:159" ht="17.25" thickBot="1" x14ac:dyDescent="0.3">
      <c r="A205" s="226">
        <v>46093</v>
      </c>
      <c r="B205" s="227" t="s">
        <v>162</v>
      </c>
      <c r="C205" s="227" t="s">
        <v>673</v>
      </c>
      <c r="D205" s="228">
        <v>550</v>
      </c>
      <c r="E205" s="228">
        <v>18</v>
      </c>
      <c r="F205" s="231">
        <v>1069.5</v>
      </c>
      <c r="G205" s="231">
        <v>1082.5999999999999</v>
      </c>
      <c r="H205" s="228">
        <v>-13.1</v>
      </c>
      <c r="I205" s="229">
        <v>-1.21E-2</v>
      </c>
      <c r="J205" s="231">
        <v>1068.5</v>
      </c>
      <c r="K205" s="231">
        <v>1081.7</v>
      </c>
      <c r="L205" s="228">
        <v>-13.2</v>
      </c>
      <c r="M205" s="229">
        <v>-1.2200000000000001E-2</v>
      </c>
      <c r="N205" s="231">
        <v>1069.5</v>
      </c>
      <c r="O205" s="231">
        <v>1082.5999999999999</v>
      </c>
      <c r="P205" s="228">
        <v>-13.1</v>
      </c>
      <c r="Q205" s="229">
        <v>-1.21E-2</v>
      </c>
      <c r="R205" s="231">
        <v>1077.2</v>
      </c>
      <c r="S205" s="231">
        <v>1090.5999999999999</v>
      </c>
      <c r="T205" s="228">
        <v>-13.4</v>
      </c>
      <c r="U205" s="229">
        <v>-1.23E-2</v>
      </c>
      <c r="V205" s="231">
        <v>1090</v>
      </c>
      <c r="W205" s="231">
        <v>1098.2</v>
      </c>
      <c r="X205" s="228">
        <v>-8.1999999999999993</v>
      </c>
      <c r="Y205" s="229">
        <v>-7.4999999999999997E-3</v>
      </c>
      <c r="Z205" s="228">
        <v>1</v>
      </c>
      <c r="AA205" s="228">
        <v>0.9</v>
      </c>
      <c r="AB205" s="228">
        <v>0.1</v>
      </c>
      <c r="AC205" s="229">
        <v>8.9999999999999998E-4</v>
      </c>
      <c r="AD205" s="228">
        <v>1</v>
      </c>
      <c r="AE205" s="228">
        <v>0.9</v>
      </c>
      <c r="AF205" s="228">
        <v>0.1</v>
      </c>
      <c r="AG205" s="229">
        <v>8.9999999999999998E-4</v>
      </c>
      <c r="AH205" s="228">
        <v>8.6999999999999993</v>
      </c>
      <c r="AI205" s="228">
        <v>8.9</v>
      </c>
      <c r="AJ205" s="228">
        <v>-0.2</v>
      </c>
      <c r="AK205" s="229">
        <v>8.0999999999999996E-3</v>
      </c>
      <c r="AL205" s="228">
        <v>21.5</v>
      </c>
      <c r="AM205" s="228">
        <v>16.5</v>
      </c>
      <c r="AN205" s="228">
        <v>5</v>
      </c>
      <c r="AO205" s="229">
        <v>2.01E-2</v>
      </c>
      <c r="AP205" s="231">
        <v>1066.01</v>
      </c>
      <c r="AQ205" s="231">
        <v>1066.82</v>
      </c>
      <c r="AR205" s="228">
        <v>0</v>
      </c>
      <c r="AS205" s="228">
        <v>112</v>
      </c>
      <c r="AT205" s="228">
        <v>108</v>
      </c>
      <c r="AU205" s="228">
        <v>4</v>
      </c>
      <c r="AV205" s="229">
        <v>3.2500000000000001E-2</v>
      </c>
      <c r="AW205" s="228">
        <v>107</v>
      </c>
      <c r="AX205" s="228">
        <v>104</v>
      </c>
      <c r="AY205" s="228">
        <v>3</v>
      </c>
      <c r="AZ205" s="229">
        <v>2.4899999999999999E-2</v>
      </c>
      <c r="BA205" s="228">
        <v>5</v>
      </c>
      <c r="BB205" s="228">
        <v>4</v>
      </c>
      <c r="BC205" s="228">
        <v>1</v>
      </c>
      <c r="BD205" s="229">
        <v>0.29580000000000001</v>
      </c>
      <c r="BE205" s="228">
        <v>0</v>
      </c>
      <c r="BF205" s="228">
        <v>0</v>
      </c>
      <c r="BG205" s="228">
        <v>0</v>
      </c>
      <c r="BH205" s="229">
        <v>-0.83330000000000004</v>
      </c>
      <c r="BI205" s="228">
        <v>191</v>
      </c>
      <c r="BJ205" s="228">
        <v>134</v>
      </c>
      <c r="BK205" s="228">
        <v>58</v>
      </c>
      <c r="BL205" s="229">
        <v>0.43269999999999997</v>
      </c>
      <c r="BM205" s="228">
        <v>141</v>
      </c>
      <c r="BN205" s="228">
        <v>92</v>
      </c>
      <c r="BO205" s="228">
        <v>49</v>
      </c>
      <c r="BP205" s="229">
        <v>0.53059999999999996</v>
      </c>
      <c r="BQ205" s="228">
        <v>445</v>
      </c>
      <c r="BR205" s="228">
        <v>334</v>
      </c>
      <c r="BS205" s="228">
        <v>110</v>
      </c>
      <c r="BT205" s="229">
        <v>0.32990000000000003</v>
      </c>
      <c r="BU205" s="230">
        <v>1508151</v>
      </c>
      <c r="BV205" s="230">
        <v>1132980</v>
      </c>
      <c r="BW205" s="230">
        <v>375171</v>
      </c>
      <c r="BX205" s="229">
        <v>0.33110000000000001</v>
      </c>
      <c r="BY205" s="228">
        <v>643</v>
      </c>
      <c r="BZ205" s="228">
        <v>658</v>
      </c>
      <c r="CA205" s="228">
        <v>-15</v>
      </c>
      <c r="CB205" s="229">
        <v>-2.3300000000000001E-2</v>
      </c>
      <c r="CC205" s="228">
        <v>634</v>
      </c>
      <c r="CD205" s="228">
        <v>650</v>
      </c>
      <c r="CE205" s="228">
        <v>-16</v>
      </c>
      <c r="CF205" s="229">
        <v>-2.4199999999999999E-2</v>
      </c>
      <c r="CG205" s="228">
        <v>9</v>
      </c>
      <c r="CH205" s="228">
        <v>8</v>
      </c>
      <c r="CI205" s="228">
        <v>0</v>
      </c>
      <c r="CJ205" s="229">
        <v>5.04E-2</v>
      </c>
      <c r="CK205" s="228">
        <v>1</v>
      </c>
      <c r="CL205" s="228">
        <v>1</v>
      </c>
      <c r="CM205" s="228">
        <v>0</v>
      </c>
      <c r="CN205" s="229">
        <v>-0.1</v>
      </c>
      <c r="CO205" s="228">
        <v>202</v>
      </c>
      <c r="CP205" s="228">
        <v>182</v>
      </c>
      <c r="CQ205" s="228">
        <v>20</v>
      </c>
      <c r="CR205" s="229">
        <v>0.1124</v>
      </c>
      <c r="CS205" s="228">
        <v>142</v>
      </c>
      <c r="CT205" s="228">
        <v>138</v>
      </c>
      <c r="CU205" s="228">
        <v>3</v>
      </c>
      <c r="CV205" s="229">
        <v>2.5100000000000001E-2</v>
      </c>
      <c r="CW205" s="228">
        <v>987</v>
      </c>
      <c r="CX205" s="228">
        <v>978</v>
      </c>
      <c r="CY205" s="228">
        <v>9</v>
      </c>
      <c r="CZ205" s="229">
        <v>8.6999999999999994E-3</v>
      </c>
      <c r="DA205" s="228">
        <v>39.090000000000003</v>
      </c>
      <c r="DB205" s="228">
        <v>39.71</v>
      </c>
      <c r="DC205" s="228">
        <v>-0.62</v>
      </c>
      <c r="DD205" s="228">
        <v>-0.62</v>
      </c>
      <c r="DE205" s="228">
        <v>41.29</v>
      </c>
      <c r="DF205" s="228">
        <v>41.36</v>
      </c>
      <c r="DG205" s="228">
        <v>-2.2000000000000002</v>
      </c>
      <c r="DH205" s="228">
        <v>-7.0000000000000007E-2</v>
      </c>
      <c r="DI205" s="228">
        <v>37.18</v>
      </c>
      <c r="DJ205" s="228">
        <v>38.4</v>
      </c>
      <c r="DK205" s="228">
        <v>-1.22</v>
      </c>
      <c r="DL205" s="228">
        <v>-1.22</v>
      </c>
      <c r="DM205" s="228">
        <v>41.67</v>
      </c>
      <c r="DN205" s="228">
        <v>41.59</v>
      </c>
      <c r="DO205" s="228">
        <v>0.08</v>
      </c>
      <c r="DP205" s="228">
        <v>0.08</v>
      </c>
      <c r="DQ205" s="228">
        <v>0.7</v>
      </c>
      <c r="DR205" s="228">
        <v>0.76</v>
      </c>
      <c r="DS205" s="228">
        <v>-0.06</v>
      </c>
      <c r="DT205" s="229">
        <v>-7.8899999999999998E-2</v>
      </c>
      <c r="DU205" s="231">
        <v>1200</v>
      </c>
      <c r="DV205" s="231">
        <v>1200</v>
      </c>
      <c r="DW205" s="228">
        <v>0.74</v>
      </c>
      <c r="DX205" s="228">
        <v>0.69</v>
      </c>
      <c r="DY205" s="228">
        <v>0.05</v>
      </c>
      <c r="DZ205" s="229">
        <v>7.2499999999999995E-2</v>
      </c>
      <c r="EA205" s="229">
        <v>1.4200000000000001E-2</v>
      </c>
      <c r="EB205" s="230">
        <v>81950</v>
      </c>
      <c r="EC205" s="229">
        <v>7.1999999999999998E-3</v>
      </c>
      <c r="ED205" s="229">
        <v>1.4200000000000001E-2</v>
      </c>
      <c r="EE205" s="228">
        <v>0.81</v>
      </c>
      <c r="EF205" s="229">
        <v>8.0000000000000004E-4</v>
      </c>
      <c r="EG205" s="230">
        <v>999510</v>
      </c>
      <c r="EH205" s="230">
        <v>663287</v>
      </c>
      <c r="EI205" s="229">
        <v>0.50690000000000002</v>
      </c>
      <c r="EJ205" s="229">
        <v>0.66269999999999996</v>
      </c>
      <c r="EK205" s="228">
        <v>208.5</v>
      </c>
      <c r="EL205" s="228">
        <v>138.63</v>
      </c>
      <c r="EM205" s="228">
        <v>111.64</v>
      </c>
      <c r="EN205" s="228">
        <v>25.4</v>
      </c>
      <c r="EO205" s="228">
        <v>458.77</v>
      </c>
      <c r="EP205" s="228">
        <v>353.57</v>
      </c>
      <c r="EQ205" s="228">
        <v>105.2</v>
      </c>
      <c r="ER205" s="229">
        <v>0.29749999999999999</v>
      </c>
      <c r="ES205" s="228">
        <v>226.24</v>
      </c>
      <c r="ET205" s="228">
        <v>145.58000000000001</v>
      </c>
      <c r="EU205" s="228">
        <v>643.12</v>
      </c>
      <c r="EV205" s="231">
        <v>27292222</v>
      </c>
      <c r="EW205" s="231">
        <v>1014.94</v>
      </c>
      <c r="EX205" s="231">
        <v>1014.06</v>
      </c>
      <c r="EY205" s="228">
        <v>0.88</v>
      </c>
      <c r="EZ205" s="229">
        <v>8.9999999999999998E-4</v>
      </c>
      <c r="FA205" s="229">
        <v>0.33800000000000002</v>
      </c>
      <c r="FB205" s="227" t="s">
        <v>568</v>
      </c>
      <c r="FC205">
        <f t="shared" si="4"/>
        <v>0</v>
      </c>
    </row>
    <row r="206" spans="1:159" ht="17.25" thickBot="1" x14ac:dyDescent="0.3">
      <c r="A206" s="226">
        <v>46093</v>
      </c>
      <c r="B206" s="227" t="s">
        <v>498</v>
      </c>
      <c r="C206" s="227" t="s">
        <v>303</v>
      </c>
      <c r="D206" s="228">
        <v>1355</v>
      </c>
      <c r="E206" s="228">
        <v>18</v>
      </c>
      <c r="F206" s="228">
        <v>629.70000000000005</v>
      </c>
      <c r="G206" s="228">
        <v>626.25</v>
      </c>
      <c r="H206" s="228">
        <v>3.45</v>
      </c>
      <c r="I206" s="229">
        <v>5.4999999999999997E-3</v>
      </c>
      <c r="J206" s="228">
        <v>629.04999999999995</v>
      </c>
      <c r="K206" s="228">
        <v>625.85</v>
      </c>
      <c r="L206" s="228">
        <v>3.2</v>
      </c>
      <c r="M206" s="229">
        <v>5.1000000000000004E-3</v>
      </c>
      <c r="N206" s="228">
        <v>629.70000000000005</v>
      </c>
      <c r="O206" s="228">
        <v>626.25</v>
      </c>
      <c r="P206" s="228">
        <v>3.45</v>
      </c>
      <c r="Q206" s="229">
        <v>5.4999999999999997E-3</v>
      </c>
      <c r="R206" s="228">
        <v>633.45000000000005</v>
      </c>
      <c r="S206" s="228">
        <v>629.95000000000005</v>
      </c>
      <c r="T206" s="228">
        <v>3.5</v>
      </c>
      <c r="U206" s="229">
        <v>5.5999999999999999E-3</v>
      </c>
      <c r="V206" s="228">
        <v>637.1</v>
      </c>
      <c r="W206" s="228">
        <v>633.75</v>
      </c>
      <c r="X206" s="228">
        <v>3.35</v>
      </c>
      <c r="Y206" s="229">
        <v>5.3E-3</v>
      </c>
      <c r="Z206" s="228">
        <v>0.65</v>
      </c>
      <c r="AA206" s="228">
        <v>0.4</v>
      </c>
      <c r="AB206" s="228">
        <v>0.25</v>
      </c>
      <c r="AC206" s="229">
        <v>1E-3</v>
      </c>
      <c r="AD206" s="228">
        <v>0.65</v>
      </c>
      <c r="AE206" s="228">
        <v>0.4</v>
      </c>
      <c r="AF206" s="228">
        <v>0.25</v>
      </c>
      <c r="AG206" s="229">
        <v>1E-3</v>
      </c>
      <c r="AH206" s="228">
        <v>4.4000000000000004</v>
      </c>
      <c r="AI206" s="228">
        <v>4.0999999999999996</v>
      </c>
      <c r="AJ206" s="228">
        <v>0.3</v>
      </c>
      <c r="AK206" s="229">
        <v>7.0000000000000001E-3</v>
      </c>
      <c r="AL206" s="228">
        <v>8.0500000000000007</v>
      </c>
      <c r="AM206" s="228">
        <v>7.9</v>
      </c>
      <c r="AN206" s="228">
        <v>0.15</v>
      </c>
      <c r="AO206" s="229">
        <v>1.2800000000000001E-2</v>
      </c>
      <c r="AP206" s="228">
        <v>628.74</v>
      </c>
      <c r="AQ206" s="228">
        <v>633.53</v>
      </c>
      <c r="AR206" s="228">
        <v>0</v>
      </c>
      <c r="AS206" s="228">
        <v>183</v>
      </c>
      <c r="AT206" s="228">
        <v>197</v>
      </c>
      <c r="AU206" s="228">
        <v>-13</v>
      </c>
      <c r="AV206" s="229">
        <v>-6.8099999999999994E-2</v>
      </c>
      <c r="AW206" s="228">
        <v>168</v>
      </c>
      <c r="AX206" s="228">
        <v>183</v>
      </c>
      <c r="AY206" s="228">
        <v>-16</v>
      </c>
      <c r="AZ206" s="229">
        <v>-8.5199999999999998E-2</v>
      </c>
      <c r="BA206" s="228">
        <v>14</v>
      </c>
      <c r="BB206" s="228">
        <v>11</v>
      </c>
      <c r="BC206" s="228">
        <v>3</v>
      </c>
      <c r="BD206" s="229">
        <v>0.27479999999999999</v>
      </c>
      <c r="BE206" s="228">
        <v>1</v>
      </c>
      <c r="BF206" s="228">
        <v>2</v>
      </c>
      <c r="BG206" s="228">
        <v>-1</v>
      </c>
      <c r="BH206" s="229">
        <v>-0.4</v>
      </c>
      <c r="BI206" s="228">
        <v>462</v>
      </c>
      <c r="BJ206" s="228">
        <v>452</v>
      </c>
      <c r="BK206" s="228">
        <v>9</v>
      </c>
      <c r="BL206" s="229">
        <v>2.07E-2</v>
      </c>
      <c r="BM206" s="228">
        <v>249</v>
      </c>
      <c r="BN206" s="228">
        <v>235</v>
      </c>
      <c r="BO206" s="228">
        <v>14</v>
      </c>
      <c r="BP206" s="229">
        <v>5.8700000000000002E-2</v>
      </c>
      <c r="BQ206" s="228">
        <v>894</v>
      </c>
      <c r="BR206" s="228">
        <v>885</v>
      </c>
      <c r="BS206" s="228">
        <v>10</v>
      </c>
      <c r="BT206" s="229">
        <v>1.11E-2</v>
      </c>
      <c r="BU206" s="230">
        <v>1322583</v>
      </c>
      <c r="BV206" s="230">
        <v>1444635</v>
      </c>
      <c r="BW206" s="230">
        <v>-122052</v>
      </c>
      <c r="BX206" s="229">
        <v>-8.4500000000000006E-2</v>
      </c>
      <c r="BY206" s="230">
        <v>1954</v>
      </c>
      <c r="BZ206" s="230">
        <v>1960</v>
      </c>
      <c r="CA206" s="228">
        <v>-5</v>
      </c>
      <c r="CB206" s="229">
        <v>-2.8E-3</v>
      </c>
      <c r="CC206" s="230">
        <v>1882</v>
      </c>
      <c r="CD206" s="230">
        <v>1889</v>
      </c>
      <c r="CE206" s="228">
        <v>-8</v>
      </c>
      <c r="CF206" s="229">
        <v>-4.0000000000000001E-3</v>
      </c>
      <c r="CG206" s="228">
        <v>67</v>
      </c>
      <c r="CH206" s="228">
        <v>65</v>
      </c>
      <c r="CI206" s="228">
        <v>2</v>
      </c>
      <c r="CJ206" s="229">
        <v>2.6100000000000002E-2</v>
      </c>
      <c r="CK206" s="228">
        <v>6</v>
      </c>
      <c r="CL206" s="228">
        <v>5</v>
      </c>
      <c r="CM206" s="228">
        <v>0</v>
      </c>
      <c r="CN206" s="229">
        <v>6.5600000000000006E-2</v>
      </c>
      <c r="CO206" s="230">
        <v>1229</v>
      </c>
      <c r="CP206" s="230">
        <v>1277</v>
      </c>
      <c r="CQ206" s="228">
        <v>-48</v>
      </c>
      <c r="CR206" s="229">
        <v>-3.7499999999999999E-2</v>
      </c>
      <c r="CS206" s="228">
        <v>589</v>
      </c>
      <c r="CT206" s="228">
        <v>598</v>
      </c>
      <c r="CU206" s="228">
        <v>-9</v>
      </c>
      <c r="CV206" s="229">
        <v>-1.4800000000000001E-2</v>
      </c>
      <c r="CW206" s="230">
        <v>3772</v>
      </c>
      <c r="CX206" s="230">
        <v>3834</v>
      </c>
      <c r="CY206" s="228">
        <v>-62</v>
      </c>
      <c r="CZ206" s="229">
        <v>-1.6199999999999999E-2</v>
      </c>
      <c r="DA206" s="228">
        <v>34.56</v>
      </c>
      <c r="DB206" s="228">
        <v>35.01</v>
      </c>
      <c r="DC206" s="228">
        <v>-0.45</v>
      </c>
      <c r="DD206" s="228">
        <v>-0.45</v>
      </c>
      <c r="DE206" s="228">
        <v>40.450000000000003</v>
      </c>
      <c r="DF206" s="228">
        <v>40.549999999999997</v>
      </c>
      <c r="DG206" s="228">
        <v>-5.89</v>
      </c>
      <c r="DH206" s="228">
        <v>-0.1</v>
      </c>
      <c r="DI206" s="228">
        <v>33.880000000000003</v>
      </c>
      <c r="DJ206" s="228">
        <v>34.57</v>
      </c>
      <c r="DK206" s="228">
        <v>-0.69</v>
      </c>
      <c r="DL206" s="228">
        <v>-0.69</v>
      </c>
      <c r="DM206" s="228">
        <v>35.82</v>
      </c>
      <c r="DN206" s="228">
        <v>35.869999999999997</v>
      </c>
      <c r="DO206" s="228">
        <v>-0.05</v>
      </c>
      <c r="DP206" s="228">
        <v>-0.05</v>
      </c>
      <c r="DQ206" s="228">
        <v>0.48</v>
      </c>
      <c r="DR206" s="228">
        <v>0.47</v>
      </c>
      <c r="DS206" s="228">
        <v>0.01</v>
      </c>
      <c r="DT206" s="229">
        <v>2.1299999999999999E-2</v>
      </c>
      <c r="DU206" s="228">
        <v>700</v>
      </c>
      <c r="DV206" s="228">
        <v>600</v>
      </c>
      <c r="DW206" s="228">
        <v>0.54</v>
      </c>
      <c r="DX206" s="228">
        <v>0.52</v>
      </c>
      <c r="DY206" s="228">
        <v>0.02</v>
      </c>
      <c r="DZ206" s="229">
        <v>3.85E-2</v>
      </c>
      <c r="EA206" s="229">
        <v>3.7199999999999997E-2</v>
      </c>
      <c r="EB206" s="230">
        <v>1120585</v>
      </c>
      <c r="EC206" s="229">
        <v>6.0000000000000001E-3</v>
      </c>
      <c r="ED206" s="229">
        <v>3.7199999999999997E-2</v>
      </c>
      <c r="EE206" s="228">
        <v>4.79</v>
      </c>
      <c r="EF206" s="229">
        <v>7.6E-3</v>
      </c>
      <c r="EG206" s="230">
        <v>537143</v>
      </c>
      <c r="EH206" s="230">
        <v>697412</v>
      </c>
      <c r="EI206" s="229">
        <v>-0.2298</v>
      </c>
      <c r="EJ206" s="229">
        <v>0.40610000000000002</v>
      </c>
      <c r="EK206" s="228">
        <v>493.17</v>
      </c>
      <c r="EL206" s="228">
        <v>245.37</v>
      </c>
      <c r="EM206" s="228">
        <v>183.12</v>
      </c>
      <c r="EN206" s="228">
        <v>34.869999999999997</v>
      </c>
      <c r="EO206" s="228">
        <v>921.66</v>
      </c>
      <c r="EP206" s="228">
        <v>913.53</v>
      </c>
      <c r="EQ206" s="228">
        <v>8.1300000000000008</v>
      </c>
      <c r="ER206" s="229">
        <v>8.8999999999999999E-3</v>
      </c>
      <c r="ES206" s="231">
        <v>1355.7</v>
      </c>
      <c r="ET206" s="228">
        <v>591.94000000000005</v>
      </c>
      <c r="EU206" s="231">
        <v>1954.65</v>
      </c>
      <c r="EV206" s="231">
        <v>84228583</v>
      </c>
      <c r="EW206" s="231">
        <v>3902.29</v>
      </c>
      <c r="EX206" s="231">
        <v>3957.99</v>
      </c>
      <c r="EY206" s="228">
        <v>-55.7</v>
      </c>
      <c r="EZ206" s="229">
        <v>-1.41E-2</v>
      </c>
      <c r="FA206" s="229">
        <v>0.71120000000000005</v>
      </c>
      <c r="FB206" s="227" t="s">
        <v>556</v>
      </c>
      <c r="FC206">
        <f t="shared" si="4"/>
        <v>0</v>
      </c>
    </row>
    <row r="207" spans="1:159" ht="17.25" thickBot="1" x14ac:dyDescent="0.3">
      <c r="A207" s="226">
        <v>46093</v>
      </c>
      <c r="B207" s="227" t="s">
        <v>168</v>
      </c>
      <c r="C207" s="227" t="s">
        <v>586</v>
      </c>
      <c r="D207" s="228">
        <v>1125</v>
      </c>
      <c r="E207" s="228">
        <v>18</v>
      </c>
      <c r="F207" s="228">
        <v>412.05</v>
      </c>
      <c r="G207" s="228">
        <v>431.4</v>
      </c>
      <c r="H207" s="228">
        <v>-19.350000000000001</v>
      </c>
      <c r="I207" s="229">
        <v>-4.4900000000000002E-2</v>
      </c>
      <c r="J207" s="228">
        <v>411.05</v>
      </c>
      <c r="K207" s="228">
        <v>431.25</v>
      </c>
      <c r="L207" s="228">
        <v>-20.2</v>
      </c>
      <c r="M207" s="229">
        <v>-4.6800000000000001E-2</v>
      </c>
      <c r="N207" s="228">
        <v>412.05</v>
      </c>
      <c r="O207" s="228">
        <v>431.4</v>
      </c>
      <c r="P207" s="228">
        <v>-19.350000000000001</v>
      </c>
      <c r="Q207" s="229">
        <v>-4.4900000000000002E-2</v>
      </c>
      <c r="R207" s="228">
        <v>414.65</v>
      </c>
      <c r="S207" s="228">
        <v>434.1</v>
      </c>
      <c r="T207" s="228">
        <v>-19.45</v>
      </c>
      <c r="U207" s="229">
        <v>-4.48E-2</v>
      </c>
      <c r="V207" s="228">
        <v>416.7</v>
      </c>
      <c r="W207" s="228">
        <v>436.15</v>
      </c>
      <c r="X207" s="228">
        <v>-19.45</v>
      </c>
      <c r="Y207" s="229">
        <v>-4.4600000000000001E-2</v>
      </c>
      <c r="Z207" s="228">
        <v>1</v>
      </c>
      <c r="AA207" s="228">
        <v>0.15</v>
      </c>
      <c r="AB207" s="228">
        <v>0.85</v>
      </c>
      <c r="AC207" s="229">
        <v>2.3999999999999998E-3</v>
      </c>
      <c r="AD207" s="228">
        <v>1</v>
      </c>
      <c r="AE207" s="228">
        <v>0.15</v>
      </c>
      <c r="AF207" s="228">
        <v>0.85</v>
      </c>
      <c r="AG207" s="229">
        <v>2.3999999999999998E-3</v>
      </c>
      <c r="AH207" s="228">
        <v>3.6</v>
      </c>
      <c r="AI207" s="228">
        <v>2.85</v>
      </c>
      <c r="AJ207" s="228">
        <v>0.75</v>
      </c>
      <c r="AK207" s="229">
        <v>8.8000000000000005E-3</v>
      </c>
      <c r="AL207" s="228">
        <v>5.65</v>
      </c>
      <c r="AM207" s="228">
        <v>4.9000000000000004</v>
      </c>
      <c r="AN207" s="228">
        <v>0.75</v>
      </c>
      <c r="AO207" s="229">
        <v>1.37E-2</v>
      </c>
      <c r="AP207" s="228">
        <v>416.31</v>
      </c>
      <c r="AQ207" s="228">
        <v>418.72</v>
      </c>
      <c r="AR207" s="228">
        <v>0</v>
      </c>
      <c r="AS207" s="228">
        <v>526</v>
      </c>
      <c r="AT207" s="228">
        <v>262</v>
      </c>
      <c r="AU207" s="228">
        <v>263</v>
      </c>
      <c r="AV207" s="229">
        <v>1.0032000000000001</v>
      </c>
      <c r="AW207" s="228">
        <v>452</v>
      </c>
      <c r="AX207" s="228">
        <v>231</v>
      </c>
      <c r="AY207" s="228">
        <v>221</v>
      </c>
      <c r="AZ207" s="229">
        <v>0.95840000000000003</v>
      </c>
      <c r="BA207" s="228">
        <v>64</v>
      </c>
      <c r="BB207" s="228">
        <v>27</v>
      </c>
      <c r="BC207" s="228">
        <v>36</v>
      </c>
      <c r="BD207" s="229">
        <v>1.3452999999999999</v>
      </c>
      <c r="BE207" s="228">
        <v>10</v>
      </c>
      <c r="BF207" s="228">
        <v>5</v>
      </c>
      <c r="BG207" s="228">
        <v>6</v>
      </c>
      <c r="BH207" s="229">
        <v>1.2277</v>
      </c>
      <c r="BI207" s="228">
        <v>897</v>
      </c>
      <c r="BJ207" s="228">
        <v>479</v>
      </c>
      <c r="BK207" s="228">
        <v>419</v>
      </c>
      <c r="BL207" s="229">
        <v>0.87470000000000003</v>
      </c>
      <c r="BM207" s="228">
        <v>644</v>
      </c>
      <c r="BN207" s="228">
        <v>145</v>
      </c>
      <c r="BO207" s="228">
        <v>499</v>
      </c>
      <c r="BP207" s="229">
        <v>3.4548000000000001</v>
      </c>
      <c r="BQ207" s="230">
        <v>2067</v>
      </c>
      <c r="BR207" s="228">
        <v>886</v>
      </c>
      <c r="BS207" s="230">
        <v>1181</v>
      </c>
      <c r="BT207" s="229">
        <v>1.3339000000000001</v>
      </c>
      <c r="BU207" s="230">
        <v>12685071</v>
      </c>
      <c r="BV207" s="230">
        <v>7823908</v>
      </c>
      <c r="BW207" s="230">
        <v>4861163</v>
      </c>
      <c r="BX207" s="229">
        <v>0.62129999999999996</v>
      </c>
      <c r="BY207" s="230">
        <v>1796</v>
      </c>
      <c r="BZ207" s="230">
        <v>1768</v>
      </c>
      <c r="CA207" s="228">
        <v>28</v>
      </c>
      <c r="CB207" s="229">
        <v>1.6E-2</v>
      </c>
      <c r="CC207" s="230">
        <v>1665</v>
      </c>
      <c r="CD207" s="230">
        <v>1664</v>
      </c>
      <c r="CE207" s="228">
        <v>2</v>
      </c>
      <c r="CF207" s="229">
        <v>1E-3</v>
      </c>
      <c r="CG207" s="228">
        <v>119</v>
      </c>
      <c r="CH207" s="228">
        <v>98</v>
      </c>
      <c r="CI207" s="228">
        <v>21</v>
      </c>
      <c r="CJ207" s="229">
        <v>0.21629999999999999</v>
      </c>
      <c r="CK207" s="228">
        <v>12</v>
      </c>
      <c r="CL207" s="228">
        <v>6</v>
      </c>
      <c r="CM207" s="228">
        <v>5</v>
      </c>
      <c r="CN207" s="229">
        <v>0.87219999999999998</v>
      </c>
      <c r="CO207" s="228">
        <v>657</v>
      </c>
      <c r="CP207" s="228">
        <v>495</v>
      </c>
      <c r="CQ207" s="228">
        <v>161</v>
      </c>
      <c r="CR207" s="229">
        <v>0.32550000000000001</v>
      </c>
      <c r="CS207" s="228">
        <v>353</v>
      </c>
      <c r="CT207" s="228">
        <v>292</v>
      </c>
      <c r="CU207" s="228">
        <v>61</v>
      </c>
      <c r="CV207" s="229">
        <v>0.2102</v>
      </c>
      <c r="CW207" s="230">
        <v>2806</v>
      </c>
      <c r="CX207" s="230">
        <v>2555</v>
      </c>
      <c r="CY207" s="228">
        <v>251</v>
      </c>
      <c r="CZ207" s="229">
        <v>9.8199999999999996E-2</v>
      </c>
      <c r="DA207" s="228">
        <v>38.159999999999997</v>
      </c>
      <c r="DB207" s="228">
        <v>34.83</v>
      </c>
      <c r="DC207" s="228">
        <v>3.33</v>
      </c>
      <c r="DD207" s="228">
        <v>3.33</v>
      </c>
      <c r="DE207" s="228">
        <v>36.67</v>
      </c>
      <c r="DF207" s="228">
        <v>36.18</v>
      </c>
      <c r="DG207" s="228">
        <v>1.49</v>
      </c>
      <c r="DH207" s="228">
        <v>0.49</v>
      </c>
      <c r="DI207" s="228">
        <v>38.39</v>
      </c>
      <c r="DJ207" s="228">
        <v>34.78</v>
      </c>
      <c r="DK207" s="228">
        <v>3.61</v>
      </c>
      <c r="DL207" s="228">
        <v>3.61</v>
      </c>
      <c r="DM207" s="228">
        <v>37.840000000000003</v>
      </c>
      <c r="DN207" s="228">
        <v>35</v>
      </c>
      <c r="DO207" s="228">
        <v>2.84</v>
      </c>
      <c r="DP207" s="228">
        <v>2.84</v>
      </c>
      <c r="DQ207" s="228">
        <v>0.54</v>
      </c>
      <c r="DR207" s="228">
        <v>0.59</v>
      </c>
      <c r="DS207" s="228">
        <v>-0.05</v>
      </c>
      <c r="DT207" s="229">
        <v>-8.4699999999999998E-2</v>
      </c>
      <c r="DU207" s="228">
        <v>500</v>
      </c>
      <c r="DV207" s="228">
        <v>440</v>
      </c>
      <c r="DW207" s="228">
        <v>0.72</v>
      </c>
      <c r="DX207" s="228">
        <v>0.3</v>
      </c>
      <c r="DY207" s="228">
        <v>0.42</v>
      </c>
      <c r="DZ207" s="229">
        <v>1.4</v>
      </c>
      <c r="EA207" s="229">
        <v>7.2800000000000004E-2</v>
      </c>
      <c r="EB207" s="230">
        <v>2526750</v>
      </c>
      <c r="EC207" s="229">
        <v>6.3E-3</v>
      </c>
      <c r="ED207" s="229">
        <v>7.2800000000000004E-2</v>
      </c>
      <c r="EE207" s="228">
        <v>2.41</v>
      </c>
      <c r="EF207" s="229">
        <v>5.7999999999999996E-3</v>
      </c>
      <c r="EG207" s="230">
        <v>7053305</v>
      </c>
      <c r="EH207" s="230">
        <v>5164272</v>
      </c>
      <c r="EI207" s="229">
        <v>0.36580000000000001</v>
      </c>
      <c r="EJ207" s="229">
        <v>0.55600000000000005</v>
      </c>
      <c r="EK207" s="228">
        <v>981.58</v>
      </c>
      <c r="EL207" s="228">
        <v>650.64</v>
      </c>
      <c r="EM207" s="228">
        <v>531.5</v>
      </c>
      <c r="EN207" s="228">
        <v>57.84</v>
      </c>
      <c r="EO207" s="231">
        <v>2163.7199999999998</v>
      </c>
      <c r="EP207" s="228">
        <v>970.97</v>
      </c>
      <c r="EQ207" s="231">
        <v>1192.74</v>
      </c>
      <c r="ER207" s="229">
        <v>1.2283999999999999</v>
      </c>
      <c r="ES207" s="228">
        <v>745.61</v>
      </c>
      <c r="ET207" s="228">
        <v>363.43</v>
      </c>
      <c r="EU207" s="231">
        <v>1796.98</v>
      </c>
      <c r="EV207" s="231">
        <v>205761118</v>
      </c>
      <c r="EW207" s="231">
        <v>2906.01</v>
      </c>
      <c r="EX207" s="231">
        <v>2729.17</v>
      </c>
      <c r="EY207" s="228">
        <v>176.84</v>
      </c>
      <c r="EZ207" s="229">
        <v>6.4799999999999996E-2</v>
      </c>
      <c r="FA207" s="229">
        <v>0.33100000000000002</v>
      </c>
      <c r="FB207" s="227" t="s">
        <v>567</v>
      </c>
      <c r="FC207">
        <f t="shared" si="4"/>
        <v>0</v>
      </c>
    </row>
    <row r="208" spans="1:159" ht="17.25" thickBot="1" x14ac:dyDescent="0.3">
      <c r="A208" s="226">
        <v>46093</v>
      </c>
      <c r="B208" s="227" t="s">
        <v>227</v>
      </c>
      <c r="C208" s="227" t="s">
        <v>304</v>
      </c>
      <c r="D208" s="228">
        <v>1150</v>
      </c>
      <c r="E208" s="228">
        <v>18</v>
      </c>
      <c r="F208" s="228">
        <v>718.9</v>
      </c>
      <c r="G208" s="228">
        <v>717.35</v>
      </c>
      <c r="H208" s="228">
        <v>1.55</v>
      </c>
      <c r="I208" s="229">
        <v>2.2000000000000001E-3</v>
      </c>
      <c r="J208" s="228">
        <v>719.6</v>
      </c>
      <c r="K208" s="228">
        <v>721.55</v>
      </c>
      <c r="L208" s="228">
        <v>-1.95</v>
      </c>
      <c r="M208" s="229">
        <v>-2.7000000000000001E-3</v>
      </c>
      <c r="N208" s="228">
        <v>718.9</v>
      </c>
      <c r="O208" s="228">
        <v>717.35</v>
      </c>
      <c r="P208" s="228">
        <v>1.55</v>
      </c>
      <c r="Q208" s="229">
        <v>2.2000000000000001E-3</v>
      </c>
      <c r="R208" s="228">
        <v>720.95</v>
      </c>
      <c r="S208" s="228">
        <v>719</v>
      </c>
      <c r="T208" s="228">
        <v>1.95</v>
      </c>
      <c r="U208" s="229">
        <v>2.7000000000000001E-3</v>
      </c>
      <c r="V208" s="228">
        <v>721.6</v>
      </c>
      <c r="W208" s="228">
        <v>719.25</v>
      </c>
      <c r="X208" s="228">
        <v>2.35</v>
      </c>
      <c r="Y208" s="229">
        <v>3.3E-3</v>
      </c>
      <c r="Z208" s="228">
        <v>-0.7</v>
      </c>
      <c r="AA208" s="228">
        <v>-4.2</v>
      </c>
      <c r="AB208" s="228">
        <v>3.5</v>
      </c>
      <c r="AC208" s="229">
        <v>-1E-3</v>
      </c>
      <c r="AD208" s="228">
        <v>-0.7</v>
      </c>
      <c r="AE208" s="228">
        <v>-4.2</v>
      </c>
      <c r="AF208" s="228">
        <v>3.5</v>
      </c>
      <c r="AG208" s="229">
        <v>-1E-3</v>
      </c>
      <c r="AH208" s="228">
        <v>1.35</v>
      </c>
      <c r="AI208" s="228">
        <v>-2.5499999999999998</v>
      </c>
      <c r="AJ208" s="228">
        <v>3.9</v>
      </c>
      <c r="AK208" s="229">
        <v>1.9E-3</v>
      </c>
      <c r="AL208" s="228">
        <v>2</v>
      </c>
      <c r="AM208" s="228">
        <v>-2.2999999999999998</v>
      </c>
      <c r="AN208" s="228">
        <v>4.3</v>
      </c>
      <c r="AO208" s="229">
        <v>2.8E-3</v>
      </c>
      <c r="AP208" s="228">
        <v>711.01</v>
      </c>
      <c r="AQ208" s="228">
        <v>712.39</v>
      </c>
      <c r="AR208" s="228">
        <v>0</v>
      </c>
      <c r="AS208" s="228">
        <v>907</v>
      </c>
      <c r="AT208" s="230">
        <v>1313</v>
      </c>
      <c r="AU208" s="228">
        <v>-406</v>
      </c>
      <c r="AV208" s="229">
        <v>-0.30919999999999997</v>
      </c>
      <c r="AW208" s="228">
        <v>818</v>
      </c>
      <c r="AX208" s="230">
        <v>1181</v>
      </c>
      <c r="AY208" s="228">
        <v>-363</v>
      </c>
      <c r="AZ208" s="229">
        <v>-0.30709999999999998</v>
      </c>
      <c r="BA208" s="228">
        <v>75</v>
      </c>
      <c r="BB208" s="228">
        <v>109</v>
      </c>
      <c r="BC208" s="228">
        <v>-34</v>
      </c>
      <c r="BD208" s="229">
        <v>-0.31419999999999998</v>
      </c>
      <c r="BE208" s="228">
        <v>14</v>
      </c>
      <c r="BF208" s="228">
        <v>23</v>
      </c>
      <c r="BG208" s="228">
        <v>-9</v>
      </c>
      <c r="BH208" s="229">
        <v>-0.39129999999999998</v>
      </c>
      <c r="BI208" s="230">
        <v>3158</v>
      </c>
      <c r="BJ208" s="230">
        <v>5126</v>
      </c>
      <c r="BK208" s="230">
        <v>-1968</v>
      </c>
      <c r="BL208" s="229">
        <v>-0.38390000000000002</v>
      </c>
      <c r="BM208" s="230">
        <v>1591</v>
      </c>
      <c r="BN208" s="230">
        <v>2168</v>
      </c>
      <c r="BO208" s="228">
        <v>-577</v>
      </c>
      <c r="BP208" s="229">
        <v>-0.2661</v>
      </c>
      <c r="BQ208" s="230">
        <v>5657</v>
      </c>
      <c r="BR208" s="230">
        <v>8607</v>
      </c>
      <c r="BS208" s="230">
        <v>-2951</v>
      </c>
      <c r="BT208" s="229">
        <v>-0.34279999999999999</v>
      </c>
      <c r="BU208" s="230">
        <v>10563773</v>
      </c>
      <c r="BV208" s="230">
        <v>16684431</v>
      </c>
      <c r="BW208" s="230">
        <v>-6120658</v>
      </c>
      <c r="BX208" s="229">
        <v>-0.36680000000000001</v>
      </c>
      <c r="BY208" s="230">
        <v>4952</v>
      </c>
      <c r="BZ208" s="230">
        <v>4906</v>
      </c>
      <c r="CA208" s="228">
        <v>47</v>
      </c>
      <c r="CB208" s="229">
        <v>9.4999999999999998E-3</v>
      </c>
      <c r="CC208" s="230">
        <v>4322</v>
      </c>
      <c r="CD208" s="230">
        <v>4292</v>
      </c>
      <c r="CE208" s="228">
        <v>30</v>
      </c>
      <c r="CF208" s="229">
        <v>7.0000000000000001E-3</v>
      </c>
      <c r="CG208" s="228">
        <v>401</v>
      </c>
      <c r="CH208" s="228">
        <v>388</v>
      </c>
      <c r="CI208" s="228">
        <v>13</v>
      </c>
      <c r="CJ208" s="229">
        <v>3.4299999999999997E-2</v>
      </c>
      <c r="CK208" s="228">
        <v>229</v>
      </c>
      <c r="CL208" s="228">
        <v>225</v>
      </c>
      <c r="CM208" s="228">
        <v>3</v>
      </c>
      <c r="CN208" s="229">
        <v>1.5100000000000001E-2</v>
      </c>
      <c r="CO208" s="230">
        <v>2532</v>
      </c>
      <c r="CP208" s="230">
        <v>2464</v>
      </c>
      <c r="CQ208" s="228">
        <v>68</v>
      </c>
      <c r="CR208" s="229">
        <v>2.76E-2</v>
      </c>
      <c r="CS208" s="230">
        <v>1627</v>
      </c>
      <c r="CT208" s="230">
        <v>1599</v>
      </c>
      <c r="CU208" s="228">
        <v>27</v>
      </c>
      <c r="CV208" s="229">
        <v>1.72E-2</v>
      </c>
      <c r="CW208" s="230">
        <v>9111</v>
      </c>
      <c r="CX208" s="230">
        <v>8969</v>
      </c>
      <c r="CY208" s="228">
        <v>142</v>
      </c>
      <c r="CZ208" s="229">
        <v>1.5800000000000002E-2</v>
      </c>
      <c r="DA208" s="228">
        <v>41.37</v>
      </c>
      <c r="DB208" s="228">
        <v>40.200000000000003</v>
      </c>
      <c r="DC208" s="228">
        <v>1.17</v>
      </c>
      <c r="DD208" s="228">
        <v>1.17</v>
      </c>
      <c r="DE208" s="228">
        <v>40.53</v>
      </c>
      <c r="DF208" s="228">
        <v>40.630000000000003</v>
      </c>
      <c r="DG208" s="228">
        <v>0.84</v>
      </c>
      <c r="DH208" s="228">
        <v>-0.1</v>
      </c>
      <c r="DI208" s="228">
        <v>41.14</v>
      </c>
      <c r="DJ208" s="228">
        <v>40.11</v>
      </c>
      <c r="DK208" s="228">
        <v>1.03</v>
      </c>
      <c r="DL208" s="228">
        <v>1.03</v>
      </c>
      <c r="DM208" s="228">
        <v>41.82</v>
      </c>
      <c r="DN208" s="228">
        <v>40.42</v>
      </c>
      <c r="DO208" s="228">
        <v>1.4</v>
      </c>
      <c r="DP208" s="228">
        <v>1.4</v>
      </c>
      <c r="DQ208" s="228">
        <v>0.64</v>
      </c>
      <c r="DR208" s="228">
        <v>0.65</v>
      </c>
      <c r="DS208" s="228">
        <v>-0.01</v>
      </c>
      <c r="DT208" s="229">
        <v>-1.54E-2</v>
      </c>
      <c r="DU208" s="228">
        <v>750</v>
      </c>
      <c r="DV208" s="228">
        <v>700</v>
      </c>
      <c r="DW208" s="228">
        <v>0.5</v>
      </c>
      <c r="DX208" s="228">
        <v>0.42</v>
      </c>
      <c r="DY208" s="228">
        <v>0.08</v>
      </c>
      <c r="DZ208" s="229">
        <v>0.1905</v>
      </c>
      <c r="EA208" s="229">
        <v>0.12720000000000001</v>
      </c>
      <c r="EB208" s="230">
        <v>8530700</v>
      </c>
      <c r="EC208" s="229">
        <v>2.8999999999999998E-3</v>
      </c>
      <c r="ED208" s="229">
        <v>0.12720000000000001</v>
      </c>
      <c r="EE208" s="228">
        <v>1.38</v>
      </c>
      <c r="EF208" s="229">
        <v>1.9E-3</v>
      </c>
      <c r="EG208" s="230">
        <v>3395357</v>
      </c>
      <c r="EH208" s="230">
        <v>7271020</v>
      </c>
      <c r="EI208" s="229">
        <v>-0.53300000000000003</v>
      </c>
      <c r="EJ208" s="229">
        <v>0.32140000000000002</v>
      </c>
      <c r="EK208" s="231">
        <v>3329.53</v>
      </c>
      <c r="EL208" s="231">
        <v>1573.38</v>
      </c>
      <c r="EM208" s="228">
        <v>897.15</v>
      </c>
      <c r="EN208" s="228">
        <v>162.83000000000001</v>
      </c>
      <c r="EO208" s="231">
        <v>5800.07</v>
      </c>
      <c r="EP208" s="231">
        <v>9007.77</v>
      </c>
      <c r="EQ208" s="231">
        <v>-3207.7</v>
      </c>
      <c r="ER208" s="229">
        <v>-0.35610000000000003</v>
      </c>
      <c r="ES208" s="231">
        <v>2630.13</v>
      </c>
      <c r="ET208" s="231">
        <v>1536.81</v>
      </c>
      <c r="EU208" s="231">
        <v>4954.0600000000004</v>
      </c>
      <c r="EV208" s="231">
        <v>255091106</v>
      </c>
      <c r="EW208" s="231">
        <v>9121</v>
      </c>
      <c r="EX208" s="231">
        <v>8965.1200000000008</v>
      </c>
      <c r="EY208" s="228">
        <v>155.88</v>
      </c>
      <c r="EZ208" s="229">
        <v>1.7399999999999999E-2</v>
      </c>
      <c r="FA208" s="229">
        <v>0.49680000000000002</v>
      </c>
      <c r="FB208" s="227" t="s">
        <v>555</v>
      </c>
      <c r="FC208">
        <f t="shared" si="4"/>
        <v>0</v>
      </c>
    </row>
    <row r="209" spans="1:159" ht="17.25" thickBot="1" x14ac:dyDescent="0.3">
      <c r="A209" s="226">
        <v>46093</v>
      </c>
      <c r="B209" s="227" t="s">
        <v>184</v>
      </c>
      <c r="C209" s="227" t="s">
        <v>305</v>
      </c>
      <c r="D209" s="228">
        <v>375</v>
      </c>
      <c r="E209" s="228">
        <v>18</v>
      </c>
      <c r="F209" s="231">
        <v>1445.7</v>
      </c>
      <c r="G209" s="231">
        <v>1463.4</v>
      </c>
      <c r="H209" s="228">
        <v>-17.7</v>
      </c>
      <c r="I209" s="229">
        <v>-1.21E-2</v>
      </c>
      <c r="J209" s="231">
        <v>1449.4</v>
      </c>
      <c r="K209" s="231">
        <v>1471.4</v>
      </c>
      <c r="L209" s="228">
        <v>-22</v>
      </c>
      <c r="M209" s="229">
        <v>-1.4999999999999999E-2</v>
      </c>
      <c r="N209" s="231">
        <v>1445.7</v>
      </c>
      <c r="O209" s="231">
        <v>1463.4</v>
      </c>
      <c r="P209" s="228">
        <v>-17.7</v>
      </c>
      <c r="Q209" s="229">
        <v>-1.21E-2</v>
      </c>
      <c r="R209" s="231">
        <v>1435.8</v>
      </c>
      <c r="S209" s="231">
        <v>1456.2</v>
      </c>
      <c r="T209" s="228">
        <v>-20.399999999999999</v>
      </c>
      <c r="U209" s="229">
        <v>-1.4E-2</v>
      </c>
      <c r="V209" s="231">
        <v>1428.8</v>
      </c>
      <c r="W209" s="231">
        <v>1450.4</v>
      </c>
      <c r="X209" s="228">
        <v>-21.6</v>
      </c>
      <c r="Y209" s="229">
        <v>-1.49E-2</v>
      </c>
      <c r="Z209" s="228">
        <v>-3.7</v>
      </c>
      <c r="AA209" s="228">
        <v>-8</v>
      </c>
      <c r="AB209" s="228">
        <v>4.3</v>
      </c>
      <c r="AC209" s="229">
        <v>-2.5999999999999999E-3</v>
      </c>
      <c r="AD209" s="228">
        <v>-3.7</v>
      </c>
      <c r="AE209" s="228">
        <v>-8</v>
      </c>
      <c r="AF209" s="228">
        <v>4.3</v>
      </c>
      <c r="AG209" s="229">
        <v>-2.5999999999999999E-3</v>
      </c>
      <c r="AH209" s="228">
        <v>-13.6</v>
      </c>
      <c r="AI209" s="228">
        <v>-15.2</v>
      </c>
      <c r="AJ209" s="228">
        <v>1.6</v>
      </c>
      <c r="AK209" s="229">
        <v>-9.4000000000000004E-3</v>
      </c>
      <c r="AL209" s="228">
        <v>-20.6</v>
      </c>
      <c r="AM209" s="228">
        <v>-21</v>
      </c>
      <c r="AN209" s="228">
        <v>0.4</v>
      </c>
      <c r="AO209" s="229">
        <v>-1.4200000000000001E-2</v>
      </c>
      <c r="AP209" s="231">
        <v>1442.08</v>
      </c>
      <c r="AQ209" s="231">
        <v>1431.33</v>
      </c>
      <c r="AR209" s="228">
        <v>0</v>
      </c>
      <c r="AS209" s="228">
        <v>390</v>
      </c>
      <c r="AT209" s="228">
        <v>553</v>
      </c>
      <c r="AU209" s="228">
        <v>-163</v>
      </c>
      <c r="AV209" s="229">
        <v>-0.29399999999999998</v>
      </c>
      <c r="AW209" s="228">
        <v>317</v>
      </c>
      <c r="AX209" s="228">
        <v>495</v>
      </c>
      <c r="AY209" s="228">
        <v>-179</v>
      </c>
      <c r="AZ209" s="229">
        <v>-0.36030000000000001</v>
      </c>
      <c r="BA209" s="228">
        <v>64</v>
      </c>
      <c r="BB209" s="228">
        <v>53</v>
      </c>
      <c r="BC209" s="228">
        <v>11</v>
      </c>
      <c r="BD209" s="229">
        <v>0.21709999999999999</v>
      </c>
      <c r="BE209" s="228">
        <v>9</v>
      </c>
      <c r="BF209" s="228">
        <v>5</v>
      </c>
      <c r="BG209" s="228">
        <v>5</v>
      </c>
      <c r="BH209" s="229">
        <v>0.98819999999999997</v>
      </c>
      <c r="BI209" s="230">
        <v>1111</v>
      </c>
      <c r="BJ209" s="230">
        <v>2251</v>
      </c>
      <c r="BK209" s="230">
        <v>-1141</v>
      </c>
      <c r="BL209" s="229">
        <v>-0.50670000000000004</v>
      </c>
      <c r="BM209" s="228">
        <v>380</v>
      </c>
      <c r="BN209" s="228">
        <v>684</v>
      </c>
      <c r="BO209" s="228">
        <v>-304</v>
      </c>
      <c r="BP209" s="229">
        <v>-0.44469999999999998</v>
      </c>
      <c r="BQ209" s="230">
        <v>1880</v>
      </c>
      <c r="BR209" s="230">
        <v>3487</v>
      </c>
      <c r="BS209" s="230">
        <v>-1607</v>
      </c>
      <c r="BT209" s="229">
        <v>-0.46079999999999999</v>
      </c>
      <c r="BU209" s="230">
        <v>827557</v>
      </c>
      <c r="BV209" s="230">
        <v>1190150</v>
      </c>
      <c r="BW209" s="230">
        <v>-362593</v>
      </c>
      <c r="BX209" s="229">
        <v>-0.30470000000000003</v>
      </c>
      <c r="BY209" s="230">
        <v>1564</v>
      </c>
      <c r="BZ209" s="230">
        <v>1499</v>
      </c>
      <c r="CA209" s="228">
        <v>65</v>
      </c>
      <c r="CB209" s="229">
        <v>4.3200000000000002E-2</v>
      </c>
      <c r="CC209" s="230">
        <v>1429</v>
      </c>
      <c r="CD209" s="230">
        <v>1400</v>
      </c>
      <c r="CE209" s="228">
        <v>29</v>
      </c>
      <c r="CF209" s="229">
        <v>2.0899999999999998E-2</v>
      </c>
      <c r="CG209" s="228">
        <v>122</v>
      </c>
      <c r="CH209" s="228">
        <v>91</v>
      </c>
      <c r="CI209" s="228">
        <v>31</v>
      </c>
      <c r="CJ209" s="229">
        <v>0.34670000000000001</v>
      </c>
      <c r="CK209" s="228">
        <v>13</v>
      </c>
      <c r="CL209" s="228">
        <v>9</v>
      </c>
      <c r="CM209" s="228">
        <v>4</v>
      </c>
      <c r="CN209" s="229">
        <v>0.47470000000000001</v>
      </c>
      <c r="CO209" s="228">
        <v>804</v>
      </c>
      <c r="CP209" s="228">
        <v>798</v>
      </c>
      <c r="CQ209" s="228">
        <v>7</v>
      </c>
      <c r="CR209" s="229">
        <v>8.3999999999999995E-3</v>
      </c>
      <c r="CS209" s="228">
        <v>504</v>
      </c>
      <c r="CT209" s="228">
        <v>507</v>
      </c>
      <c r="CU209" s="228">
        <v>-3</v>
      </c>
      <c r="CV209" s="229">
        <v>-6.4999999999999997E-3</v>
      </c>
      <c r="CW209" s="230">
        <v>2872</v>
      </c>
      <c r="CX209" s="230">
        <v>2804</v>
      </c>
      <c r="CY209" s="228">
        <v>68</v>
      </c>
      <c r="CZ209" s="229">
        <v>2.4299999999999999E-2</v>
      </c>
      <c r="DA209" s="228">
        <v>42.88</v>
      </c>
      <c r="DB209" s="228">
        <v>40.729999999999997</v>
      </c>
      <c r="DC209" s="228">
        <v>2.15</v>
      </c>
      <c r="DD209" s="228">
        <v>2.15</v>
      </c>
      <c r="DE209" s="228">
        <v>37.409999999999997</v>
      </c>
      <c r="DF209" s="228">
        <v>37.47</v>
      </c>
      <c r="DG209" s="228">
        <v>5.47</v>
      </c>
      <c r="DH209" s="228">
        <v>-0.06</v>
      </c>
      <c r="DI209" s="228">
        <v>42.24</v>
      </c>
      <c r="DJ209" s="228">
        <v>40.17</v>
      </c>
      <c r="DK209" s="228">
        <v>2.0699999999999998</v>
      </c>
      <c r="DL209" s="228">
        <v>2.0699999999999998</v>
      </c>
      <c r="DM209" s="228">
        <v>44.73</v>
      </c>
      <c r="DN209" s="228">
        <v>42.56</v>
      </c>
      <c r="DO209" s="228">
        <v>2.17</v>
      </c>
      <c r="DP209" s="228">
        <v>2.17</v>
      </c>
      <c r="DQ209" s="228">
        <v>0.63</v>
      </c>
      <c r="DR209" s="228">
        <v>0.64</v>
      </c>
      <c r="DS209" s="228">
        <v>-0.01</v>
      </c>
      <c r="DT209" s="229">
        <v>-1.5599999999999999E-2</v>
      </c>
      <c r="DU209" s="231">
        <v>1600</v>
      </c>
      <c r="DV209" s="231">
        <v>1400</v>
      </c>
      <c r="DW209" s="228">
        <v>0.34</v>
      </c>
      <c r="DX209" s="228">
        <v>0.3</v>
      </c>
      <c r="DY209" s="228">
        <v>0.04</v>
      </c>
      <c r="DZ209" s="229">
        <v>0.1333</v>
      </c>
      <c r="EA209" s="229">
        <v>8.6199999999999999E-2</v>
      </c>
      <c r="EB209" s="230">
        <v>686625</v>
      </c>
      <c r="EC209" s="229">
        <v>-6.7999999999999996E-3</v>
      </c>
      <c r="ED209" s="229">
        <v>8.6199999999999999E-2</v>
      </c>
      <c r="EE209" s="228">
        <v>-10.75</v>
      </c>
      <c r="EF209" s="229">
        <v>-7.4999999999999997E-3</v>
      </c>
      <c r="EG209" s="230">
        <v>249816</v>
      </c>
      <c r="EH209" s="230">
        <v>384590</v>
      </c>
      <c r="EI209" s="229">
        <v>-0.35039999999999999</v>
      </c>
      <c r="EJ209" s="229">
        <v>0.3019</v>
      </c>
      <c r="EK209" s="231">
        <v>1189.4100000000001</v>
      </c>
      <c r="EL209" s="228">
        <v>383.14</v>
      </c>
      <c r="EM209" s="228">
        <v>388.67</v>
      </c>
      <c r="EN209" s="228">
        <v>72.97</v>
      </c>
      <c r="EO209" s="231">
        <v>1961.22</v>
      </c>
      <c r="EP209" s="231">
        <v>3716.82</v>
      </c>
      <c r="EQ209" s="231">
        <v>-1755.6</v>
      </c>
      <c r="ER209" s="229">
        <v>-0.4723</v>
      </c>
      <c r="ES209" s="228">
        <v>866.94</v>
      </c>
      <c r="ET209" s="228">
        <v>496.71</v>
      </c>
      <c r="EU209" s="231">
        <v>1563.08</v>
      </c>
      <c r="EV209" s="231">
        <v>34594689</v>
      </c>
      <c r="EW209" s="231">
        <v>2926.73</v>
      </c>
      <c r="EX209" s="231">
        <v>2876.8</v>
      </c>
      <c r="EY209" s="228">
        <v>49.93</v>
      </c>
      <c r="EZ209" s="229">
        <v>1.7399999999999999E-2</v>
      </c>
      <c r="FA209" s="229">
        <v>0.57420000000000004</v>
      </c>
      <c r="FB209" s="227" t="s">
        <v>567</v>
      </c>
      <c r="FC209">
        <f t="shared" si="4"/>
        <v>0</v>
      </c>
    </row>
    <row r="210" spans="1:159" ht="17.25" thickBot="1" x14ac:dyDescent="0.3">
      <c r="A210" s="226">
        <v>46093</v>
      </c>
      <c r="B210" s="227" t="s">
        <v>184</v>
      </c>
      <c r="C210" s="227" t="s">
        <v>691</v>
      </c>
      <c r="D210" s="228">
        <v>175</v>
      </c>
      <c r="E210" s="228">
        <v>18</v>
      </c>
      <c r="F210" s="231">
        <v>2749.1</v>
      </c>
      <c r="G210" s="231">
        <v>2691.4</v>
      </c>
      <c r="H210" s="228">
        <v>57.7</v>
      </c>
      <c r="I210" s="229">
        <v>2.1399999999999999E-2</v>
      </c>
      <c r="J210" s="231">
        <v>2739.4</v>
      </c>
      <c r="K210" s="231">
        <v>2682.8</v>
      </c>
      <c r="L210" s="228">
        <v>56.6</v>
      </c>
      <c r="M210" s="229">
        <v>2.1100000000000001E-2</v>
      </c>
      <c r="N210" s="231">
        <v>2749.1</v>
      </c>
      <c r="O210" s="231">
        <v>2691.4</v>
      </c>
      <c r="P210" s="228">
        <v>57.7</v>
      </c>
      <c r="Q210" s="229">
        <v>2.1399999999999999E-2</v>
      </c>
      <c r="R210" s="231">
        <v>2760.7</v>
      </c>
      <c r="S210" s="231">
        <v>2705.4</v>
      </c>
      <c r="T210" s="228">
        <v>55.3</v>
      </c>
      <c r="U210" s="229">
        <v>2.0400000000000001E-2</v>
      </c>
      <c r="V210" s="231">
        <v>2773.6</v>
      </c>
      <c r="W210" s="231">
        <v>2715.8</v>
      </c>
      <c r="X210" s="228">
        <v>57.8</v>
      </c>
      <c r="Y210" s="229">
        <v>2.1299999999999999E-2</v>
      </c>
      <c r="Z210" s="228">
        <v>9.6999999999999993</v>
      </c>
      <c r="AA210" s="228">
        <v>8.6</v>
      </c>
      <c r="AB210" s="228">
        <v>1.1000000000000001</v>
      </c>
      <c r="AC210" s="229">
        <v>3.5000000000000001E-3</v>
      </c>
      <c r="AD210" s="228">
        <v>9.6999999999999993</v>
      </c>
      <c r="AE210" s="228">
        <v>8.6</v>
      </c>
      <c r="AF210" s="228">
        <v>1.1000000000000001</v>
      </c>
      <c r="AG210" s="229">
        <v>3.5000000000000001E-3</v>
      </c>
      <c r="AH210" s="228">
        <v>21.3</v>
      </c>
      <c r="AI210" s="228">
        <v>22.6</v>
      </c>
      <c r="AJ210" s="228">
        <v>-1.3</v>
      </c>
      <c r="AK210" s="229">
        <v>7.7999999999999996E-3</v>
      </c>
      <c r="AL210" s="228">
        <v>34.200000000000003</v>
      </c>
      <c r="AM210" s="228">
        <v>33</v>
      </c>
      <c r="AN210" s="228">
        <v>1.2</v>
      </c>
      <c r="AO210" s="229">
        <v>1.2500000000000001E-2</v>
      </c>
      <c r="AP210" s="231">
        <v>2718.18</v>
      </c>
      <c r="AQ210" s="231">
        <v>2716.15</v>
      </c>
      <c r="AR210" s="228">
        <v>0</v>
      </c>
      <c r="AS210" s="228">
        <v>298</v>
      </c>
      <c r="AT210" s="228">
        <v>316</v>
      </c>
      <c r="AU210" s="228">
        <v>-18</v>
      </c>
      <c r="AV210" s="229">
        <v>-5.7700000000000001E-2</v>
      </c>
      <c r="AW210" s="228">
        <v>275</v>
      </c>
      <c r="AX210" s="228">
        <v>293</v>
      </c>
      <c r="AY210" s="228">
        <v>-18</v>
      </c>
      <c r="AZ210" s="229">
        <v>-6.0100000000000001E-2</v>
      </c>
      <c r="BA210" s="228">
        <v>20</v>
      </c>
      <c r="BB210" s="228">
        <v>19</v>
      </c>
      <c r="BC210" s="228">
        <v>1</v>
      </c>
      <c r="BD210" s="229">
        <v>6.0299999999999999E-2</v>
      </c>
      <c r="BE210" s="228">
        <v>2</v>
      </c>
      <c r="BF210" s="228">
        <v>4</v>
      </c>
      <c r="BG210" s="228">
        <v>-2</v>
      </c>
      <c r="BH210" s="229">
        <v>-0.48049999999999998</v>
      </c>
      <c r="BI210" s="228">
        <v>943</v>
      </c>
      <c r="BJ210" s="230">
        <v>1272</v>
      </c>
      <c r="BK210" s="228">
        <v>-329</v>
      </c>
      <c r="BL210" s="229">
        <v>-0.25890000000000002</v>
      </c>
      <c r="BM210" s="228">
        <v>419</v>
      </c>
      <c r="BN210" s="228">
        <v>357</v>
      </c>
      <c r="BO210" s="228">
        <v>62</v>
      </c>
      <c r="BP210" s="229">
        <v>0.17380000000000001</v>
      </c>
      <c r="BQ210" s="230">
        <v>1659</v>
      </c>
      <c r="BR210" s="230">
        <v>1945</v>
      </c>
      <c r="BS210" s="228">
        <v>-286</v>
      </c>
      <c r="BT210" s="229">
        <v>-0.1469</v>
      </c>
      <c r="BU210" s="230">
        <v>1330806</v>
      </c>
      <c r="BV210" s="230">
        <v>1512914</v>
      </c>
      <c r="BW210" s="230">
        <v>-182108</v>
      </c>
      <c r="BX210" s="229">
        <v>-0.12039999999999999</v>
      </c>
      <c r="BY210" s="230">
        <v>1069</v>
      </c>
      <c r="BZ210" s="230">
        <v>1085</v>
      </c>
      <c r="CA210" s="228">
        <v>-16</v>
      </c>
      <c r="CB210" s="229">
        <v>-1.49E-2</v>
      </c>
      <c r="CC210" s="228">
        <v>937</v>
      </c>
      <c r="CD210" s="228">
        <v>954</v>
      </c>
      <c r="CE210" s="228">
        <v>-17</v>
      </c>
      <c r="CF210" s="229">
        <v>-1.77E-2</v>
      </c>
      <c r="CG210" s="228">
        <v>124</v>
      </c>
      <c r="CH210" s="228">
        <v>123</v>
      </c>
      <c r="CI210" s="228">
        <v>1</v>
      </c>
      <c r="CJ210" s="229">
        <v>8.6E-3</v>
      </c>
      <c r="CK210" s="228">
        <v>8</v>
      </c>
      <c r="CL210" s="228">
        <v>9</v>
      </c>
      <c r="CM210" s="228">
        <v>0</v>
      </c>
      <c r="CN210" s="229">
        <v>-3.3700000000000001E-2</v>
      </c>
      <c r="CO210" s="228">
        <v>745</v>
      </c>
      <c r="CP210" s="228">
        <v>776</v>
      </c>
      <c r="CQ210" s="228">
        <v>-31</v>
      </c>
      <c r="CR210" s="229">
        <v>-3.9899999999999998E-2</v>
      </c>
      <c r="CS210" s="228">
        <v>461</v>
      </c>
      <c r="CT210" s="228">
        <v>471</v>
      </c>
      <c r="CU210" s="228">
        <v>-10</v>
      </c>
      <c r="CV210" s="229">
        <v>-2.12E-2</v>
      </c>
      <c r="CW210" s="230">
        <v>2275</v>
      </c>
      <c r="CX210" s="230">
        <v>2332</v>
      </c>
      <c r="CY210" s="228">
        <v>-57</v>
      </c>
      <c r="CZ210" s="229">
        <v>-2.4400000000000002E-2</v>
      </c>
      <c r="DA210" s="228">
        <v>47.91</v>
      </c>
      <c r="DB210" s="228">
        <v>47.29</v>
      </c>
      <c r="DC210" s="228">
        <v>0.62</v>
      </c>
      <c r="DD210" s="228">
        <v>0.62</v>
      </c>
      <c r="DE210" s="228">
        <v>52.9</v>
      </c>
      <c r="DF210" s="228">
        <v>52.95</v>
      </c>
      <c r="DG210" s="228">
        <v>-4.99</v>
      </c>
      <c r="DH210" s="228">
        <v>-0.05</v>
      </c>
      <c r="DI210" s="228">
        <v>46.93</v>
      </c>
      <c r="DJ210" s="228">
        <v>46.8</v>
      </c>
      <c r="DK210" s="228">
        <v>0.13</v>
      </c>
      <c r="DL210" s="228">
        <v>0.13</v>
      </c>
      <c r="DM210" s="228">
        <v>50.12</v>
      </c>
      <c r="DN210" s="228">
        <v>49.01</v>
      </c>
      <c r="DO210" s="228">
        <v>1.1100000000000001</v>
      </c>
      <c r="DP210" s="228">
        <v>1.1100000000000001</v>
      </c>
      <c r="DQ210" s="228">
        <v>0.62</v>
      </c>
      <c r="DR210" s="228">
        <v>0.61</v>
      </c>
      <c r="DS210" s="228">
        <v>0.01</v>
      </c>
      <c r="DT210" s="229">
        <v>1.6400000000000001E-2</v>
      </c>
      <c r="DU210" s="231">
        <v>3000</v>
      </c>
      <c r="DV210" s="231">
        <v>2700</v>
      </c>
      <c r="DW210" s="228">
        <v>0.44</v>
      </c>
      <c r="DX210" s="228">
        <v>0.28000000000000003</v>
      </c>
      <c r="DY210" s="228">
        <v>0.16</v>
      </c>
      <c r="DZ210" s="229">
        <v>0.57140000000000002</v>
      </c>
      <c r="EA210" s="229">
        <v>0.1236</v>
      </c>
      <c r="EB210" s="230">
        <v>477750</v>
      </c>
      <c r="EC210" s="229">
        <v>4.1999999999999997E-3</v>
      </c>
      <c r="ED210" s="229">
        <v>0.1236</v>
      </c>
      <c r="EE210" s="228">
        <v>-2.0299999999999998</v>
      </c>
      <c r="EF210" s="229">
        <v>-6.9999999999999999E-4</v>
      </c>
      <c r="EG210" s="230">
        <v>367630</v>
      </c>
      <c r="EH210" s="230">
        <v>385261</v>
      </c>
      <c r="EI210" s="229">
        <v>-4.58E-2</v>
      </c>
      <c r="EJ210" s="229">
        <v>0.2762</v>
      </c>
      <c r="EK210" s="231">
        <v>1004.9</v>
      </c>
      <c r="EL210" s="228">
        <v>395.02</v>
      </c>
      <c r="EM210" s="228">
        <v>294.17</v>
      </c>
      <c r="EN210" s="228">
        <v>52.38</v>
      </c>
      <c r="EO210" s="231">
        <v>1694.09</v>
      </c>
      <c r="EP210" s="231">
        <v>2001.52</v>
      </c>
      <c r="EQ210" s="228">
        <v>-307.44</v>
      </c>
      <c r="ER210" s="229">
        <v>-0.15359999999999999</v>
      </c>
      <c r="ES210" s="228">
        <v>796.23</v>
      </c>
      <c r="ET210" s="228">
        <v>437.38</v>
      </c>
      <c r="EU210" s="231">
        <v>1069.6300000000001</v>
      </c>
      <c r="EV210" s="231">
        <v>15436318</v>
      </c>
      <c r="EW210" s="231">
        <v>2303.2399999999998</v>
      </c>
      <c r="EX210" s="231">
        <v>2338.65</v>
      </c>
      <c r="EY210" s="228">
        <v>-35.409999999999997</v>
      </c>
      <c r="EZ210" s="229">
        <v>-1.5100000000000001E-2</v>
      </c>
      <c r="FA210" s="229">
        <v>0.53610000000000002</v>
      </c>
      <c r="FB210" s="227" t="s">
        <v>556</v>
      </c>
      <c r="FC210">
        <f t="shared" si="4"/>
        <v>0</v>
      </c>
    </row>
    <row r="211" spans="1:159" ht="17.25" thickBot="1" x14ac:dyDescent="0.3">
      <c r="A211" s="226">
        <v>46093</v>
      </c>
      <c r="B211" s="227" t="s">
        <v>221</v>
      </c>
      <c r="C211" s="227" t="s">
        <v>306</v>
      </c>
      <c r="D211" s="228">
        <v>3000</v>
      </c>
      <c r="E211" s="228">
        <v>18</v>
      </c>
      <c r="F211" s="228">
        <v>201.83</v>
      </c>
      <c r="G211" s="228">
        <v>201.68</v>
      </c>
      <c r="H211" s="228">
        <v>0.15</v>
      </c>
      <c r="I211" s="229">
        <v>6.9999999999999999E-4</v>
      </c>
      <c r="J211" s="228">
        <v>202.51</v>
      </c>
      <c r="K211" s="228">
        <v>202.23</v>
      </c>
      <c r="L211" s="228">
        <v>0.28000000000000003</v>
      </c>
      <c r="M211" s="229">
        <v>1.4E-3</v>
      </c>
      <c r="N211" s="228">
        <v>201.83</v>
      </c>
      <c r="O211" s="228">
        <v>201.68</v>
      </c>
      <c r="P211" s="228">
        <v>0.15</v>
      </c>
      <c r="Q211" s="229">
        <v>6.9999999999999999E-4</v>
      </c>
      <c r="R211" s="228">
        <v>201.65</v>
      </c>
      <c r="S211" s="228">
        <v>201.6</v>
      </c>
      <c r="T211" s="228">
        <v>0.05</v>
      </c>
      <c r="U211" s="229">
        <v>2.0000000000000001E-4</v>
      </c>
      <c r="V211" s="228">
        <v>201.62</v>
      </c>
      <c r="W211" s="228">
        <v>201.64</v>
      </c>
      <c r="X211" s="228">
        <v>-0.02</v>
      </c>
      <c r="Y211" s="229">
        <v>-1E-4</v>
      </c>
      <c r="Z211" s="228">
        <v>-0.68</v>
      </c>
      <c r="AA211" s="228">
        <v>-0.55000000000000004</v>
      </c>
      <c r="AB211" s="228">
        <v>-0.13</v>
      </c>
      <c r="AC211" s="229">
        <v>-3.3999999999999998E-3</v>
      </c>
      <c r="AD211" s="228">
        <v>-0.68</v>
      </c>
      <c r="AE211" s="228">
        <v>-0.55000000000000004</v>
      </c>
      <c r="AF211" s="228">
        <v>-0.13</v>
      </c>
      <c r="AG211" s="229">
        <v>-3.3999999999999998E-3</v>
      </c>
      <c r="AH211" s="228">
        <v>-0.86</v>
      </c>
      <c r="AI211" s="228">
        <v>-0.63</v>
      </c>
      <c r="AJ211" s="228">
        <v>-0.23</v>
      </c>
      <c r="AK211" s="229">
        <v>-4.1999999999999997E-3</v>
      </c>
      <c r="AL211" s="228">
        <v>-0.89</v>
      </c>
      <c r="AM211" s="228">
        <v>-0.59</v>
      </c>
      <c r="AN211" s="228">
        <v>-0.3</v>
      </c>
      <c r="AO211" s="229">
        <v>-4.4000000000000003E-3</v>
      </c>
      <c r="AP211" s="228">
        <v>201.47</v>
      </c>
      <c r="AQ211" s="228">
        <v>201.48</v>
      </c>
      <c r="AR211" s="228">
        <v>0</v>
      </c>
      <c r="AS211" s="228">
        <v>768</v>
      </c>
      <c r="AT211" s="230">
        <v>1042</v>
      </c>
      <c r="AU211" s="228">
        <v>-274</v>
      </c>
      <c r="AV211" s="229">
        <v>-0.26279999999999998</v>
      </c>
      <c r="AW211" s="228">
        <v>564</v>
      </c>
      <c r="AX211" s="228">
        <v>826</v>
      </c>
      <c r="AY211" s="228">
        <v>-262</v>
      </c>
      <c r="AZ211" s="229">
        <v>-0.3175</v>
      </c>
      <c r="BA211" s="228">
        <v>199</v>
      </c>
      <c r="BB211" s="228">
        <v>205</v>
      </c>
      <c r="BC211" s="228">
        <v>-6</v>
      </c>
      <c r="BD211" s="229">
        <v>-2.75E-2</v>
      </c>
      <c r="BE211" s="228">
        <v>5</v>
      </c>
      <c r="BF211" s="228">
        <v>11</v>
      </c>
      <c r="BG211" s="228">
        <v>-6</v>
      </c>
      <c r="BH211" s="229">
        <v>-0.53590000000000004</v>
      </c>
      <c r="BI211" s="230">
        <v>1166</v>
      </c>
      <c r="BJ211" s="230">
        <v>2012</v>
      </c>
      <c r="BK211" s="228">
        <v>-846</v>
      </c>
      <c r="BL211" s="229">
        <v>-0.42059999999999997</v>
      </c>
      <c r="BM211" s="228">
        <v>518</v>
      </c>
      <c r="BN211" s="228">
        <v>611</v>
      </c>
      <c r="BO211" s="228">
        <v>-93</v>
      </c>
      <c r="BP211" s="229">
        <v>-0.15190000000000001</v>
      </c>
      <c r="BQ211" s="230">
        <v>2452</v>
      </c>
      <c r="BR211" s="230">
        <v>3665</v>
      </c>
      <c r="BS211" s="230">
        <v>-1213</v>
      </c>
      <c r="BT211" s="229">
        <v>-0.33100000000000002</v>
      </c>
      <c r="BU211" s="230">
        <v>19392079</v>
      </c>
      <c r="BV211" s="230">
        <v>29603867</v>
      </c>
      <c r="BW211" s="230">
        <v>-10211788</v>
      </c>
      <c r="BX211" s="229">
        <v>-0.34489999999999998</v>
      </c>
      <c r="BY211" s="230">
        <v>3840</v>
      </c>
      <c r="BZ211" s="230">
        <v>3616</v>
      </c>
      <c r="CA211" s="228">
        <v>224</v>
      </c>
      <c r="CB211" s="229">
        <v>6.2E-2</v>
      </c>
      <c r="CC211" s="230">
        <v>3185</v>
      </c>
      <c r="CD211" s="230">
        <v>3094</v>
      </c>
      <c r="CE211" s="228">
        <v>91</v>
      </c>
      <c r="CF211" s="229">
        <v>2.9399999999999999E-2</v>
      </c>
      <c r="CG211" s="228">
        <v>623</v>
      </c>
      <c r="CH211" s="228">
        <v>491</v>
      </c>
      <c r="CI211" s="228">
        <v>132</v>
      </c>
      <c r="CJ211" s="229">
        <v>0.26889999999999997</v>
      </c>
      <c r="CK211" s="228">
        <v>32</v>
      </c>
      <c r="CL211" s="228">
        <v>31</v>
      </c>
      <c r="CM211" s="228">
        <v>1</v>
      </c>
      <c r="CN211" s="229">
        <v>4.0800000000000003E-2</v>
      </c>
      <c r="CO211" s="230">
        <v>1774</v>
      </c>
      <c r="CP211" s="230">
        <v>1762</v>
      </c>
      <c r="CQ211" s="228">
        <v>11</v>
      </c>
      <c r="CR211" s="229">
        <v>6.4999999999999997E-3</v>
      </c>
      <c r="CS211" s="228">
        <v>942</v>
      </c>
      <c r="CT211" s="228">
        <v>948</v>
      </c>
      <c r="CU211" s="228">
        <v>-6</v>
      </c>
      <c r="CV211" s="229">
        <v>-6.3E-3</v>
      </c>
      <c r="CW211" s="230">
        <v>6556</v>
      </c>
      <c r="CX211" s="230">
        <v>6326</v>
      </c>
      <c r="CY211" s="228">
        <v>230</v>
      </c>
      <c r="CZ211" s="229">
        <v>3.6299999999999999E-2</v>
      </c>
      <c r="DA211" s="228">
        <v>33.19</v>
      </c>
      <c r="DB211" s="228">
        <v>33.97</v>
      </c>
      <c r="DC211" s="228">
        <v>-0.78</v>
      </c>
      <c r="DD211" s="228">
        <v>-0.78</v>
      </c>
      <c r="DE211" s="228">
        <v>30.9</v>
      </c>
      <c r="DF211" s="228">
        <v>30.98</v>
      </c>
      <c r="DG211" s="228">
        <v>2.29</v>
      </c>
      <c r="DH211" s="228">
        <v>-0.08</v>
      </c>
      <c r="DI211" s="228">
        <v>32.049999999999997</v>
      </c>
      <c r="DJ211" s="228">
        <v>33.200000000000003</v>
      </c>
      <c r="DK211" s="228">
        <v>-1.1499999999999999</v>
      </c>
      <c r="DL211" s="228">
        <v>-1.1499999999999999</v>
      </c>
      <c r="DM211" s="228">
        <v>35.75</v>
      </c>
      <c r="DN211" s="228">
        <v>36.520000000000003</v>
      </c>
      <c r="DO211" s="228">
        <v>-0.77</v>
      </c>
      <c r="DP211" s="228">
        <v>-0.77</v>
      </c>
      <c r="DQ211" s="228">
        <v>0.53</v>
      </c>
      <c r="DR211" s="228">
        <v>0.54</v>
      </c>
      <c r="DS211" s="228">
        <v>-0.01</v>
      </c>
      <c r="DT211" s="229">
        <v>-1.8499999999999999E-2</v>
      </c>
      <c r="DU211" s="228">
        <v>210</v>
      </c>
      <c r="DV211" s="228">
        <v>190</v>
      </c>
      <c r="DW211" s="228">
        <v>0.44</v>
      </c>
      <c r="DX211" s="228">
        <v>0.3</v>
      </c>
      <c r="DY211" s="228">
        <v>0.14000000000000001</v>
      </c>
      <c r="DZ211" s="229">
        <v>0.4667</v>
      </c>
      <c r="EA211" s="229">
        <v>0.17069999999999999</v>
      </c>
      <c r="EB211" s="230">
        <v>25869000</v>
      </c>
      <c r="EC211" s="229">
        <v>-8.9999999999999998E-4</v>
      </c>
      <c r="ED211" s="229">
        <v>0.17069999999999999</v>
      </c>
      <c r="EE211" s="228">
        <v>0.01</v>
      </c>
      <c r="EF211" s="229">
        <v>0</v>
      </c>
      <c r="EG211" s="230">
        <v>11392272</v>
      </c>
      <c r="EH211" s="230">
        <v>16752708</v>
      </c>
      <c r="EI211" s="229">
        <v>-0.32</v>
      </c>
      <c r="EJ211" s="229">
        <v>0.58750000000000002</v>
      </c>
      <c r="EK211" s="231">
        <v>1236.8800000000001</v>
      </c>
      <c r="EL211" s="228">
        <v>505.66</v>
      </c>
      <c r="EM211" s="228">
        <v>766.4</v>
      </c>
      <c r="EN211" s="228">
        <v>114.47</v>
      </c>
      <c r="EO211" s="231">
        <v>2508.94</v>
      </c>
      <c r="EP211" s="231">
        <v>3787.8</v>
      </c>
      <c r="EQ211" s="231">
        <v>-1278.8599999999999</v>
      </c>
      <c r="ER211" s="229">
        <v>-0.33760000000000001</v>
      </c>
      <c r="ES211" s="231">
        <v>1944</v>
      </c>
      <c r="ET211" s="228">
        <v>941.58</v>
      </c>
      <c r="EU211" s="231">
        <v>3839.67</v>
      </c>
      <c r="EV211" s="231">
        <v>358423198</v>
      </c>
      <c r="EW211" s="231">
        <v>6725.24</v>
      </c>
      <c r="EX211" s="231">
        <v>6494.14</v>
      </c>
      <c r="EY211" s="228">
        <v>231.1</v>
      </c>
      <c r="EZ211" s="229">
        <v>3.56E-2</v>
      </c>
      <c r="FA211" s="229">
        <v>0.90620000000000001</v>
      </c>
      <c r="FB211" s="227" t="s">
        <v>555</v>
      </c>
      <c r="FC211">
        <f t="shared" si="4"/>
        <v>0</v>
      </c>
    </row>
    <row r="212" spans="1:159" ht="17.25" thickBot="1" x14ac:dyDescent="0.3">
      <c r="A212" s="226">
        <v>46093</v>
      </c>
      <c r="B212" s="227" t="s">
        <v>172</v>
      </c>
      <c r="C212" s="227" t="s">
        <v>590</v>
      </c>
      <c r="D212" s="228">
        <v>31100</v>
      </c>
      <c r="E212" s="228">
        <v>18</v>
      </c>
      <c r="F212" s="228">
        <v>19.399999999999999</v>
      </c>
      <c r="G212" s="228">
        <v>19.55</v>
      </c>
      <c r="H212" s="228">
        <v>-0.15</v>
      </c>
      <c r="I212" s="229">
        <v>-7.7000000000000002E-3</v>
      </c>
      <c r="J212" s="228">
        <v>19.309999999999999</v>
      </c>
      <c r="K212" s="228">
        <v>19.53</v>
      </c>
      <c r="L212" s="228">
        <v>-0.22</v>
      </c>
      <c r="M212" s="229">
        <v>-1.1299999999999999E-2</v>
      </c>
      <c r="N212" s="228">
        <v>19.399999999999999</v>
      </c>
      <c r="O212" s="228">
        <v>19.55</v>
      </c>
      <c r="P212" s="228">
        <v>-0.15</v>
      </c>
      <c r="Q212" s="229">
        <v>-7.7000000000000002E-3</v>
      </c>
      <c r="R212" s="228">
        <v>19.510000000000002</v>
      </c>
      <c r="S212" s="228">
        <v>19.68</v>
      </c>
      <c r="T212" s="228">
        <v>-0.17</v>
      </c>
      <c r="U212" s="229">
        <v>-8.6E-3</v>
      </c>
      <c r="V212" s="228">
        <v>19.64</v>
      </c>
      <c r="W212" s="228">
        <v>19.8</v>
      </c>
      <c r="X212" s="228">
        <v>-0.16</v>
      </c>
      <c r="Y212" s="229">
        <v>-8.0999999999999996E-3</v>
      </c>
      <c r="Z212" s="228">
        <v>0.09</v>
      </c>
      <c r="AA212" s="228">
        <v>0.02</v>
      </c>
      <c r="AB212" s="228">
        <v>7.0000000000000007E-2</v>
      </c>
      <c r="AC212" s="229">
        <v>4.7000000000000002E-3</v>
      </c>
      <c r="AD212" s="228">
        <v>0.09</v>
      </c>
      <c r="AE212" s="228">
        <v>0.02</v>
      </c>
      <c r="AF212" s="228">
        <v>7.0000000000000007E-2</v>
      </c>
      <c r="AG212" s="229">
        <v>4.7000000000000002E-3</v>
      </c>
      <c r="AH212" s="228">
        <v>0.2</v>
      </c>
      <c r="AI212" s="228">
        <v>0.15</v>
      </c>
      <c r="AJ212" s="228">
        <v>0.05</v>
      </c>
      <c r="AK212" s="229">
        <v>1.04E-2</v>
      </c>
      <c r="AL212" s="228">
        <v>0.33</v>
      </c>
      <c r="AM212" s="228">
        <v>0.27</v>
      </c>
      <c r="AN212" s="228">
        <v>0.06</v>
      </c>
      <c r="AO212" s="229">
        <v>1.7100000000000001E-2</v>
      </c>
      <c r="AP212" s="228">
        <v>19.28</v>
      </c>
      <c r="AQ212" s="228">
        <v>19.43</v>
      </c>
      <c r="AR212" s="228">
        <v>0</v>
      </c>
      <c r="AS212" s="228">
        <v>262</v>
      </c>
      <c r="AT212" s="228">
        <v>234</v>
      </c>
      <c r="AU212" s="228">
        <v>27</v>
      </c>
      <c r="AV212" s="229">
        <v>0.1172</v>
      </c>
      <c r="AW212" s="228">
        <v>206</v>
      </c>
      <c r="AX212" s="228">
        <v>165</v>
      </c>
      <c r="AY212" s="228">
        <v>41</v>
      </c>
      <c r="AZ212" s="229">
        <v>0.2487</v>
      </c>
      <c r="BA212" s="228">
        <v>50</v>
      </c>
      <c r="BB212" s="228">
        <v>64</v>
      </c>
      <c r="BC212" s="228">
        <v>-13</v>
      </c>
      <c r="BD212" s="229">
        <v>-0.20979999999999999</v>
      </c>
      <c r="BE212" s="228">
        <v>5</v>
      </c>
      <c r="BF212" s="228">
        <v>5</v>
      </c>
      <c r="BG212" s="228">
        <v>0</v>
      </c>
      <c r="BH212" s="229">
        <v>-3.3700000000000001E-2</v>
      </c>
      <c r="BI212" s="228">
        <v>534</v>
      </c>
      <c r="BJ212" s="228">
        <v>339</v>
      </c>
      <c r="BK212" s="228">
        <v>195</v>
      </c>
      <c r="BL212" s="229">
        <v>0.57489999999999997</v>
      </c>
      <c r="BM212" s="228">
        <v>292</v>
      </c>
      <c r="BN212" s="228">
        <v>206</v>
      </c>
      <c r="BO212" s="228">
        <v>87</v>
      </c>
      <c r="BP212" s="229">
        <v>0.42030000000000001</v>
      </c>
      <c r="BQ212" s="230">
        <v>1088</v>
      </c>
      <c r="BR212" s="228">
        <v>779</v>
      </c>
      <c r="BS212" s="228">
        <v>309</v>
      </c>
      <c r="BT212" s="229">
        <v>0.39639999999999997</v>
      </c>
      <c r="BU212" s="230">
        <v>92321698</v>
      </c>
      <c r="BV212" s="230">
        <v>74874456</v>
      </c>
      <c r="BW212" s="230">
        <v>17447242</v>
      </c>
      <c r="BX212" s="229">
        <v>0.23300000000000001</v>
      </c>
      <c r="BY212" s="230">
        <v>2227</v>
      </c>
      <c r="BZ212" s="230">
        <v>2201</v>
      </c>
      <c r="CA212" s="228">
        <v>27</v>
      </c>
      <c r="CB212" s="229">
        <v>1.21E-2</v>
      </c>
      <c r="CC212" s="230">
        <v>1967</v>
      </c>
      <c r="CD212" s="230">
        <v>1960</v>
      </c>
      <c r="CE212" s="228">
        <v>6</v>
      </c>
      <c r="CF212" s="229">
        <v>3.3E-3</v>
      </c>
      <c r="CG212" s="228">
        <v>219</v>
      </c>
      <c r="CH212" s="228">
        <v>201</v>
      </c>
      <c r="CI212" s="228">
        <v>18</v>
      </c>
      <c r="CJ212" s="229">
        <v>8.7400000000000005E-2</v>
      </c>
      <c r="CK212" s="228">
        <v>42</v>
      </c>
      <c r="CL212" s="228">
        <v>39</v>
      </c>
      <c r="CM212" s="228">
        <v>3</v>
      </c>
      <c r="CN212" s="229">
        <v>6.7799999999999999E-2</v>
      </c>
      <c r="CO212" s="228">
        <v>723</v>
      </c>
      <c r="CP212" s="228">
        <v>703</v>
      </c>
      <c r="CQ212" s="228">
        <v>20</v>
      </c>
      <c r="CR212" s="229">
        <v>2.86E-2</v>
      </c>
      <c r="CS212" s="228">
        <v>511</v>
      </c>
      <c r="CT212" s="228">
        <v>491</v>
      </c>
      <c r="CU212" s="228">
        <v>20</v>
      </c>
      <c r="CV212" s="229">
        <v>4.1300000000000003E-2</v>
      </c>
      <c r="CW212" s="230">
        <v>3461</v>
      </c>
      <c r="CX212" s="230">
        <v>3394</v>
      </c>
      <c r="CY212" s="228">
        <v>67</v>
      </c>
      <c r="CZ212" s="229">
        <v>1.9699999999999999E-2</v>
      </c>
      <c r="DA212" s="228">
        <v>34.380000000000003</v>
      </c>
      <c r="DB212" s="228">
        <v>33.57</v>
      </c>
      <c r="DC212" s="228">
        <v>0.81</v>
      </c>
      <c r="DD212" s="228">
        <v>0.81</v>
      </c>
      <c r="DE212" s="228">
        <v>37.270000000000003</v>
      </c>
      <c r="DF212" s="228">
        <v>37.35</v>
      </c>
      <c r="DG212" s="228">
        <v>-2.89</v>
      </c>
      <c r="DH212" s="228">
        <v>-0.08</v>
      </c>
      <c r="DI212" s="228">
        <v>32.549999999999997</v>
      </c>
      <c r="DJ212" s="228">
        <v>33.53</v>
      </c>
      <c r="DK212" s="228">
        <v>-0.98</v>
      </c>
      <c r="DL212" s="228">
        <v>-0.98</v>
      </c>
      <c r="DM212" s="228">
        <v>37.72</v>
      </c>
      <c r="DN212" s="228">
        <v>33.64</v>
      </c>
      <c r="DO212" s="228">
        <v>4.08</v>
      </c>
      <c r="DP212" s="228">
        <v>4.08</v>
      </c>
      <c r="DQ212" s="228">
        <v>0.71</v>
      </c>
      <c r="DR212" s="228">
        <v>0.7</v>
      </c>
      <c r="DS212" s="228">
        <v>0.01</v>
      </c>
      <c r="DT212" s="229">
        <v>1.43E-2</v>
      </c>
      <c r="DU212" s="228">
        <v>21</v>
      </c>
      <c r="DV212" s="228">
        <v>20</v>
      </c>
      <c r="DW212" s="228">
        <v>0.55000000000000004</v>
      </c>
      <c r="DX212" s="228">
        <v>0.61</v>
      </c>
      <c r="DY212" s="228">
        <v>-0.06</v>
      </c>
      <c r="DZ212" s="229">
        <v>-9.8400000000000001E-2</v>
      </c>
      <c r="EA212" s="229">
        <v>0.1169</v>
      </c>
      <c r="EB212" s="230">
        <v>123778000</v>
      </c>
      <c r="EC212" s="229">
        <v>5.7000000000000002E-3</v>
      </c>
      <c r="ED212" s="229">
        <v>0.1169</v>
      </c>
      <c r="EE212" s="228">
        <v>0.15</v>
      </c>
      <c r="EF212" s="229">
        <v>7.7999999999999996E-3</v>
      </c>
      <c r="EG212" s="230">
        <v>34087289</v>
      </c>
      <c r="EH212" s="230">
        <v>39238090</v>
      </c>
      <c r="EI212" s="229">
        <v>-0.1313</v>
      </c>
      <c r="EJ212" s="229">
        <v>0.36919999999999997</v>
      </c>
      <c r="EK212" s="228">
        <v>578.54999999999995</v>
      </c>
      <c r="EL212" s="228">
        <v>284.8</v>
      </c>
      <c r="EM212" s="228">
        <v>260.47000000000003</v>
      </c>
      <c r="EN212" s="228">
        <v>45.18</v>
      </c>
      <c r="EO212" s="231">
        <v>1123.82</v>
      </c>
      <c r="EP212" s="228">
        <v>816.83</v>
      </c>
      <c r="EQ212" s="228">
        <v>306.99</v>
      </c>
      <c r="ER212" s="229">
        <v>0.37580000000000002</v>
      </c>
      <c r="ES212" s="228">
        <v>816.62</v>
      </c>
      <c r="ET212" s="228">
        <v>527.35</v>
      </c>
      <c r="EU212" s="231">
        <v>2228.9899999999998</v>
      </c>
      <c r="EV212" s="231">
        <v>3547322779</v>
      </c>
      <c r="EW212" s="231">
        <v>3572.95</v>
      </c>
      <c r="EX212" s="231">
        <v>3525.34</v>
      </c>
      <c r="EY212" s="228">
        <v>47.61</v>
      </c>
      <c r="EZ212" s="229">
        <v>1.35E-2</v>
      </c>
      <c r="FA212" s="229">
        <v>0.503</v>
      </c>
      <c r="FB212" s="227" t="s">
        <v>567</v>
      </c>
      <c r="FC212">
        <f t="shared" si="4"/>
        <v>0</v>
      </c>
    </row>
    <row r="213" spans="1:159" ht="17.25" thickBot="1" x14ac:dyDescent="0.3">
      <c r="A213" s="226">
        <v>46093</v>
      </c>
      <c r="B213" s="227" t="s">
        <v>170</v>
      </c>
      <c r="C213" s="227" t="s">
        <v>557</v>
      </c>
      <c r="D213" s="228">
        <v>900</v>
      </c>
      <c r="E213" s="228">
        <v>18</v>
      </c>
      <c r="F213" s="228">
        <v>920.9</v>
      </c>
      <c r="G213" s="228">
        <v>924.9</v>
      </c>
      <c r="H213" s="228">
        <v>-4</v>
      </c>
      <c r="I213" s="229">
        <v>-4.3E-3</v>
      </c>
      <c r="J213" s="228">
        <v>916.9</v>
      </c>
      <c r="K213" s="228">
        <v>921.75</v>
      </c>
      <c r="L213" s="228">
        <v>-4.8499999999999996</v>
      </c>
      <c r="M213" s="229">
        <v>-5.3E-3</v>
      </c>
      <c r="N213" s="228">
        <v>920.9</v>
      </c>
      <c r="O213" s="228">
        <v>924.9</v>
      </c>
      <c r="P213" s="228">
        <v>-4</v>
      </c>
      <c r="Q213" s="229">
        <v>-4.3E-3</v>
      </c>
      <c r="R213" s="228">
        <v>926.55</v>
      </c>
      <c r="S213" s="228">
        <v>929.55</v>
      </c>
      <c r="T213" s="228">
        <v>-3</v>
      </c>
      <c r="U213" s="229">
        <v>-3.2000000000000002E-3</v>
      </c>
      <c r="V213" s="228">
        <v>933.8</v>
      </c>
      <c r="W213" s="228">
        <v>934.25</v>
      </c>
      <c r="X213" s="228">
        <v>-0.45</v>
      </c>
      <c r="Y213" s="229">
        <v>-5.0000000000000001E-4</v>
      </c>
      <c r="Z213" s="228">
        <v>4</v>
      </c>
      <c r="AA213" s="228">
        <v>3.15</v>
      </c>
      <c r="AB213" s="228">
        <v>0.85</v>
      </c>
      <c r="AC213" s="229">
        <v>4.4000000000000003E-3</v>
      </c>
      <c r="AD213" s="228">
        <v>4</v>
      </c>
      <c r="AE213" s="228">
        <v>3.15</v>
      </c>
      <c r="AF213" s="228">
        <v>0.85</v>
      </c>
      <c r="AG213" s="229">
        <v>4.4000000000000003E-3</v>
      </c>
      <c r="AH213" s="228">
        <v>9.65</v>
      </c>
      <c r="AI213" s="228">
        <v>7.8</v>
      </c>
      <c r="AJ213" s="228">
        <v>1.85</v>
      </c>
      <c r="AK213" s="229">
        <v>1.0500000000000001E-2</v>
      </c>
      <c r="AL213" s="228">
        <v>16.899999999999999</v>
      </c>
      <c r="AM213" s="228">
        <v>12.5</v>
      </c>
      <c r="AN213" s="228">
        <v>4.4000000000000004</v>
      </c>
      <c r="AO213" s="229">
        <v>1.84E-2</v>
      </c>
      <c r="AP213" s="228">
        <v>921.26</v>
      </c>
      <c r="AQ213" s="228">
        <v>926.17</v>
      </c>
      <c r="AR213" s="228">
        <v>0</v>
      </c>
      <c r="AS213" s="228">
        <v>107</v>
      </c>
      <c r="AT213" s="228">
        <v>116</v>
      </c>
      <c r="AU213" s="228">
        <v>-9</v>
      </c>
      <c r="AV213" s="229">
        <v>-7.8899999999999998E-2</v>
      </c>
      <c r="AW213" s="228">
        <v>97</v>
      </c>
      <c r="AX213" s="228">
        <v>105</v>
      </c>
      <c r="AY213" s="228">
        <v>-7</v>
      </c>
      <c r="AZ213" s="229">
        <v>-7.1099999999999997E-2</v>
      </c>
      <c r="BA213" s="228">
        <v>9</v>
      </c>
      <c r="BB213" s="228">
        <v>11</v>
      </c>
      <c r="BC213" s="228">
        <v>-2</v>
      </c>
      <c r="BD213" s="229">
        <v>-0.14960000000000001</v>
      </c>
      <c r="BE213" s="228">
        <v>0</v>
      </c>
      <c r="BF213" s="228">
        <v>0</v>
      </c>
      <c r="BG213" s="228">
        <v>0</v>
      </c>
      <c r="BH213" s="229">
        <v>-0.33329999999999999</v>
      </c>
      <c r="BI213" s="228">
        <v>217</v>
      </c>
      <c r="BJ213" s="228">
        <v>362</v>
      </c>
      <c r="BK213" s="228">
        <v>-145</v>
      </c>
      <c r="BL213" s="229">
        <v>-0.39939999999999998</v>
      </c>
      <c r="BM213" s="228">
        <v>78</v>
      </c>
      <c r="BN213" s="228">
        <v>129</v>
      </c>
      <c r="BO213" s="228">
        <v>-51</v>
      </c>
      <c r="BP213" s="229">
        <v>-0.39419999999999999</v>
      </c>
      <c r="BQ213" s="228">
        <v>402</v>
      </c>
      <c r="BR213" s="228">
        <v>606</v>
      </c>
      <c r="BS213" s="228">
        <v>-204</v>
      </c>
      <c r="BT213" s="229">
        <v>-0.3372</v>
      </c>
      <c r="BU213" s="230">
        <v>477931</v>
      </c>
      <c r="BV213" s="230">
        <v>582360</v>
      </c>
      <c r="BW213" s="230">
        <v>-104429</v>
      </c>
      <c r="BX213" s="229">
        <v>-0.17929999999999999</v>
      </c>
      <c r="BY213" s="228">
        <v>878</v>
      </c>
      <c r="BZ213" s="228">
        <v>872</v>
      </c>
      <c r="CA213" s="228">
        <v>6</v>
      </c>
      <c r="CB213" s="229">
        <v>6.7000000000000002E-3</v>
      </c>
      <c r="CC213" s="228">
        <v>849</v>
      </c>
      <c r="CD213" s="228">
        <v>846</v>
      </c>
      <c r="CE213" s="228">
        <v>2</v>
      </c>
      <c r="CF213" s="229">
        <v>2.8999999999999998E-3</v>
      </c>
      <c r="CG213" s="228">
        <v>29</v>
      </c>
      <c r="CH213" s="228">
        <v>25</v>
      </c>
      <c r="CI213" s="228">
        <v>3</v>
      </c>
      <c r="CJ213" s="229">
        <v>0.13439999999999999</v>
      </c>
      <c r="CK213" s="228">
        <v>1</v>
      </c>
      <c r="CL213" s="228">
        <v>1</v>
      </c>
      <c r="CM213" s="228">
        <v>0</v>
      </c>
      <c r="CN213" s="229">
        <v>0</v>
      </c>
      <c r="CO213" s="228">
        <v>430</v>
      </c>
      <c r="CP213" s="228">
        <v>410</v>
      </c>
      <c r="CQ213" s="228">
        <v>20</v>
      </c>
      <c r="CR213" s="229">
        <v>4.7899999999999998E-2</v>
      </c>
      <c r="CS213" s="228">
        <v>225</v>
      </c>
      <c r="CT213" s="228">
        <v>230</v>
      </c>
      <c r="CU213" s="228">
        <v>-4</v>
      </c>
      <c r="CV213" s="229">
        <v>-1.8800000000000001E-2</v>
      </c>
      <c r="CW213" s="230">
        <v>1534</v>
      </c>
      <c r="CX213" s="230">
        <v>1512</v>
      </c>
      <c r="CY213" s="228">
        <v>21</v>
      </c>
      <c r="CZ213" s="229">
        <v>1.4E-2</v>
      </c>
      <c r="DA213" s="228">
        <v>26.12</v>
      </c>
      <c r="DB213" s="228">
        <v>25.67</v>
      </c>
      <c r="DC213" s="228">
        <v>0.45</v>
      </c>
      <c r="DD213" s="228">
        <v>0.45</v>
      </c>
      <c r="DE213" s="228">
        <v>27.74</v>
      </c>
      <c r="DF213" s="228">
        <v>27.81</v>
      </c>
      <c r="DG213" s="228">
        <v>-1.62</v>
      </c>
      <c r="DH213" s="228">
        <v>-7.0000000000000007E-2</v>
      </c>
      <c r="DI213" s="228">
        <v>25.7</v>
      </c>
      <c r="DJ213" s="228">
        <v>25.42</v>
      </c>
      <c r="DK213" s="228">
        <v>0.28000000000000003</v>
      </c>
      <c r="DL213" s="228">
        <v>0.28000000000000003</v>
      </c>
      <c r="DM213" s="228">
        <v>27.3</v>
      </c>
      <c r="DN213" s="228">
        <v>26.4</v>
      </c>
      <c r="DO213" s="228">
        <v>0.9</v>
      </c>
      <c r="DP213" s="228">
        <v>0.9</v>
      </c>
      <c r="DQ213" s="228">
        <v>0.52</v>
      </c>
      <c r="DR213" s="228">
        <v>0.56000000000000005</v>
      </c>
      <c r="DS213" s="228">
        <v>-0.04</v>
      </c>
      <c r="DT213" s="229">
        <v>-7.1400000000000005E-2</v>
      </c>
      <c r="DU213" s="228">
        <v>950</v>
      </c>
      <c r="DV213" s="228">
        <v>900</v>
      </c>
      <c r="DW213" s="228">
        <v>0.36</v>
      </c>
      <c r="DX213" s="228">
        <v>0.36</v>
      </c>
      <c r="DY213" s="228">
        <v>0</v>
      </c>
      <c r="DZ213" s="229">
        <v>0</v>
      </c>
      <c r="EA213" s="229">
        <v>3.3500000000000002E-2</v>
      </c>
      <c r="EB213" s="230">
        <v>282600</v>
      </c>
      <c r="EC213" s="229">
        <v>6.1000000000000004E-3</v>
      </c>
      <c r="ED213" s="229">
        <v>3.3500000000000002E-2</v>
      </c>
      <c r="EE213" s="228">
        <v>4.91</v>
      </c>
      <c r="EF213" s="229">
        <v>5.3E-3</v>
      </c>
      <c r="EG213" s="230">
        <v>270498</v>
      </c>
      <c r="EH213" s="230">
        <v>306535</v>
      </c>
      <c r="EI213" s="229">
        <v>-0.1176</v>
      </c>
      <c r="EJ213" s="229">
        <v>0.56599999999999995</v>
      </c>
      <c r="EK213" s="228">
        <v>228.29</v>
      </c>
      <c r="EL213" s="228">
        <v>77.180000000000007</v>
      </c>
      <c r="EM213" s="228">
        <v>106.59</v>
      </c>
      <c r="EN213" s="228">
        <v>13.66</v>
      </c>
      <c r="EO213" s="228">
        <v>412.07</v>
      </c>
      <c r="EP213" s="228">
        <v>627.91999999999996</v>
      </c>
      <c r="EQ213" s="228">
        <v>-215.86</v>
      </c>
      <c r="ER213" s="229">
        <v>-0.34379999999999999</v>
      </c>
      <c r="ES213" s="228">
        <v>450.4</v>
      </c>
      <c r="ET213" s="228">
        <v>224.68</v>
      </c>
      <c r="EU213" s="228">
        <v>878.56</v>
      </c>
      <c r="EV213" s="231">
        <v>37741451</v>
      </c>
      <c r="EW213" s="231">
        <v>1553.64</v>
      </c>
      <c r="EX213" s="231">
        <v>1535.44</v>
      </c>
      <c r="EY213" s="228">
        <v>18.2</v>
      </c>
      <c r="EZ213" s="229">
        <v>1.1900000000000001E-2</v>
      </c>
      <c r="FA213" s="229">
        <v>0.44119999999999998</v>
      </c>
      <c r="FB213" s="227" t="s">
        <v>567</v>
      </c>
      <c r="FC213">
        <f t="shared" si="4"/>
        <v>0</v>
      </c>
    </row>
    <row r="214" spans="1:159" x14ac:dyDescent="0.25">
      <c r="FC214">
        <f t="shared" si="4"/>
        <v>0</v>
      </c>
    </row>
    <row r="215" spans="1:159" x14ac:dyDescent="0.25">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BY323-CC323</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BY387-CC387</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A3" zoomScaleNormal="100" workbookViewId="0">
      <selection activeCell="CC11" sqref="CC11"/>
    </sheetView>
  </sheetViews>
  <sheetFormatPr defaultRowHeight="15" x14ac:dyDescent="0.25"/>
  <cols>
    <col min="1" max="1" width="12.285156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2.7109375" customWidth="1"/>
    <col min="79" max="79" width="9" customWidth="1"/>
    <col min="80" max="81" width="15.5703125" customWidth="1"/>
    <col min="82" max="82" width="14.85546875" customWidth="1"/>
    <col min="83" max="83" width="11.42578125" customWidth="1"/>
    <col min="84" max="84" width="14" customWidth="1"/>
    <col min="85" max="85" width="14.42578125" customWidth="1"/>
    <col min="86" max="86" width="14" customWidth="1"/>
    <col min="87" max="87" width="11.42578125" customWidth="1"/>
    <col min="88" max="89" width="12.7109375" customWidth="1"/>
    <col min="90" max="90" width="11.5703125" customWidth="1"/>
    <col min="91" max="91" width="10.140625" customWidth="1"/>
    <col min="92" max="93" width="15.5703125" customWidth="1"/>
    <col min="94" max="94" width="12.7109375" customWidth="1"/>
    <col min="95" max="95" width="10.42578125" customWidth="1"/>
    <col min="96" max="97" width="14" customWidth="1"/>
    <col min="98" max="98" width="12.7109375" customWidth="1"/>
    <col min="99" max="99" width="10.28515625" customWidth="1"/>
    <col min="100" max="101" width="16.7109375" customWidth="1"/>
    <col min="102" max="102" width="13.85546875"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2.7109375"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3" width="16.7109375" customWidth="1"/>
    <col min="154" max="154" width="14.710937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46093</v>
      </c>
      <c r="B2" s="227" t="s">
        <v>175</v>
      </c>
      <c r="C2" s="227" t="s">
        <v>681</v>
      </c>
      <c r="D2" s="228">
        <v>500</v>
      </c>
      <c r="E2" s="231">
        <v>1044.2</v>
      </c>
      <c r="F2" s="231">
        <v>1047.7</v>
      </c>
      <c r="G2" s="228">
        <v>-3.5</v>
      </c>
      <c r="H2" s="229">
        <v>-3.3E-3</v>
      </c>
      <c r="I2" s="231">
        <v>1043.4000000000001</v>
      </c>
      <c r="J2" s="231">
        <v>1048.0999999999999</v>
      </c>
      <c r="K2" s="228">
        <v>-4.7</v>
      </c>
      <c r="L2" s="229">
        <v>-4.4999999999999997E-3</v>
      </c>
      <c r="M2" s="231">
        <v>1044.2</v>
      </c>
      <c r="N2" s="231">
        <v>1047.7</v>
      </c>
      <c r="O2" s="228">
        <v>-3.5</v>
      </c>
      <c r="P2" s="229">
        <v>-3.3E-3</v>
      </c>
      <c r="Q2" s="231">
        <v>1045.5</v>
      </c>
      <c r="R2" s="231">
        <v>1045.2</v>
      </c>
      <c r="S2" s="228">
        <v>0.3</v>
      </c>
      <c r="T2" s="229">
        <v>2.9999999999999997E-4</v>
      </c>
      <c r="U2" s="231">
        <v>1047</v>
      </c>
      <c r="V2" s="231">
        <v>1039.9000000000001</v>
      </c>
      <c r="W2" s="228">
        <v>7.1</v>
      </c>
      <c r="X2" s="229">
        <v>6.7999999999999996E-3</v>
      </c>
      <c r="Y2" s="228">
        <v>0.8</v>
      </c>
      <c r="Z2" s="228">
        <v>-0.4</v>
      </c>
      <c r="AA2" s="228">
        <v>1.2</v>
      </c>
      <c r="AB2" s="229">
        <v>8.0000000000000004E-4</v>
      </c>
      <c r="AC2" s="228">
        <v>0.8</v>
      </c>
      <c r="AD2" s="228">
        <v>-0.4</v>
      </c>
      <c r="AE2" s="228">
        <v>1.2</v>
      </c>
      <c r="AF2" s="229">
        <v>8.0000000000000004E-4</v>
      </c>
      <c r="AG2" s="228">
        <v>2.1</v>
      </c>
      <c r="AH2" s="228">
        <v>-2.9</v>
      </c>
      <c r="AI2" s="228">
        <v>5</v>
      </c>
      <c r="AJ2" s="229">
        <v>2E-3</v>
      </c>
      <c r="AK2" s="228">
        <v>3.6</v>
      </c>
      <c r="AL2" s="228">
        <v>-8.1999999999999993</v>
      </c>
      <c r="AM2" s="228">
        <v>11.8</v>
      </c>
      <c r="AN2" s="229">
        <v>3.5000000000000001E-3</v>
      </c>
      <c r="AO2" s="231">
        <v>1039.6600000000001</v>
      </c>
      <c r="AP2" s="231">
        <v>1041.29</v>
      </c>
      <c r="AQ2" s="228">
        <v>0</v>
      </c>
      <c r="AR2" s="230">
        <v>791000</v>
      </c>
      <c r="AS2" s="230">
        <v>718000</v>
      </c>
      <c r="AT2" s="230">
        <v>73000</v>
      </c>
      <c r="AU2" s="229">
        <v>0.1017</v>
      </c>
      <c r="AV2" s="230">
        <v>753000</v>
      </c>
      <c r="AW2" s="230">
        <v>673500</v>
      </c>
      <c r="AX2" s="230">
        <v>79500</v>
      </c>
      <c r="AY2" s="229">
        <v>0.11799999999999999</v>
      </c>
      <c r="AZ2" s="230">
        <v>25500</v>
      </c>
      <c r="BA2" s="230">
        <v>31500</v>
      </c>
      <c r="BB2" s="230">
        <v>-6000</v>
      </c>
      <c r="BC2" s="229">
        <v>-0.1905</v>
      </c>
      <c r="BD2" s="230">
        <v>12500</v>
      </c>
      <c r="BE2" s="230">
        <v>13000</v>
      </c>
      <c r="BF2" s="228">
        <v>-500</v>
      </c>
      <c r="BG2" s="229">
        <v>-3.85E-2</v>
      </c>
      <c r="BH2" s="230">
        <v>984500</v>
      </c>
      <c r="BI2" s="230">
        <v>650500</v>
      </c>
      <c r="BJ2" s="230">
        <v>334000</v>
      </c>
      <c r="BK2" s="229">
        <v>0.51349999999999996</v>
      </c>
      <c r="BL2" s="230">
        <v>443000</v>
      </c>
      <c r="BM2" s="230">
        <v>213500</v>
      </c>
      <c r="BN2" s="230">
        <v>229500</v>
      </c>
      <c r="BO2" s="229">
        <v>1.0749</v>
      </c>
      <c r="BP2" s="230">
        <v>2218500</v>
      </c>
      <c r="BQ2" s="230">
        <v>1582000</v>
      </c>
      <c r="BR2" s="230">
        <v>636500</v>
      </c>
      <c r="BS2" s="229">
        <v>0.40229999999999999</v>
      </c>
      <c r="BT2" s="230">
        <v>945991</v>
      </c>
      <c r="BU2" s="230">
        <v>754923</v>
      </c>
      <c r="BV2" s="230">
        <v>191068</v>
      </c>
      <c r="BW2" s="229">
        <v>0.25309999999999999</v>
      </c>
      <c r="BX2" s="230">
        <v>3052000</v>
      </c>
      <c r="BY2" s="230">
        <v>3049500</v>
      </c>
      <c r="BZ2" s="230">
        <v>2500</v>
      </c>
      <c r="CA2" s="229">
        <v>8.0000000000000004E-4</v>
      </c>
      <c r="CB2" s="230">
        <v>2990500</v>
      </c>
      <c r="CC2" s="230">
        <v>2992000</v>
      </c>
      <c r="CD2" s="230">
        <v>-1500</v>
      </c>
      <c r="CE2" s="229">
        <v>-5.0000000000000001E-4</v>
      </c>
      <c r="CF2" s="230">
        <v>54000</v>
      </c>
      <c r="CG2" s="230">
        <v>47500</v>
      </c>
      <c r="CH2" s="230">
        <v>6500</v>
      </c>
      <c r="CI2" s="229">
        <v>0.1368</v>
      </c>
      <c r="CJ2" s="230">
        <v>7500</v>
      </c>
      <c r="CK2" s="230">
        <v>10000</v>
      </c>
      <c r="CL2" s="230">
        <v>-2500</v>
      </c>
      <c r="CM2" s="229">
        <v>-0.25</v>
      </c>
      <c r="CN2" s="230">
        <v>1188500</v>
      </c>
      <c r="CO2" s="230">
        <v>1125000</v>
      </c>
      <c r="CP2" s="230">
        <v>63500</v>
      </c>
      <c r="CQ2" s="229">
        <v>5.6399999999999999E-2</v>
      </c>
      <c r="CR2" s="230">
        <v>480500</v>
      </c>
      <c r="CS2" s="230">
        <v>468500</v>
      </c>
      <c r="CT2" s="230">
        <v>12000</v>
      </c>
      <c r="CU2" s="229">
        <v>2.5600000000000001E-2</v>
      </c>
      <c r="CV2" s="230">
        <v>4721000</v>
      </c>
      <c r="CW2" s="230">
        <v>4643000</v>
      </c>
      <c r="CX2" s="230">
        <v>78000</v>
      </c>
      <c r="CY2" s="229">
        <v>1.6799999999999999E-2</v>
      </c>
      <c r="CZ2" s="228">
        <v>34.36</v>
      </c>
      <c r="DA2" s="228">
        <v>33.409999999999997</v>
      </c>
      <c r="DB2" s="228">
        <v>0.95</v>
      </c>
      <c r="DC2" s="228">
        <v>0.95</v>
      </c>
      <c r="DD2" s="228">
        <v>41.44</v>
      </c>
      <c r="DE2" s="228">
        <v>41.54</v>
      </c>
      <c r="DF2" s="228">
        <v>-7.08</v>
      </c>
      <c r="DG2" s="228">
        <v>-0.1</v>
      </c>
      <c r="DH2" s="228">
        <v>32.68</v>
      </c>
      <c r="DI2" s="228">
        <v>32.42</v>
      </c>
      <c r="DJ2" s="228">
        <v>0.26</v>
      </c>
      <c r="DK2" s="228">
        <v>0.26</v>
      </c>
      <c r="DL2" s="228">
        <v>38.07</v>
      </c>
      <c r="DM2" s="228">
        <v>36.43</v>
      </c>
      <c r="DN2" s="228">
        <v>1.64</v>
      </c>
      <c r="DO2" s="228">
        <v>1.64</v>
      </c>
      <c r="DP2" s="228">
        <v>0.4</v>
      </c>
      <c r="DQ2" s="228">
        <v>0.42</v>
      </c>
      <c r="DR2" s="228">
        <v>-0.02</v>
      </c>
      <c r="DS2" s="229">
        <v>-4.7600000000000003E-2</v>
      </c>
      <c r="DT2" s="231">
        <v>1140</v>
      </c>
      <c r="DU2" s="231">
        <v>1060</v>
      </c>
      <c r="DV2" s="228">
        <v>0.45</v>
      </c>
      <c r="DW2" s="228">
        <v>0.33</v>
      </c>
      <c r="DX2" s="228">
        <v>0.12</v>
      </c>
      <c r="DY2" s="229">
        <v>0.36359999999999998</v>
      </c>
      <c r="DZ2" s="229">
        <v>2.0199999999999999E-2</v>
      </c>
      <c r="EA2" s="230">
        <v>57500</v>
      </c>
      <c r="EB2" s="229">
        <v>1.1999999999999999E-3</v>
      </c>
      <c r="EC2" s="229">
        <v>2.0199999999999999E-2</v>
      </c>
      <c r="ED2" s="228">
        <v>1.63</v>
      </c>
      <c r="EE2" s="229">
        <v>1.6000000000000001E-3</v>
      </c>
      <c r="EF2" s="230">
        <v>494348</v>
      </c>
      <c r="EG2" s="230">
        <v>447231</v>
      </c>
      <c r="EH2" s="229">
        <v>0.10539999999999999</v>
      </c>
      <c r="EI2" s="229">
        <v>0.52259999999999995</v>
      </c>
      <c r="EJ2" s="231">
        <v>11013.01</v>
      </c>
      <c r="EK2" s="231">
        <v>4462.1899999999996</v>
      </c>
      <c r="EL2" s="231">
        <v>8224.77</v>
      </c>
      <c r="EM2" s="231">
        <v>1268</v>
      </c>
      <c r="EN2" s="231">
        <v>23699.97</v>
      </c>
      <c r="EO2" s="231">
        <v>17023.3</v>
      </c>
      <c r="EP2" s="231">
        <v>6676.67</v>
      </c>
      <c r="EQ2" s="229">
        <v>0.39219999999999999</v>
      </c>
      <c r="ER2" s="231">
        <v>13601</v>
      </c>
      <c r="ES2" s="231">
        <v>5042</v>
      </c>
      <c r="ET2" s="231">
        <v>31870</v>
      </c>
      <c r="EU2" s="231">
        <v>36943219</v>
      </c>
      <c r="EV2" s="231">
        <v>50513</v>
      </c>
      <c r="EW2" s="231">
        <v>49820</v>
      </c>
      <c r="EX2" s="228">
        <v>693</v>
      </c>
      <c r="EY2" s="229">
        <v>1.3899999999999999E-2</v>
      </c>
      <c r="EZ2" s="229">
        <v>0.1278</v>
      </c>
      <c r="FA2" s="227" t="s">
        <v>567</v>
      </c>
      <c r="FB2" s="161">
        <f>BX2-CB2</f>
        <v>61500</v>
      </c>
    </row>
    <row r="3" spans="1:158" ht="17.25" thickBot="1" x14ac:dyDescent="0.3">
      <c r="A3" s="226">
        <v>46093</v>
      </c>
      <c r="B3" s="227" t="s">
        <v>184</v>
      </c>
      <c r="C3" s="227" t="s">
        <v>553</v>
      </c>
      <c r="D3" s="228">
        <v>125</v>
      </c>
      <c r="E3" s="231">
        <v>6403.5</v>
      </c>
      <c r="F3" s="231">
        <v>6277.5</v>
      </c>
      <c r="G3" s="228">
        <v>126</v>
      </c>
      <c r="H3" s="229">
        <v>2.01E-2</v>
      </c>
      <c r="I3" s="231">
        <v>6409</v>
      </c>
      <c r="J3" s="231">
        <v>6280</v>
      </c>
      <c r="K3" s="228">
        <v>129</v>
      </c>
      <c r="L3" s="229">
        <v>2.0500000000000001E-2</v>
      </c>
      <c r="M3" s="231">
        <v>6403.5</v>
      </c>
      <c r="N3" s="231">
        <v>6277.5</v>
      </c>
      <c r="O3" s="228">
        <v>126</v>
      </c>
      <c r="P3" s="229">
        <v>2.01E-2</v>
      </c>
      <c r="Q3" s="231">
        <v>6418</v>
      </c>
      <c r="R3" s="231">
        <v>6296</v>
      </c>
      <c r="S3" s="228">
        <v>122</v>
      </c>
      <c r="T3" s="229">
        <v>1.9400000000000001E-2</v>
      </c>
      <c r="U3" s="231">
        <v>6414.5</v>
      </c>
      <c r="V3" s="231">
        <v>6289</v>
      </c>
      <c r="W3" s="228">
        <v>125.5</v>
      </c>
      <c r="X3" s="229">
        <v>0.02</v>
      </c>
      <c r="Y3" s="228">
        <v>-5.5</v>
      </c>
      <c r="Z3" s="228">
        <v>-2.5</v>
      </c>
      <c r="AA3" s="228">
        <v>-3</v>
      </c>
      <c r="AB3" s="229">
        <v>-8.9999999999999998E-4</v>
      </c>
      <c r="AC3" s="228">
        <v>-5.5</v>
      </c>
      <c r="AD3" s="228">
        <v>-2.5</v>
      </c>
      <c r="AE3" s="228">
        <v>-3</v>
      </c>
      <c r="AF3" s="229">
        <v>-8.9999999999999998E-4</v>
      </c>
      <c r="AG3" s="228">
        <v>9</v>
      </c>
      <c r="AH3" s="228">
        <v>16</v>
      </c>
      <c r="AI3" s="228">
        <v>-7</v>
      </c>
      <c r="AJ3" s="229">
        <v>1.4E-3</v>
      </c>
      <c r="AK3" s="228">
        <v>5.5</v>
      </c>
      <c r="AL3" s="228">
        <v>9</v>
      </c>
      <c r="AM3" s="228">
        <v>-3.5</v>
      </c>
      <c r="AN3" s="229">
        <v>8.9999999999999998E-4</v>
      </c>
      <c r="AO3" s="231">
        <v>6316.1</v>
      </c>
      <c r="AP3" s="231">
        <v>6334.8</v>
      </c>
      <c r="AQ3" s="228">
        <v>0</v>
      </c>
      <c r="AR3" s="230">
        <v>852250</v>
      </c>
      <c r="AS3" s="230">
        <v>739000</v>
      </c>
      <c r="AT3" s="230">
        <v>113250</v>
      </c>
      <c r="AU3" s="229">
        <v>0.1532</v>
      </c>
      <c r="AV3" s="230">
        <v>773500</v>
      </c>
      <c r="AW3" s="230">
        <v>681125</v>
      </c>
      <c r="AX3" s="230">
        <v>92375</v>
      </c>
      <c r="AY3" s="229">
        <v>0.1356</v>
      </c>
      <c r="AZ3" s="230">
        <v>69875</v>
      </c>
      <c r="BA3" s="230">
        <v>50375</v>
      </c>
      <c r="BB3" s="230">
        <v>19500</v>
      </c>
      <c r="BC3" s="229">
        <v>0.3871</v>
      </c>
      <c r="BD3" s="230">
        <v>8875</v>
      </c>
      <c r="BE3" s="230">
        <v>7500</v>
      </c>
      <c r="BF3" s="230">
        <v>1375</v>
      </c>
      <c r="BG3" s="229">
        <v>0.18329999999999999</v>
      </c>
      <c r="BH3" s="230">
        <v>4760500</v>
      </c>
      <c r="BI3" s="230">
        <v>5219000</v>
      </c>
      <c r="BJ3" s="230">
        <v>-458500</v>
      </c>
      <c r="BK3" s="229">
        <v>-8.7900000000000006E-2</v>
      </c>
      <c r="BL3" s="230">
        <v>2069125</v>
      </c>
      <c r="BM3" s="230">
        <v>1561125</v>
      </c>
      <c r="BN3" s="230">
        <v>508000</v>
      </c>
      <c r="BO3" s="229">
        <v>0.32540000000000002</v>
      </c>
      <c r="BP3" s="230">
        <v>7681875</v>
      </c>
      <c r="BQ3" s="230">
        <v>7519125</v>
      </c>
      <c r="BR3" s="230">
        <v>162750</v>
      </c>
      <c r="BS3" s="229">
        <v>2.1600000000000001E-2</v>
      </c>
      <c r="BT3" s="230">
        <v>703499</v>
      </c>
      <c r="BU3" s="230">
        <v>620297</v>
      </c>
      <c r="BV3" s="230">
        <v>83202</v>
      </c>
      <c r="BW3" s="229">
        <v>0.1341</v>
      </c>
      <c r="BX3" s="230">
        <v>2109625</v>
      </c>
      <c r="BY3" s="230">
        <v>2078125</v>
      </c>
      <c r="BZ3" s="230">
        <v>31500</v>
      </c>
      <c r="CA3" s="229">
        <v>1.52E-2</v>
      </c>
      <c r="CB3" s="230">
        <v>2040375</v>
      </c>
      <c r="CC3" s="230">
        <v>2016125</v>
      </c>
      <c r="CD3" s="230">
        <v>24250</v>
      </c>
      <c r="CE3" s="229">
        <v>1.2E-2</v>
      </c>
      <c r="CF3" s="230">
        <v>62500</v>
      </c>
      <c r="CG3" s="230">
        <v>55375</v>
      </c>
      <c r="CH3" s="230">
        <v>7125</v>
      </c>
      <c r="CI3" s="229">
        <v>0.12870000000000001</v>
      </c>
      <c r="CJ3" s="230">
        <v>6750</v>
      </c>
      <c r="CK3" s="230">
        <v>6625</v>
      </c>
      <c r="CL3" s="228">
        <v>125</v>
      </c>
      <c r="CM3" s="229">
        <v>1.89E-2</v>
      </c>
      <c r="CN3" s="230">
        <v>1155875</v>
      </c>
      <c r="CO3" s="230">
        <v>1130125</v>
      </c>
      <c r="CP3" s="230">
        <v>25750</v>
      </c>
      <c r="CQ3" s="229">
        <v>2.2800000000000001E-2</v>
      </c>
      <c r="CR3" s="230">
        <v>999875</v>
      </c>
      <c r="CS3" s="230">
        <v>957000</v>
      </c>
      <c r="CT3" s="230">
        <v>42875</v>
      </c>
      <c r="CU3" s="229">
        <v>4.48E-2</v>
      </c>
      <c r="CV3" s="230">
        <v>4265375</v>
      </c>
      <c r="CW3" s="230">
        <v>4165250</v>
      </c>
      <c r="CX3" s="230">
        <v>100125</v>
      </c>
      <c r="CY3" s="229">
        <v>2.4E-2</v>
      </c>
      <c r="CZ3" s="228">
        <v>34.56</v>
      </c>
      <c r="DA3" s="228">
        <v>34</v>
      </c>
      <c r="DB3" s="228">
        <v>0.56000000000000005</v>
      </c>
      <c r="DC3" s="228">
        <v>0.56000000000000005</v>
      </c>
      <c r="DD3" s="228">
        <v>36.76</v>
      </c>
      <c r="DE3" s="228">
        <v>36.75</v>
      </c>
      <c r="DF3" s="228">
        <v>-2.2000000000000002</v>
      </c>
      <c r="DG3" s="228">
        <v>0.01</v>
      </c>
      <c r="DH3" s="228">
        <v>33.159999999999997</v>
      </c>
      <c r="DI3" s="228">
        <v>33.26</v>
      </c>
      <c r="DJ3" s="228">
        <v>-0.1</v>
      </c>
      <c r="DK3" s="228">
        <v>-0.1</v>
      </c>
      <c r="DL3" s="228">
        <v>37.79</v>
      </c>
      <c r="DM3" s="228">
        <v>36.5</v>
      </c>
      <c r="DN3" s="228">
        <v>1.29</v>
      </c>
      <c r="DO3" s="228">
        <v>1.29</v>
      </c>
      <c r="DP3" s="228">
        <v>0.87</v>
      </c>
      <c r="DQ3" s="228">
        <v>0.85</v>
      </c>
      <c r="DR3" s="228">
        <v>0.02</v>
      </c>
      <c r="DS3" s="229">
        <v>2.35E-2</v>
      </c>
      <c r="DT3" s="231">
        <v>6500</v>
      </c>
      <c r="DU3" s="231">
        <v>5500</v>
      </c>
      <c r="DV3" s="228">
        <v>0.43</v>
      </c>
      <c r="DW3" s="228">
        <v>0.3</v>
      </c>
      <c r="DX3" s="228">
        <v>0.13</v>
      </c>
      <c r="DY3" s="229">
        <v>0.43330000000000002</v>
      </c>
      <c r="DZ3" s="229">
        <v>3.2800000000000003E-2</v>
      </c>
      <c r="EA3" s="230">
        <v>62000</v>
      </c>
      <c r="EB3" s="229">
        <v>2.3E-3</v>
      </c>
      <c r="EC3" s="229">
        <v>3.2800000000000003E-2</v>
      </c>
      <c r="ED3" s="228">
        <v>18.7</v>
      </c>
      <c r="EE3" s="229">
        <v>3.0000000000000001E-3</v>
      </c>
      <c r="EF3" s="230">
        <v>361440</v>
      </c>
      <c r="EG3" s="230">
        <v>315962</v>
      </c>
      <c r="EH3" s="229">
        <v>0.1439</v>
      </c>
      <c r="EI3" s="229">
        <v>0.51380000000000003</v>
      </c>
      <c r="EJ3" s="231">
        <v>316808.46999999997</v>
      </c>
      <c r="EK3" s="231">
        <v>124939.72</v>
      </c>
      <c r="EL3" s="231">
        <v>53843.75</v>
      </c>
      <c r="EM3" s="231">
        <v>5071</v>
      </c>
      <c r="EN3" s="231">
        <v>495591.94</v>
      </c>
      <c r="EO3" s="231">
        <v>484597.99</v>
      </c>
      <c r="EP3" s="231">
        <v>10993.95</v>
      </c>
      <c r="EQ3" s="229">
        <v>2.2700000000000001E-2</v>
      </c>
      <c r="ER3" s="231">
        <v>74412</v>
      </c>
      <c r="ES3" s="231">
        <v>58198</v>
      </c>
      <c r="ET3" s="231">
        <v>135100</v>
      </c>
      <c r="EU3" s="231">
        <v>7946564</v>
      </c>
      <c r="EV3" s="231">
        <v>267710</v>
      </c>
      <c r="EW3" s="231">
        <v>257958</v>
      </c>
      <c r="EX3" s="231">
        <v>9752</v>
      </c>
      <c r="EY3" s="229">
        <v>3.78E-2</v>
      </c>
      <c r="EZ3" s="229">
        <v>0.53680000000000005</v>
      </c>
      <c r="FA3" s="227" t="s">
        <v>555</v>
      </c>
      <c r="FB3" s="161">
        <f t="shared" ref="FB3:FB66" si="0">BX3-CB3</f>
        <v>69250</v>
      </c>
    </row>
    <row r="4" spans="1:158" ht="17.25" thickBot="1" x14ac:dyDescent="0.3">
      <c r="A4" s="226">
        <v>46093</v>
      </c>
      <c r="B4" s="227" t="s">
        <v>175</v>
      </c>
      <c r="C4" s="227" t="s">
        <v>544</v>
      </c>
      <c r="D4" s="228">
        <v>3100</v>
      </c>
      <c r="E4" s="228">
        <v>321.39999999999998</v>
      </c>
      <c r="F4" s="228">
        <v>324.2</v>
      </c>
      <c r="G4" s="228">
        <v>-2.8</v>
      </c>
      <c r="H4" s="229">
        <v>-8.6E-3</v>
      </c>
      <c r="I4" s="228">
        <v>319.95</v>
      </c>
      <c r="J4" s="228">
        <v>323.8</v>
      </c>
      <c r="K4" s="228">
        <v>-3.85</v>
      </c>
      <c r="L4" s="229">
        <v>-1.1900000000000001E-2</v>
      </c>
      <c r="M4" s="228">
        <v>321.39999999999998</v>
      </c>
      <c r="N4" s="228">
        <v>324.2</v>
      </c>
      <c r="O4" s="228">
        <v>-2.8</v>
      </c>
      <c r="P4" s="229">
        <v>-8.6E-3</v>
      </c>
      <c r="Q4" s="228">
        <v>323.10000000000002</v>
      </c>
      <c r="R4" s="228">
        <v>326.7</v>
      </c>
      <c r="S4" s="228">
        <v>-3.6</v>
      </c>
      <c r="T4" s="229">
        <v>-1.0999999999999999E-2</v>
      </c>
      <c r="U4" s="228">
        <v>326.55</v>
      </c>
      <c r="V4" s="228">
        <v>327.35000000000002</v>
      </c>
      <c r="W4" s="228">
        <v>-0.8</v>
      </c>
      <c r="X4" s="229">
        <v>-2.3999999999999998E-3</v>
      </c>
      <c r="Y4" s="228">
        <v>1.45</v>
      </c>
      <c r="Z4" s="228">
        <v>0.4</v>
      </c>
      <c r="AA4" s="228">
        <v>1.05</v>
      </c>
      <c r="AB4" s="229">
        <v>4.4999999999999997E-3</v>
      </c>
      <c r="AC4" s="228">
        <v>1.45</v>
      </c>
      <c r="AD4" s="228">
        <v>0.4</v>
      </c>
      <c r="AE4" s="228">
        <v>1.05</v>
      </c>
      <c r="AF4" s="229">
        <v>4.4999999999999997E-3</v>
      </c>
      <c r="AG4" s="228">
        <v>3.15</v>
      </c>
      <c r="AH4" s="228">
        <v>2.9</v>
      </c>
      <c r="AI4" s="228">
        <v>0.25</v>
      </c>
      <c r="AJ4" s="229">
        <v>9.7999999999999997E-3</v>
      </c>
      <c r="AK4" s="228">
        <v>6.6</v>
      </c>
      <c r="AL4" s="228">
        <v>3.55</v>
      </c>
      <c r="AM4" s="228">
        <v>3.05</v>
      </c>
      <c r="AN4" s="229">
        <v>2.06E-2</v>
      </c>
      <c r="AO4" s="228">
        <v>321.55</v>
      </c>
      <c r="AP4" s="228">
        <v>322.87</v>
      </c>
      <c r="AQ4" s="228">
        <v>0</v>
      </c>
      <c r="AR4" s="230">
        <v>7864700</v>
      </c>
      <c r="AS4" s="230">
        <v>8190200</v>
      </c>
      <c r="AT4" s="230">
        <v>-325500</v>
      </c>
      <c r="AU4" s="229">
        <v>-3.9699999999999999E-2</v>
      </c>
      <c r="AV4" s="230">
        <v>7458600</v>
      </c>
      <c r="AW4" s="230">
        <v>7846100</v>
      </c>
      <c r="AX4" s="230">
        <v>-387500</v>
      </c>
      <c r="AY4" s="229">
        <v>-4.9399999999999999E-2</v>
      </c>
      <c r="AZ4" s="230">
        <v>393700</v>
      </c>
      <c r="BA4" s="230">
        <v>316200</v>
      </c>
      <c r="BB4" s="230">
        <v>77500</v>
      </c>
      <c r="BC4" s="229">
        <v>0.24510000000000001</v>
      </c>
      <c r="BD4" s="230">
        <v>12400</v>
      </c>
      <c r="BE4" s="230">
        <v>27900</v>
      </c>
      <c r="BF4" s="230">
        <v>-15500</v>
      </c>
      <c r="BG4" s="229">
        <v>-0.55559999999999998</v>
      </c>
      <c r="BH4" s="230">
        <v>15230300</v>
      </c>
      <c r="BI4" s="230">
        <v>14167000</v>
      </c>
      <c r="BJ4" s="230">
        <v>1063300</v>
      </c>
      <c r="BK4" s="229">
        <v>7.51E-2</v>
      </c>
      <c r="BL4" s="230">
        <v>7849200</v>
      </c>
      <c r="BM4" s="230">
        <v>11098000</v>
      </c>
      <c r="BN4" s="230">
        <v>-3248800</v>
      </c>
      <c r="BO4" s="229">
        <v>-0.29270000000000002</v>
      </c>
      <c r="BP4" s="230">
        <v>30944200</v>
      </c>
      <c r="BQ4" s="230">
        <v>33455200</v>
      </c>
      <c r="BR4" s="230">
        <v>-2511000</v>
      </c>
      <c r="BS4" s="229">
        <v>-7.51E-2</v>
      </c>
      <c r="BT4" s="230">
        <v>3112327</v>
      </c>
      <c r="BU4" s="230">
        <v>3120210</v>
      </c>
      <c r="BV4" s="230">
        <v>-7883</v>
      </c>
      <c r="BW4" s="229">
        <v>-2.5000000000000001E-3</v>
      </c>
      <c r="BX4" s="230">
        <v>47324600</v>
      </c>
      <c r="BY4" s="230">
        <v>47833000</v>
      </c>
      <c r="BZ4" s="230">
        <v>-508400</v>
      </c>
      <c r="CA4" s="229">
        <v>-1.06E-2</v>
      </c>
      <c r="CB4" s="230">
        <v>46388400</v>
      </c>
      <c r="CC4" s="230">
        <v>46937100</v>
      </c>
      <c r="CD4" s="230">
        <v>-548700</v>
      </c>
      <c r="CE4" s="229">
        <v>-1.17E-2</v>
      </c>
      <c r="CF4" s="230">
        <v>880400</v>
      </c>
      <c r="CG4" s="230">
        <v>840100</v>
      </c>
      <c r="CH4" s="230">
        <v>40300</v>
      </c>
      <c r="CI4" s="229">
        <v>4.8000000000000001E-2</v>
      </c>
      <c r="CJ4" s="230">
        <v>55800</v>
      </c>
      <c r="CK4" s="230">
        <v>55800</v>
      </c>
      <c r="CL4" s="228">
        <v>0</v>
      </c>
      <c r="CM4" s="229">
        <v>0</v>
      </c>
      <c r="CN4" s="230">
        <v>15558900</v>
      </c>
      <c r="CO4" s="230">
        <v>15636400</v>
      </c>
      <c r="CP4" s="230">
        <v>-77500</v>
      </c>
      <c r="CQ4" s="229">
        <v>-5.0000000000000001E-3</v>
      </c>
      <c r="CR4" s="230">
        <v>9768100</v>
      </c>
      <c r="CS4" s="230">
        <v>10341600</v>
      </c>
      <c r="CT4" s="230">
        <v>-573500</v>
      </c>
      <c r="CU4" s="229">
        <v>-5.5500000000000001E-2</v>
      </c>
      <c r="CV4" s="230">
        <v>72651600</v>
      </c>
      <c r="CW4" s="230">
        <v>73811000</v>
      </c>
      <c r="CX4" s="230">
        <v>-1159400</v>
      </c>
      <c r="CY4" s="229">
        <v>-1.5699999999999999E-2</v>
      </c>
      <c r="CZ4" s="228">
        <v>38.15</v>
      </c>
      <c r="DA4" s="228">
        <v>37.840000000000003</v>
      </c>
      <c r="DB4" s="228">
        <v>0.31</v>
      </c>
      <c r="DC4" s="228">
        <v>0.31</v>
      </c>
      <c r="DD4" s="228">
        <v>37.520000000000003</v>
      </c>
      <c r="DE4" s="228">
        <v>37.6</v>
      </c>
      <c r="DF4" s="228">
        <v>0.63</v>
      </c>
      <c r="DG4" s="228">
        <v>-0.08</v>
      </c>
      <c r="DH4" s="228">
        <v>37.700000000000003</v>
      </c>
      <c r="DI4" s="228">
        <v>37.69</v>
      </c>
      <c r="DJ4" s="228">
        <v>0.01</v>
      </c>
      <c r="DK4" s="228">
        <v>0.01</v>
      </c>
      <c r="DL4" s="228">
        <v>39.020000000000003</v>
      </c>
      <c r="DM4" s="228">
        <v>38.04</v>
      </c>
      <c r="DN4" s="228">
        <v>0.98</v>
      </c>
      <c r="DO4" s="228">
        <v>0.98</v>
      </c>
      <c r="DP4" s="228">
        <v>0.63</v>
      </c>
      <c r="DQ4" s="228">
        <v>0.66</v>
      </c>
      <c r="DR4" s="228">
        <v>-0.03</v>
      </c>
      <c r="DS4" s="229">
        <v>-4.5499999999999999E-2</v>
      </c>
      <c r="DT4" s="228">
        <v>360</v>
      </c>
      <c r="DU4" s="228">
        <v>320</v>
      </c>
      <c r="DV4" s="228">
        <v>0.52</v>
      </c>
      <c r="DW4" s="228">
        <v>0.78</v>
      </c>
      <c r="DX4" s="228">
        <v>-0.26</v>
      </c>
      <c r="DY4" s="229">
        <v>-0.33329999999999999</v>
      </c>
      <c r="DZ4" s="229">
        <v>1.9800000000000002E-2</v>
      </c>
      <c r="EA4" s="230">
        <v>895900</v>
      </c>
      <c r="EB4" s="229">
        <v>5.3E-3</v>
      </c>
      <c r="EC4" s="229">
        <v>1.9800000000000002E-2</v>
      </c>
      <c r="ED4" s="228">
        <v>1.32</v>
      </c>
      <c r="EE4" s="229">
        <v>4.1000000000000003E-3</v>
      </c>
      <c r="EF4" s="230">
        <v>1029861</v>
      </c>
      <c r="EG4" s="230">
        <v>1306208</v>
      </c>
      <c r="EH4" s="229">
        <v>-0.21160000000000001</v>
      </c>
      <c r="EI4" s="229">
        <v>0.33090000000000003</v>
      </c>
      <c r="EJ4" s="231">
        <v>52546.12</v>
      </c>
      <c r="EK4" s="231">
        <v>25024.54</v>
      </c>
      <c r="EL4" s="231">
        <v>25294.62</v>
      </c>
      <c r="EM4" s="231">
        <v>2955</v>
      </c>
      <c r="EN4" s="231">
        <v>102865.28</v>
      </c>
      <c r="EO4" s="231">
        <v>113075.05</v>
      </c>
      <c r="EP4" s="231">
        <v>-10209.77</v>
      </c>
      <c r="EQ4" s="229">
        <v>-9.0300000000000005E-2</v>
      </c>
      <c r="ER4" s="231">
        <v>55071</v>
      </c>
      <c r="ES4" s="231">
        <v>31925</v>
      </c>
      <c r="ET4" s="231">
        <v>152119</v>
      </c>
      <c r="EU4" s="231">
        <v>122657000</v>
      </c>
      <c r="EV4" s="231">
        <v>239115</v>
      </c>
      <c r="EW4" s="231">
        <v>244246</v>
      </c>
      <c r="EX4" s="231">
        <v>-5131</v>
      </c>
      <c r="EY4" s="229">
        <v>-2.1000000000000001E-2</v>
      </c>
      <c r="EZ4" s="229">
        <v>0.59230000000000005</v>
      </c>
      <c r="FA4" s="227" t="s">
        <v>568</v>
      </c>
      <c r="FB4" s="161">
        <f t="shared" si="0"/>
        <v>936200</v>
      </c>
    </row>
    <row r="5" spans="1:158" ht="17.25" thickBot="1" x14ac:dyDescent="0.3">
      <c r="A5" s="226">
        <v>46093</v>
      </c>
      <c r="B5" s="227" t="s">
        <v>161</v>
      </c>
      <c r="C5" s="227" t="s">
        <v>579</v>
      </c>
      <c r="D5" s="228">
        <v>675</v>
      </c>
      <c r="E5" s="231">
        <v>1007.5</v>
      </c>
      <c r="F5" s="228">
        <v>995.4</v>
      </c>
      <c r="G5" s="228">
        <v>12.1</v>
      </c>
      <c r="H5" s="229">
        <v>1.2200000000000001E-2</v>
      </c>
      <c r="I5" s="231">
        <v>1004.4</v>
      </c>
      <c r="J5" s="228">
        <v>992</v>
      </c>
      <c r="K5" s="228">
        <v>12.4</v>
      </c>
      <c r="L5" s="229">
        <v>1.2500000000000001E-2</v>
      </c>
      <c r="M5" s="231">
        <v>1007.5</v>
      </c>
      <c r="N5" s="228">
        <v>995.4</v>
      </c>
      <c r="O5" s="228">
        <v>12.1</v>
      </c>
      <c r="P5" s="229">
        <v>1.2200000000000001E-2</v>
      </c>
      <c r="Q5" s="231">
        <v>1012.7</v>
      </c>
      <c r="R5" s="231">
        <v>1001.4</v>
      </c>
      <c r="S5" s="228">
        <v>11.3</v>
      </c>
      <c r="T5" s="229">
        <v>1.1299999999999999E-2</v>
      </c>
      <c r="U5" s="231">
        <v>1028</v>
      </c>
      <c r="V5" s="231">
        <v>1010</v>
      </c>
      <c r="W5" s="228">
        <v>18</v>
      </c>
      <c r="X5" s="229">
        <v>1.78E-2</v>
      </c>
      <c r="Y5" s="228">
        <v>3.1</v>
      </c>
      <c r="Z5" s="228">
        <v>3.4</v>
      </c>
      <c r="AA5" s="228">
        <v>-0.3</v>
      </c>
      <c r="AB5" s="229">
        <v>3.0999999999999999E-3</v>
      </c>
      <c r="AC5" s="228">
        <v>3.1</v>
      </c>
      <c r="AD5" s="228">
        <v>3.4</v>
      </c>
      <c r="AE5" s="228">
        <v>-0.3</v>
      </c>
      <c r="AF5" s="229">
        <v>3.0999999999999999E-3</v>
      </c>
      <c r="AG5" s="228">
        <v>8.3000000000000007</v>
      </c>
      <c r="AH5" s="228">
        <v>9.4</v>
      </c>
      <c r="AI5" s="228">
        <v>-1.1000000000000001</v>
      </c>
      <c r="AJ5" s="229">
        <v>8.3000000000000001E-3</v>
      </c>
      <c r="AK5" s="228">
        <v>23.6</v>
      </c>
      <c r="AL5" s="228">
        <v>18</v>
      </c>
      <c r="AM5" s="228">
        <v>5.6</v>
      </c>
      <c r="AN5" s="229">
        <v>2.35E-2</v>
      </c>
      <c r="AO5" s="231">
        <v>1003.3</v>
      </c>
      <c r="AP5" s="231">
        <v>1010.09</v>
      </c>
      <c r="AQ5" s="228">
        <v>0</v>
      </c>
      <c r="AR5" s="230">
        <v>1723275</v>
      </c>
      <c r="AS5" s="230">
        <v>1571400</v>
      </c>
      <c r="AT5" s="230">
        <v>151875</v>
      </c>
      <c r="AU5" s="229">
        <v>9.6600000000000005E-2</v>
      </c>
      <c r="AV5" s="230">
        <v>1687500</v>
      </c>
      <c r="AW5" s="230">
        <v>1493775</v>
      </c>
      <c r="AX5" s="230">
        <v>193725</v>
      </c>
      <c r="AY5" s="229">
        <v>0.12970000000000001</v>
      </c>
      <c r="AZ5" s="230">
        <v>35100</v>
      </c>
      <c r="BA5" s="230">
        <v>75600</v>
      </c>
      <c r="BB5" s="230">
        <v>-40500</v>
      </c>
      <c r="BC5" s="229">
        <v>-0.53569999999999995</v>
      </c>
      <c r="BD5" s="228">
        <v>675</v>
      </c>
      <c r="BE5" s="230">
        <v>2025</v>
      </c>
      <c r="BF5" s="230">
        <v>-1350</v>
      </c>
      <c r="BG5" s="229">
        <v>-0.66669999999999996</v>
      </c>
      <c r="BH5" s="230">
        <v>5153625</v>
      </c>
      <c r="BI5" s="230">
        <v>9272475</v>
      </c>
      <c r="BJ5" s="230">
        <v>-4118850</v>
      </c>
      <c r="BK5" s="229">
        <v>-0.44419999999999998</v>
      </c>
      <c r="BL5" s="230">
        <v>1329750</v>
      </c>
      <c r="BM5" s="230">
        <v>2501550</v>
      </c>
      <c r="BN5" s="230">
        <v>-1171800</v>
      </c>
      <c r="BO5" s="229">
        <v>-0.46839999999999998</v>
      </c>
      <c r="BP5" s="230">
        <v>8206650</v>
      </c>
      <c r="BQ5" s="230">
        <v>13345425</v>
      </c>
      <c r="BR5" s="230">
        <v>-5138775</v>
      </c>
      <c r="BS5" s="229">
        <v>-0.3851</v>
      </c>
      <c r="BT5" s="230">
        <v>1190381</v>
      </c>
      <c r="BU5" s="230">
        <v>894666</v>
      </c>
      <c r="BV5" s="230">
        <v>295715</v>
      </c>
      <c r="BW5" s="229">
        <v>0.33050000000000002</v>
      </c>
      <c r="BX5" s="230">
        <v>21233475</v>
      </c>
      <c r="BY5" s="230">
        <v>21411675</v>
      </c>
      <c r="BZ5" s="230">
        <v>-178200</v>
      </c>
      <c r="CA5" s="229">
        <v>-8.3000000000000001E-3</v>
      </c>
      <c r="CB5" s="230">
        <v>18610425</v>
      </c>
      <c r="CC5" s="230">
        <v>18787275</v>
      </c>
      <c r="CD5" s="230">
        <v>-176850</v>
      </c>
      <c r="CE5" s="229">
        <v>-9.4000000000000004E-3</v>
      </c>
      <c r="CF5" s="230">
        <v>2386125</v>
      </c>
      <c r="CG5" s="230">
        <v>2386800</v>
      </c>
      <c r="CH5" s="228">
        <v>-675</v>
      </c>
      <c r="CI5" s="229">
        <v>-2.9999999999999997E-4</v>
      </c>
      <c r="CJ5" s="230">
        <v>236925</v>
      </c>
      <c r="CK5" s="230">
        <v>237600</v>
      </c>
      <c r="CL5" s="228">
        <v>-675</v>
      </c>
      <c r="CM5" s="229">
        <v>-2.8E-3</v>
      </c>
      <c r="CN5" s="230">
        <v>3330450</v>
      </c>
      <c r="CO5" s="230">
        <v>3933225</v>
      </c>
      <c r="CP5" s="230">
        <v>-602775</v>
      </c>
      <c r="CQ5" s="229">
        <v>-0.15329999999999999</v>
      </c>
      <c r="CR5" s="230">
        <v>2130300</v>
      </c>
      <c r="CS5" s="230">
        <v>2193075</v>
      </c>
      <c r="CT5" s="230">
        <v>-62775</v>
      </c>
      <c r="CU5" s="229">
        <v>-2.86E-2</v>
      </c>
      <c r="CV5" s="230">
        <v>26694225</v>
      </c>
      <c r="CW5" s="230">
        <v>27537975</v>
      </c>
      <c r="CX5" s="230">
        <v>-843750</v>
      </c>
      <c r="CY5" s="229">
        <v>-3.0599999999999999E-2</v>
      </c>
      <c r="CZ5" s="228">
        <v>44.12</v>
      </c>
      <c r="DA5" s="228">
        <v>46.91</v>
      </c>
      <c r="DB5" s="228">
        <v>-2.79</v>
      </c>
      <c r="DC5" s="228">
        <v>-2.79</v>
      </c>
      <c r="DD5" s="228">
        <v>53.9</v>
      </c>
      <c r="DE5" s="228">
        <v>54.01</v>
      </c>
      <c r="DF5" s="228">
        <v>-9.7799999999999994</v>
      </c>
      <c r="DG5" s="228">
        <v>-0.11</v>
      </c>
      <c r="DH5" s="228">
        <v>43.91</v>
      </c>
      <c r="DI5" s="228">
        <v>46.9</v>
      </c>
      <c r="DJ5" s="228">
        <v>-2.99</v>
      </c>
      <c r="DK5" s="228">
        <v>-2.99</v>
      </c>
      <c r="DL5" s="228">
        <v>44.91</v>
      </c>
      <c r="DM5" s="228">
        <v>46.92</v>
      </c>
      <c r="DN5" s="228">
        <v>-2.0099999999999998</v>
      </c>
      <c r="DO5" s="228">
        <v>-2.0099999999999998</v>
      </c>
      <c r="DP5" s="228">
        <v>0.64</v>
      </c>
      <c r="DQ5" s="228">
        <v>0.56000000000000005</v>
      </c>
      <c r="DR5" s="228">
        <v>0.08</v>
      </c>
      <c r="DS5" s="229">
        <v>0.1429</v>
      </c>
      <c r="DT5" s="231">
        <v>1040</v>
      </c>
      <c r="DU5" s="231">
        <v>1020</v>
      </c>
      <c r="DV5" s="228">
        <v>0.26</v>
      </c>
      <c r="DW5" s="228">
        <v>0.27</v>
      </c>
      <c r="DX5" s="228">
        <v>-0.01</v>
      </c>
      <c r="DY5" s="229">
        <v>-3.6999999999999998E-2</v>
      </c>
      <c r="DZ5" s="229">
        <v>0.1235</v>
      </c>
      <c r="EA5" s="230">
        <v>2624400</v>
      </c>
      <c r="EB5" s="229">
        <v>5.1999999999999998E-3</v>
      </c>
      <c r="EC5" s="229">
        <v>0.1235</v>
      </c>
      <c r="ED5" s="228">
        <v>6.79</v>
      </c>
      <c r="EE5" s="229">
        <v>6.7999999999999996E-3</v>
      </c>
      <c r="EF5" s="230">
        <v>385236</v>
      </c>
      <c r="EG5" s="230">
        <v>216955</v>
      </c>
      <c r="EH5" s="229">
        <v>0.77559999999999996</v>
      </c>
      <c r="EI5" s="229">
        <v>0.3236</v>
      </c>
      <c r="EJ5" s="231">
        <v>54989.54</v>
      </c>
      <c r="EK5" s="231">
        <v>13277.81</v>
      </c>
      <c r="EL5" s="231">
        <v>17292.169999999998</v>
      </c>
      <c r="EM5" s="231">
        <v>3978</v>
      </c>
      <c r="EN5" s="231">
        <v>85559.52</v>
      </c>
      <c r="EO5" s="231">
        <v>140850.79999999999</v>
      </c>
      <c r="EP5" s="231">
        <v>-55291.28</v>
      </c>
      <c r="EQ5" s="229">
        <v>-0.3926</v>
      </c>
      <c r="ER5" s="231">
        <v>35224</v>
      </c>
      <c r="ES5" s="231">
        <v>20596</v>
      </c>
      <c r="ET5" s="231">
        <v>214100</v>
      </c>
      <c r="EU5" s="231">
        <v>43791427</v>
      </c>
      <c r="EV5" s="231">
        <v>269919</v>
      </c>
      <c r="EW5" s="231">
        <v>275925</v>
      </c>
      <c r="EX5" s="231">
        <v>-6006</v>
      </c>
      <c r="EY5" s="229">
        <v>-2.18E-2</v>
      </c>
      <c r="EZ5" s="229">
        <v>0.60960000000000003</v>
      </c>
      <c r="FA5" s="227" t="s">
        <v>556</v>
      </c>
      <c r="FB5" s="161">
        <f t="shared" si="0"/>
        <v>2623050</v>
      </c>
    </row>
    <row r="6" spans="1:158" ht="17.25" thickBot="1" x14ac:dyDescent="0.3">
      <c r="A6" s="226">
        <v>46093</v>
      </c>
      <c r="B6" s="227" t="s">
        <v>215</v>
      </c>
      <c r="C6" s="227" t="s">
        <v>159</v>
      </c>
      <c r="D6" s="228">
        <v>309</v>
      </c>
      <c r="E6" s="231">
        <v>1998.9</v>
      </c>
      <c r="F6" s="231">
        <v>1975.3</v>
      </c>
      <c r="G6" s="228">
        <v>23.6</v>
      </c>
      <c r="H6" s="229">
        <v>1.1900000000000001E-2</v>
      </c>
      <c r="I6" s="231">
        <v>2002</v>
      </c>
      <c r="J6" s="231">
        <v>1974.7</v>
      </c>
      <c r="K6" s="228">
        <v>27.3</v>
      </c>
      <c r="L6" s="229">
        <v>1.38E-2</v>
      </c>
      <c r="M6" s="231">
        <v>1998.9</v>
      </c>
      <c r="N6" s="231">
        <v>1975.3</v>
      </c>
      <c r="O6" s="228">
        <v>23.6</v>
      </c>
      <c r="P6" s="229">
        <v>1.1900000000000001E-2</v>
      </c>
      <c r="Q6" s="231">
        <v>2002.8</v>
      </c>
      <c r="R6" s="231">
        <v>1979.1</v>
      </c>
      <c r="S6" s="228">
        <v>23.7</v>
      </c>
      <c r="T6" s="229">
        <v>1.2E-2</v>
      </c>
      <c r="U6" s="231">
        <v>2011</v>
      </c>
      <c r="V6" s="231">
        <v>1988.6</v>
      </c>
      <c r="W6" s="228">
        <v>22.4</v>
      </c>
      <c r="X6" s="229">
        <v>1.1299999999999999E-2</v>
      </c>
      <c r="Y6" s="228">
        <v>-3.1</v>
      </c>
      <c r="Z6" s="228">
        <v>0.6</v>
      </c>
      <c r="AA6" s="228">
        <v>-3.7</v>
      </c>
      <c r="AB6" s="229">
        <v>-1.5E-3</v>
      </c>
      <c r="AC6" s="228">
        <v>-3.1</v>
      </c>
      <c r="AD6" s="228">
        <v>0.6</v>
      </c>
      <c r="AE6" s="228">
        <v>-3.7</v>
      </c>
      <c r="AF6" s="229">
        <v>-1.5E-3</v>
      </c>
      <c r="AG6" s="228">
        <v>0.8</v>
      </c>
      <c r="AH6" s="228">
        <v>4.4000000000000004</v>
      </c>
      <c r="AI6" s="228">
        <v>-3.6</v>
      </c>
      <c r="AJ6" s="229">
        <v>4.0000000000000002E-4</v>
      </c>
      <c r="AK6" s="228">
        <v>9</v>
      </c>
      <c r="AL6" s="228">
        <v>13.9</v>
      </c>
      <c r="AM6" s="228">
        <v>-4.9000000000000004</v>
      </c>
      <c r="AN6" s="229">
        <v>4.4999999999999997E-3</v>
      </c>
      <c r="AO6" s="231">
        <v>1995.37</v>
      </c>
      <c r="AP6" s="231">
        <v>1983.09</v>
      </c>
      <c r="AQ6" s="228">
        <v>0</v>
      </c>
      <c r="AR6" s="230">
        <v>4142145</v>
      </c>
      <c r="AS6" s="230">
        <v>1723602</v>
      </c>
      <c r="AT6" s="230">
        <v>2418543</v>
      </c>
      <c r="AU6" s="229">
        <v>1.4032</v>
      </c>
      <c r="AV6" s="230">
        <v>2164854</v>
      </c>
      <c r="AW6" s="230">
        <v>1477020</v>
      </c>
      <c r="AX6" s="230">
        <v>687834</v>
      </c>
      <c r="AY6" s="229">
        <v>0.4657</v>
      </c>
      <c r="AZ6" s="230">
        <v>1930014</v>
      </c>
      <c r="BA6" s="230">
        <v>226806</v>
      </c>
      <c r="BB6" s="230">
        <v>1703208</v>
      </c>
      <c r="BC6" s="229">
        <v>7.5095000000000001</v>
      </c>
      <c r="BD6" s="230">
        <v>47277</v>
      </c>
      <c r="BE6" s="230">
        <v>19776</v>
      </c>
      <c r="BF6" s="230">
        <v>27501</v>
      </c>
      <c r="BG6" s="229">
        <v>1.3906000000000001</v>
      </c>
      <c r="BH6" s="230">
        <v>8727705</v>
      </c>
      <c r="BI6" s="230">
        <v>4911555</v>
      </c>
      <c r="BJ6" s="230">
        <v>3816150</v>
      </c>
      <c r="BK6" s="229">
        <v>0.77700000000000002</v>
      </c>
      <c r="BL6" s="230">
        <v>4382547</v>
      </c>
      <c r="BM6" s="230">
        <v>2778219</v>
      </c>
      <c r="BN6" s="230">
        <v>1604328</v>
      </c>
      <c r="BO6" s="229">
        <v>0.57750000000000001</v>
      </c>
      <c r="BP6" s="230">
        <v>17252397</v>
      </c>
      <c r="BQ6" s="230">
        <v>9413376</v>
      </c>
      <c r="BR6" s="230">
        <v>7839021</v>
      </c>
      <c r="BS6" s="229">
        <v>0.83279999999999998</v>
      </c>
      <c r="BT6" s="230">
        <v>1573388</v>
      </c>
      <c r="BU6" s="230">
        <v>2473315</v>
      </c>
      <c r="BV6" s="230">
        <v>-899927</v>
      </c>
      <c r="BW6" s="229">
        <v>-0.3639</v>
      </c>
      <c r="BX6" s="230">
        <v>18852399</v>
      </c>
      <c r="BY6" s="230">
        <v>19055103</v>
      </c>
      <c r="BZ6" s="230">
        <v>-202704</v>
      </c>
      <c r="CA6" s="229">
        <v>-1.06E-2</v>
      </c>
      <c r="CB6" s="230">
        <v>15574527</v>
      </c>
      <c r="CC6" s="230">
        <v>16147722</v>
      </c>
      <c r="CD6" s="230">
        <v>-573195</v>
      </c>
      <c r="CE6" s="229">
        <v>-3.5499999999999997E-2</v>
      </c>
      <c r="CF6" s="230">
        <v>2208114</v>
      </c>
      <c r="CG6" s="230">
        <v>1835769</v>
      </c>
      <c r="CH6" s="230">
        <v>372345</v>
      </c>
      <c r="CI6" s="229">
        <v>0.20280000000000001</v>
      </c>
      <c r="CJ6" s="230">
        <v>1069758</v>
      </c>
      <c r="CK6" s="230">
        <v>1071612</v>
      </c>
      <c r="CL6" s="230">
        <v>-1854</v>
      </c>
      <c r="CM6" s="229">
        <v>-1.6999999999999999E-3</v>
      </c>
      <c r="CN6" s="230">
        <v>6825501</v>
      </c>
      <c r="CO6" s="230">
        <v>6608892</v>
      </c>
      <c r="CP6" s="230">
        <v>216609</v>
      </c>
      <c r="CQ6" s="229">
        <v>3.2800000000000003E-2</v>
      </c>
      <c r="CR6" s="230">
        <v>5654391</v>
      </c>
      <c r="CS6" s="230">
        <v>5606496</v>
      </c>
      <c r="CT6" s="230">
        <v>47895</v>
      </c>
      <c r="CU6" s="229">
        <v>8.5000000000000006E-3</v>
      </c>
      <c r="CV6" s="230">
        <v>31332291</v>
      </c>
      <c r="CW6" s="230">
        <v>31270491</v>
      </c>
      <c r="CX6" s="230">
        <v>61800</v>
      </c>
      <c r="CY6" s="229">
        <v>2E-3</v>
      </c>
      <c r="CZ6" s="228">
        <v>41.05</v>
      </c>
      <c r="DA6" s="228">
        <v>42.76</v>
      </c>
      <c r="DB6" s="228">
        <v>-1.71</v>
      </c>
      <c r="DC6" s="228">
        <v>-1.71</v>
      </c>
      <c r="DD6" s="228">
        <v>48.16</v>
      </c>
      <c r="DE6" s="228">
        <v>48.26</v>
      </c>
      <c r="DF6" s="228">
        <v>-7.11</v>
      </c>
      <c r="DG6" s="228">
        <v>-0.1</v>
      </c>
      <c r="DH6" s="228">
        <v>40.159999999999997</v>
      </c>
      <c r="DI6" s="228">
        <v>42.57</v>
      </c>
      <c r="DJ6" s="228">
        <v>-2.41</v>
      </c>
      <c r="DK6" s="228">
        <v>-2.41</v>
      </c>
      <c r="DL6" s="228">
        <v>42.83</v>
      </c>
      <c r="DM6" s="228">
        <v>43.08</v>
      </c>
      <c r="DN6" s="228">
        <v>-0.25</v>
      </c>
      <c r="DO6" s="228">
        <v>-0.25</v>
      </c>
      <c r="DP6" s="228">
        <v>0.83</v>
      </c>
      <c r="DQ6" s="228">
        <v>0.85</v>
      </c>
      <c r="DR6" s="228">
        <v>-0.02</v>
      </c>
      <c r="DS6" s="229">
        <v>-2.35E-2</v>
      </c>
      <c r="DT6" s="231">
        <v>2200</v>
      </c>
      <c r="DU6" s="231">
        <v>2200</v>
      </c>
      <c r="DV6" s="228">
        <v>0.5</v>
      </c>
      <c r="DW6" s="228">
        <v>0.56999999999999995</v>
      </c>
      <c r="DX6" s="228">
        <v>-7.0000000000000007E-2</v>
      </c>
      <c r="DY6" s="229">
        <v>-0.12280000000000001</v>
      </c>
      <c r="DZ6" s="229">
        <v>0.1739</v>
      </c>
      <c r="EA6" s="230">
        <v>2907381</v>
      </c>
      <c r="EB6" s="229">
        <v>2E-3</v>
      </c>
      <c r="EC6" s="229">
        <v>0.1739</v>
      </c>
      <c r="ED6" s="228">
        <v>-12.28</v>
      </c>
      <c r="EE6" s="229">
        <v>-6.1999999999999998E-3</v>
      </c>
      <c r="EF6" s="230">
        <v>415118</v>
      </c>
      <c r="EG6" s="230">
        <v>1678682</v>
      </c>
      <c r="EH6" s="229">
        <v>-0.75270000000000004</v>
      </c>
      <c r="EI6" s="229">
        <v>0.26379999999999998</v>
      </c>
      <c r="EJ6" s="231">
        <v>186393.53</v>
      </c>
      <c r="EK6" s="231">
        <v>87976.320000000007</v>
      </c>
      <c r="EL6" s="231">
        <v>82419.19</v>
      </c>
      <c r="EM6" s="231">
        <v>7897</v>
      </c>
      <c r="EN6" s="231">
        <v>356789.04</v>
      </c>
      <c r="EO6" s="231">
        <v>195462.58</v>
      </c>
      <c r="EP6" s="231">
        <v>161326.46</v>
      </c>
      <c r="EQ6" s="229">
        <v>0.82540000000000002</v>
      </c>
      <c r="ER6" s="231">
        <v>148942</v>
      </c>
      <c r="ES6" s="231">
        <v>119003</v>
      </c>
      <c r="ET6" s="231">
        <v>377056</v>
      </c>
      <c r="EU6" s="231">
        <v>49117354</v>
      </c>
      <c r="EV6" s="231">
        <v>645002</v>
      </c>
      <c r="EW6" s="231">
        <v>639189</v>
      </c>
      <c r="EX6" s="231">
        <v>5813</v>
      </c>
      <c r="EY6" s="229">
        <v>9.1000000000000004E-3</v>
      </c>
      <c r="EZ6" s="229">
        <v>0.63790000000000002</v>
      </c>
      <c r="FA6" s="227" t="s">
        <v>556</v>
      </c>
      <c r="FB6" s="161">
        <f t="shared" si="0"/>
        <v>3277872</v>
      </c>
    </row>
    <row r="7" spans="1:158" ht="17.25" thickBot="1" x14ac:dyDescent="0.3">
      <c r="A7" s="226">
        <v>46093</v>
      </c>
      <c r="B7" s="227" t="s">
        <v>161</v>
      </c>
      <c r="C7" s="227" t="s">
        <v>606</v>
      </c>
      <c r="D7" s="228">
        <v>600</v>
      </c>
      <c r="E7" s="228">
        <v>869.95</v>
      </c>
      <c r="F7" s="228">
        <v>851.8</v>
      </c>
      <c r="G7" s="228">
        <v>18.149999999999999</v>
      </c>
      <c r="H7" s="229">
        <v>2.1299999999999999E-2</v>
      </c>
      <c r="I7" s="228">
        <v>866.55</v>
      </c>
      <c r="J7" s="228">
        <v>849.65</v>
      </c>
      <c r="K7" s="228">
        <v>16.899999999999999</v>
      </c>
      <c r="L7" s="229">
        <v>1.9900000000000001E-2</v>
      </c>
      <c r="M7" s="228">
        <v>869.95</v>
      </c>
      <c r="N7" s="228">
        <v>851.8</v>
      </c>
      <c r="O7" s="228">
        <v>18.149999999999999</v>
      </c>
      <c r="P7" s="229">
        <v>2.1299999999999999E-2</v>
      </c>
      <c r="Q7" s="228">
        <v>876.2</v>
      </c>
      <c r="R7" s="228">
        <v>857.8</v>
      </c>
      <c r="S7" s="228">
        <v>18.399999999999999</v>
      </c>
      <c r="T7" s="229">
        <v>2.1499999999999998E-2</v>
      </c>
      <c r="U7" s="228">
        <v>880.15</v>
      </c>
      <c r="V7" s="228">
        <v>862.15</v>
      </c>
      <c r="W7" s="228">
        <v>18</v>
      </c>
      <c r="X7" s="229">
        <v>2.0899999999999998E-2</v>
      </c>
      <c r="Y7" s="228">
        <v>3.4</v>
      </c>
      <c r="Z7" s="228">
        <v>2.15</v>
      </c>
      <c r="AA7" s="228">
        <v>1.25</v>
      </c>
      <c r="AB7" s="229">
        <v>3.8999999999999998E-3</v>
      </c>
      <c r="AC7" s="228">
        <v>3.4</v>
      </c>
      <c r="AD7" s="228">
        <v>2.15</v>
      </c>
      <c r="AE7" s="228">
        <v>1.25</v>
      </c>
      <c r="AF7" s="229">
        <v>3.8999999999999998E-3</v>
      </c>
      <c r="AG7" s="228">
        <v>9.65</v>
      </c>
      <c r="AH7" s="228">
        <v>8.15</v>
      </c>
      <c r="AI7" s="228">
        <v>1.5</v>
      </c>
      <c r="AJ7" s="229">
        <v>1.11E-2</v>
      </c>
      <c r="AK7" s="228">
        <v>13.6</v>
      </c>
      <c r="AL7" s="228">
        <v>12.5</v>
      </c>
      <c r="AM7" s="228">
        <v>1.1000000000000001</v>
      </c>
      <c r="AN7" s="229">
        <v>1.5699999999999999E-2</v>
      </c>
      <c r="AO7" s="228">
        <v>866.87</v>
      </c>
      <c r="AP7" s="228">
        <v>871.85</v>
      </c>
      <c r="AQ7" s="228">
        <v>0</v>
      </c>
      <c r="AR7" s="230">
        <v>5473200</v>
      </c>
      <c r="AS7" s="230">
        <v>2493600</v>
      </c>
      <c r="AT7" s="230">
        <v>2979600</v>
      </c>
      <c r="AU7" s="229">
        <v>1.1949000000000001</v>
      </c>
      <c r="AV7" s="230">
        <v>5003400</v>
      </c>
      <c r="AW7" s="230">
        <v>2278800</v>
      </c>
      <c r="AX7" s="230">
        <v>2724600</v>
      </c>
      <c r="AY7" s="229">
        <v>1.1956</v>
      </c>
      <c r="AZ7" s="230">
        <v>444600</v>
      </c>
      <c r="BA7" s="230">
        <v>184200</v>
      </c>
      <c r="BB7" s="230">
        <v>260400</v>
      </c>
      <c r="BC7" s="229">
        <v>1.4137</v>
      </c>
      <c r="BD7" s="230">
        <v>25200</v>
      </c>
      <c r="BE7" s="230">
        <v>30600</v>
      </c>
      <c r="BF7" s="230">
        <v>-5400</v>
      </c>
      <c r="BG7" s="229">
        <v>-0.17649999999999999</v>
      </c>
      <c r="BH7" s="230">
        <v>13639200</v>
      </c>
      <c r="BI7" s="230">
        <v>6345600</v>
      </c>
      <c r="BJ7" s="230">
        <v>7293600</v>
      </c>
      <c r="BK7" s="229">
        <v>1.1494</v>
      </c>
      <c r="BL7" s="230">
        <v>3826800</v>
      </c>
      <c r="BM7" s="230">
        <v>2283600</v>
      </c>
      <c r="BN7" s="230">
        <v>1543200</v>
      </c>
      <c r="BO7" s="229">
        <v>0.67579999999999996</v>
      </c>
      <c r="BP7" s="230">
        <v>22939200</v>
      </c>
      <c r="BQ7" s="230">
        <v>11122800</v>
      </c>
      <c r="BR7" s="230">
        <v>11816400</v>
      </c>
      <c r="BS7" s="229">
        <v>1.0624</v>
      </c>
      <c r="BT7" s="230">
        <v>6882094</v>
      </c>
      <c r="BU7" s="230">
        <v>3641409</v>
      </c>
      <c r="BV7" s="230">
        <v>3240685</v>
      </c>
      <c r="BW7" s="229">
        <v>0.89</v>
      </c>
      <c r="BX7" s="230">
        <v>23585400</v>
      </c>
      <c r="BY7" s="230">
        <v>22830600</v>
      </c>
      <c r="BZ7" s="230">
        <v>754800</v>
      </c>
      <c r="CA7" s="229">
        <v>3.3099999999999997E-2</v>
      </c>
      <c r="CB7" s="230">
        <v>19513200</v>
      </c>
      <c r="CC7" s="230">
        <v>18984600</v>
      </c>
      <c r="CD7" s="230">
        <v>528600</v>
      </c>
      <c r="CE7" s="229">
        <v>2.7799999999999998E-2</v>
      </c>
      <c r="CF7" s="230">
        <v>3981000</v>
      </c>
      <c r="CG7" s="230">
        <v>3758400</v>
      </c>
      <c r="CH7" s="230">
        <v>222600</v>
      </c>
      <c r="CI7" s="229">
        <v>5.9200000000000003E-2</v>
      </c>
      <c r="CJ7" s="230">
        <v>91200</v>
      </c>
      <c r="CK7" s="230">
        <v>87600</v>
      </c>
      <c r="CL7" s="230">
        <v>3600</v>
      </c>
      <c r="CM7" s="229">
        <v>4.1099999999999998E-2</v>
      </c>
      <c r="CN7" s="230">
        <v>9691200</v>
      </c>
      <c r="CO7" s="230">
        <v>8874600</v>
      </c>
      <c r="CP7" s="230">
        <v>816600</v>
      </c>
      <c r="CQ7" s="229">
        <v>9.1999999999999998E-2</v>
      </c>
      <c r="CR7" s="230">
        <v>5352000</v>
      </c>
      <c r="CS7" s="230">
        <v>5140200</v>
      </c>
      <c r="CT7" s="230">
        <v>211800</v>
      </c>
      <c r="CU7" s="229">
        <v>4.1200000000000001E-2</v>
      </c>
      <c r="CV7" s="230">
        <v>38628600</v>
      </c>
      <c r="CW7" s="230">
        <v>36845400</v>
      </c>
      <c r="CX7" s="230">
        <v>1783200</v>
      </c>
      <c r="CY7" s="229">
        <v>4.8399999999999999E-2</v>
      </c>
      <c r="CZ7" s="228">
        <v>47.12</v>
      </c>
      <c r="DA7" s="228">
        <v>49.02</v>
      </c>
      <c r="DB7" s="228">
        <v>-1.9</v>
      </c>
      <c r="DC7" s="228">
        <v>-1.9</v>
      </c>
      <c r="DD7" s="228">
        <v>57.75</v>
      </c>
      <c r="DE7" s="228">
        <v>57.83</v>
      </c>
      <c r="DF7" s="228">
        <v>-10.63</v>
      </c>
      <c r="DG7" s="228">
        <v>-0.08</v>
      </c>
      <c r="DH7" s="228">
        <v>46.75</v>
      </c>
      <c r="DI7" s="228">
        <v>48.62</v>
      </c>
      <c r="DJ7" s="228">
        <v>-1.87</v>
      </c>
      <c r="DK7" s="228">
        <v>-1.87</v>
      </c>
      <c r="DL7" s="228">
        <v>48.44</v>
      </c>
      <c r="DM7" s="228">
        <v>50.13</v>
      </c>
      <c r="DN7" s="228">
        <v>-1.69</v>
      </c>
      <c r="DO7" s="228">
        <v>-1.69</v>
      </c>
      <c r="DP7" s="228">
        <v>0.55000000000000004</v>
      </c>
      <c r="DQ7" s="228">
        <v>0.57999999999999996</v>
      </c>
      <c r="DR7" s="228">
        <v>-0.03</v>
      </c>
      <c r="DS7" s="229">
        <v>-5.1700000000000003E-2</v>
      </c>
      <c r="DT7" s="231">
        <v>1000</v>
      </c>
      <c r="DU7" s="228">
        <v>860</v>
      </c>
      <c r="DV7" s="228">
        <v>0.28000000000000003</v>
      </c>
      <c r="DW7" s="228">
        <v>0.36</v>
      </c>
      <c r="DX7" s="228">
        <v>-0.08</v>
      </c>
      <c r="DY7" s="229">
        <v>-0.22220000000000001</v>
      </c>
      <c r="DZ7" s="229">
        <v>0.17269999999999999</v>
      </c>
      <c r="EA7" s="230">
        <v>3846000</v>
      </c>
      <c r="EB7" s="229">
        <v>7.1999999999999998E-3</v>
      </c>
      <c r="EC7" s="229">
        <v>0.17269999999999999</v>
      </c>
      <c r="ED7" s="228">
        <v>4.9800000000000004</v>
      </c>
      <c r="EE7" s="229">
        <v>5.7000000000000002E-3</v>
      </c>
      <c r="EF7" s="230">
        <v>3064033</v>
      </c>
      <c r="EG7" s="230">
        <v>1592957</v>
      </c>
      <c r="EH7" s="229">
        <v>0.92349999999999999</v>
      </c>
      <c r="EI7" s="229">
        <v>0.44519999999999998</v>
      </c>
      <c r="EJ7" s="231">
        <v>127195.5</v>
      </c>
      <c r="EK7" s="231">
        <v>33469.160000000003</v>
      </c>
      <c r="EL7" s="231">
        <v>47470.31</v>
      </c>
      <c r="EM7" s="231">
        <v>6603</v>
      </c>
      <c r="EN7" s="231">
        <v>208134.97</v>
      </c>
      <c r="EO7" s="231">
        <v>101120.86</v>
      </c>
      <c r="EP7" s="231">
        <v>107014.11</v>
      </c>
      <c r="EQ7" s="229">
        <v>1.0583</v>
      </c>
      <c r="ER7" s="231">
        <v>93065</v>
      </c>
      <c r="ES7" s="231">
        <v>47891</v>
      </c>
      <c r="ET7" s="231">
        <v>205439</v>
      </c>
      <c r="EU7" s="231">
        <v>92816927</v>
      </c>
      <c r="EV7" s="231">
        <v>346395</v>
      </c>
      <c r="EW7" s="231">
        <v>326472</v>
      </c>
      <c r="EX7" s="231">
        <v>19923</v>
      </c>
      <c r="EY7" s="229">
        <v>6.0999999999999999E-2</v>
      </c>
      <c r="EZ7" s="229">
        <v>0.41620000000000001</v>
      </c>
      <c r="FA7" s="227" t="s">
        <v>555</v>
      </c>
      <c r="FB7" s="161">
        <f t="shared" si="0"/>
        <v>4072200</v>
      </c>
    </row>
    <row r="8" spans="1:158" ht="17.25" thickBot="1" x14ac:dyDescent="0.3">
      <c r="A8" s="226">
        <v>46093</v>
      </c>
      <c r="B8" s="227" t="s">
        <v>215</v>
      </c>
      <c r="C8" s="227" t="s">
        <v>160</v>
      </c>
      <c r="D8" s="228">
        <v>475</v>
      </c>
      <c r="E8" s="231">
        <v>1397</v>
      </c>
      <c r="F8" s="231">
        <v>1415.5</v>
      </c>
      <c r="G8" s="228">
        <v>-18.5</v>
      </c>
      <c r="H8" s="229">
        <v>-1.3100000000000001E-2</v>
      </c>
      <c r="I8" s="231">
        <v>1391.5</v>
      </c>
      <c r="J8" s="231">
        <v>1410.8</v>
      </c>
      <c r="K8" s="228">
        <v>-19.3</v>
      </c>
      <c r="L8" s="229">
        <v>-1.37E-2</v>
      </c>
      <c r="M8" s="231">
        <v>1397</v>
      </c>
      <c r="N8" s="231">
        <v>1415.5</v>
      </c>
      <c r="O8" s="228">
        <v>-18.5</v>
      </c>
      <c r="P8" s="229">
        <v>-1.3100000000000001E-2</v>
      </c>
      <c r="Q8" s="231">
        <v>1405.8</v>
      </c>
      <c r="R8" s="231">
        <v>1424.7</v>
      </c>
      <c r="S8" s="228">
        <v>-18.899999999999999</v>
      </c>
      <c r="T8" s="229">
        <v>-1.3299999999999999E-2</v>
      </c>
      <c r="U8" s="231">
        <v>1411.8</v>
      </c>
      <c r="V8" s="231">
        <v>1431</v>
      </c>
      <c r="W8" s="228">
        <v>-19.2</v>
      </c>
      <c r="X8" s="229">
        <v>-1.34E-2</v>
      </c>
      <c r="Y8" s="228">
        <v>5.5</v>
      </c>
      <c r="Z8" s="228">
        <v>4.7</v>
      </c>
      <c r="AA8" s="228">
        <v>0.8</v>
      </c>
      <c r="AB8" s="229">
        <v>4.0000000000000001E-3</v>
      </c>
      <c r="AC8" s="228">
        <v>5.5</v>
      </c>
      <c r="AD8" s="228">
        <v>4.7</v>
      </c>
      <c r="AE8" s="228">
        <v>0.8</v>
      </c>
      <c r="AF8" s="229">
        <v>4.0000000000000001E-3</v>
      </c>
      <c r="AG8" s="228">
        <v>14.3</v>
      </c>
      <c r="AH8" s="228">
        <v>13.9</v>
      </c>
      <c r="AI8" s="228">
        <v>0.4</v>
      </c>
      <c r="AJ8" s="229">
        <v>1.03E-2</v>
      </c>
      <c r="AK8" s="228">
        <v>20.3</v>
      </c>
      <c r="AL8" s="228">
        <v>20.2</v>
      </c>
      <c r="AM8" s="228">
        <v>0.1</v>
      </c>
      <c r="AN8" s="229">
        <v>1.46E-2</v>
      </c>
      <c r="AO8" s="231">
        <v>1402.47</v>
      </c>
      <c r="AP8" s="231">
        <v>1409.55</v>
      </c>
      <c r="AQ8" s="228">
        <v>0</v>
      </c>
      <c r="AR8" s="230">
        <v>2815325</v>
      </c>
      <c r="AS8" s="230">
        <v>3469400</v>
      </c>
      <c r="AT8" s="230">
        <v>-654075</v>
      </c>
      <c r="AU8" s="229">
        <v>-0.1885</v>
      </c>
      <c r="AV8" s="230">
        <v>2592550</v>
      </c>
      <c r="AW8" s="230">
        <v>3216225</v>
      </c>
      <c r="AX8" s="230">
        <v>-623675</v>
      </c>
      <c r="AY8" s="229">
        <v>-0.19389999999999999</v>
      </c>
      <c r="AZ8" s="230">
        <v>194750</v>
      </c>
      <c r="BA8" s="230">
        <v>227525</v>
      </c>
      <c r="BB8" s="230">
        <v>-32775</v>
      </c>
      <c r="BC8" s="229">
        <v>-0.14410000000000001</v>
      </c>
      <c r="BD8" s="230">
        <v>28025</v>
      </c>
      <c r="BE8" s="230">
        <v>25650</v>
      </c>
      <c r="BF8" s="230">
        <v>2375</v>
      </c>
      <c r="BG8" s="229">
        <v>9.2600000000000002E-2</v>
      </c>
      <c r="BH8" s="230">
        <v>9295275</v>
      </c>
      <c r="BI8" s="230">
        <v>9397875</v>
      </c>
      <c r="BJ8" s="230">
        <v>-102600</v>
      </c>
      <c r="BK8" s="229">
        <v>-1.09E-2</v>
      </c>
      <c r="BL8" s="230">
        <v>8723850</v>
      </c>
      <c r="BM8" s="230">
        <v>8507250</v>
      </c>
      <c r="BN8" s="230">
        <v>216600</v>
      </c>
      <c r="BO8" s="229">
        <v>2.5499999999999998E-2</v>
      </c>
      <c r="BP8" s="230">
        <v>20834450</v>
      </c>
      <c r="BQ8" s="230">
        <v>21374525</v>
      </c>
      <c r="BR8" s="230">
        <v>-540075</v>
      </c>
      <c r="BS8" s="229">
        <v>-2.53E-2</v>
      </c>
      <c r="BT8" s="230">
        <v>2862980</v>
      </c>
      <c r="BU8" s="230">
        <v>2315752</v>
      </c>
      <c r="BV8" s="230">
        <v>547228</v>
      </c>
      <c r="BW8" s="229">
        <v>0.23630000000000001</v>
      </c>
      <c r="BX8" s="230">
        <v>21980150</v>
      </c>
      <c r="BY8" s="230">
        <v>21768300</v>
      </c>
      <c r="BZ8" s="230">
        <v>211850</v>
      </c>
      <c r="CA8" s="229">
        <v>9.7000000000000003E-3</v>
      </c>
      <c r="CB8" s="230">
        <v>20989775</v>
      </c>
      <c r="CC8" s="230">
        <v>20803575</v>
      </c>
      <c r="CD8" s="230">
        <v>186200</v>
      </c>
      <c r="CE8" s="229">
        <v>8.9999999999999993E-3</v>
      </c>
      <c r="CF8" s="230">
        <v>808925</v>
      </c>
      <c r="CG8" s="230">
        <v>787075</v>
      </c>
      <c r="CH8" s="230">
        <v>21850</v>
      </c>
      <c r="CI8" s="229">
        <v>2.7799999999999998E-2</v>
      </c>
      <c r="CJ8" s="230">
        <v>181450</v>
      </c>
      <c r="CK8" s="230">
        <v>177650</v>
      </c>
      <c r="CL8" s="230">
        <v>3800</v>
      </c>
      <c r="CM8" s="229">
        <v>2.1399999999999999E-2</v>
      </c>
      <c r="CN8" s="230">
        <v>8851150</v>
      </c>
      <c r="CO8" s="230">
        <v>8514375</v>
      </c>
      <c r="CP8" s="230">
        <v>336775</v>
      </c>
      <c r="CQ8" s="229">
        <v>3.9600000000000003E-2</v>
      </c>
      <c r="CR8" s="230">
        <v>7008150</v>
      </c>
      <c r="CS8" s="230">
        <v>7248500</v>
      </c>
      <c r="CT8" s="230">
        <v>-240350</v>
      </c>
      <c r="CU8" s="229">
        <v>-3.32E-2</v>
      </c>
      <c r="CV8" s="230">
        <v>37839450</v>
      </c>
      <c r="CW8" s="230">
        <v>37531175</v>
      </c>
      <c r="CX8" s="230">
        <v>308275</v>
      </c>
      <c r="CY8" s="229">
        <v>8.2000000000000007E-3</v>
      </c>
      <c r="CZ8" s="228">
        <v>39.36</v>
      </c>
      <c r="DA8" s="228">
        <v>39.729999999999997</v>
      </c>
      <c r="DB8" s="228">
        <v>-0.37</v>
      </c>
      <c r="DC8" s="228">
        <v>-0.37</v>
      </c>
      <c r="DD8" s="228">
        <v>39.020000000000003</v>
      </c>
      <c r="DE8" s="228">
        <v>39.07</v>
      </c>
      <c r="DF8" s="228">
        <v>0.34</v>
      </c>
      <c r="DG8" s="228">
        <v>-0.05</v>
      </c>
      <c r="DH8" s="228">
        <v>38.200000000000003</v>
      </c>
      <c r="DI8" s="228">
        <v>38.520000000000003</v>
      </c>
      <c r="DJ8" s="228">
        <v>-0.32</v>
      </c>
      <c r="DK8" s="228">
        <v>-0.32</v>
      </c>
      <c r="DL8" s="228">
        <v>40.61</v>
      </c>
      <c r="DM8" s="228">
        <v>41.07</v>
      </c>
      <c r="DN8" s="228">
        <v>-0.46</v>
      </c>
      <c r="DO8" s="228">
        <v>-0.46</v>
      </c>
      <c r="DP8" s="228">
        <v>0.79</v>
      </c>
      <c r="DQ8" s="228">
        <v>0.85</v>
      </c>
      <c r="DR8" s="228">
        <v>-0.06</v>
      </c>
      <c r="DS8" s="229">
        <v>-7.0599999999999996E-2</v>
      </c>
      <c r="DT8" s="231">
        <v>1600</v>
      </c>
      <c r="DU8" s="231">
        <v>1500</v>
      </c>
      <c r="DV8" s="228">
        <v>0.94</v>
      </c>
      <c r="DW8" s="228">
        <v>0.91</v>
      </c>
      <c r="DX8" s="228">
        <v>0.03</v>
      </c>
      <c r="DY8" s="229">
        <v>3.3000000000000002E-2</v>
      </c>
      <c r="DZ8" s="229">
        <v>4.5100000000000001E-2</v>
      </c>
      <c r="EA8" s="230">
        <v>964725</v>
      </c>
      <c r="EB8" s="229">
        <v>6.3E-3</v>
      </c>
      <c r="EC8" s="229">
        <v>4.5100000000000001E-2</v>
      </c>
      <c r="ED8" s="228">
        <v>7.08</v>
      </c>
      <c r="EE8" s="229">
        <v>5.0000000000000001E-3</v>
      </c>
      <c r="EF8" s="230">
        <v>1256343</v>
      </c>
      <c r="EG8" s="230">
        <v>1016503</v>
      </c>
      <c r="EH8" s="229">
        <v>0.2359</v>
      </c>
      <c r="EI8" s="229">
        <v>0.43880000000000002</v>
      </c>
      <c r="EJ8" s="231">
        <v>140096.81</v>
      </c>
      <c r="EK8" s="231">
        <v>121890.16</v>
      </c>
      <c r="EL8" s="231">
        <v>39502.01</v>
      </c>
      <c r="EM8" s="231">
        <v>7830</v>
      </c>
      <c r="EN8" s="231">
        <v>301488.98</v>
      </c>
      <c r="EO8" s="231">
        <v>314593.17</v>
      </c>
      <c r="EP8" s="231">
        <v>-13104.19</v>
      </c>
      <c r="EQ8" s="229">
        <v>-4.1700000000000001E-2</v>
      </c>
      <c r="ER8" s="231">
        <v>137145</v>
      </c>
      <c r="ES8" s="231">
        <v>99069</v>
      </c>
      <c r="ET8" s="231">
        <v>307161</v>
      </c>
      <c r="EU8" s="231">
        <v>84394936</v>
      </c>
      <c r="EV8" s="231">
        <v>543375</v>
      </c>
      <c r="EW8" s="231">
        <v>543540</v>
      </c>
      <c r="EX8" s="228">
        <v>-165</v>
      </c>
      <c r="EY8" s="229">
        <v>-2.9999999999999997E-4</v>
      </c>
      <c r="EZ8" s="229">
        <v>0.44840000000000002</v>
      </c>
      <c r="FA8" s="227" t="s">
        <v>567</v>
      </c>
      <c r="FB8" s="161">
        <f t="shared" si="0"/>
        <v>990375</v>
      </c>
    </row>
    <row r="9" spans="1:158" ht="17.25" thickBot="1" x14ac:dyDescent="0.3">
      <c r="A9" s="226">
        <v>46093</v>
      </c>
      <c r="B9" s="227" t="s">
        <v>170</v>
      </c>
      <c r="C9" s="227" t="s">
        <v>497</v>
      </c>
      <c r="D9" s="228">
        <v>125</v>
      </c>
      <c r="E9" s="231">
        <v>5466</v>
      </c>
      <c r="F9" s="231">
        <v>5560.5</v>
      </c>
      <c r="G9" s="228">
        <v>-94.5</v>
      </c>
      <c r="H9" s="229">
        <v>-1.7000000000000001E-2</v>
      </c>
      <c r="I9" s="231">
        <v>5444</v>
      </c>
      <c r="J9" s="231">
        <v>5544.5</v>
      </c>
      <c r="K9" s="228">
        <v>-100.5</v>
      </c>
      <c r="L9" s="229">
        <v>-1.8100000000000002E-2</v>
      </c>
      <c r="M9" s="231">
        <v>5466</v>
      </c>
      <c r="N9" s="231">
        <v>5560.5</v>
      </c>
      <c r="O9" s="228">
        <v>-94.5</v>
      </c>
      <c r="P9" s="229">
        <v>-1.7000000000000001E-2</v>
      </c>
      <c r="Q9" s="231">
        <v>5500.5</v>
      </c>
      <c r="R9" s="231">
        <v>5590.5</v>
      </c>
      <c r="S9" s="228">
        <v>-90</v>
      </c>
      <c r="T9" s="229">
        <v>-1.61E-2</v>
      </c>
      <c r="U9" s="231">
        <v>5534</v>
      </c>
      <c r="V9" s="231">
        <v>5630</v>
      </c>
      <c r="W9" s="228">
        <v>-96</v>
      </c>
      <c r="X9" s="229">
        <v>-1.7100000000000001E-2</v>
      </c>
      <c r="Y9" s="228">
        <v>22</v>
      </c>
      <c r="Z9" s="228">
        <v>16</v>
      </c>
      <c r="AA9" s="228">
        <v>6</v>
      </c>
      <c r="AB9" s="229">
        <v>4.0000000000000001E-3</v>
      </c>
      <c r="AC9" s="228">
        <v>22</v>
      </c>
      <c r="AD9" s="228">
        <v>16</v>
      </c>
      <c r="AE9" s="228">
        <v>6</v>
      </c>
      <c r="AF9" s="229">
        <v>4.0000000000000001E-3</v>
      </c>
      <c r="AG9" s="228">
        <v>56.5</v>
      </c>
      <c r="AH9" s="228">
        <v>46</v>
      </c>
      <c r="AI9" s="228">
        <v>10.5</v>
      </c>
      <c r="AJ9" s="229">
        <v>1.04E-2</v>
      </c>
      <c r="AK9" s="228">
        <v>90</v>
      </c>
      <c r="AL9" s="228">
        <v>85.5</v>
      </c>
      <c r="AM9" s="228">
        <v>4.5</v>
      </c>
      <c r="AN9" s="229">
        <v>1.6500000000000001E-2</v>
      </c>
      <c r="AO9" s="231">
        <v>5476.95</v>
      </c>
      <c r="AP9" s="231">
        <v>5504.71</v>
      </c>
      <c r="AQ9" s="228">
        <v>0</v>
      </c>
      <c r="AR9" s="230">
        <v>159250</v>
      </c>
      <c r="AS9" s="230">
        <v>114500</v>
      </c>
      <c r="AT9" s="230">
        <v>44750</v>
      </c>
      <c r="AU9" s="229">
        <v>0.39079999999999998</v>
      </c>
      <c r="AV9" s="230">
        <v>150625</v>
      </c>
      <c r="AW9" s="230">
        <v>110000</v>
      </c>
      <c r="AX9" s="230">
        <v>40625</v>
      </c>
      <c r="AY9" s="229">
        <v>0.36930000000000002</v>
      </c>
      <c r="AZ9" s="230">
        <v>8500</v>
      </c>
      <c r="BA9" s="230">
        <v>4125</v>
      </c>
      <c r="BB9" s="230">
        <v>4375</v>
      </c>
      <c r="BC9" s="229">
        <v>1.0606</v>
      </c>
      <c r="BD9" s="228">
        <v>125</v>
      </c>
      <c r="BE9" s="228">
        <v>375</v>
      </c>
      <c r="BF9" s="228">
        <v>-250</v>
      </c>
      <c r="BG9" s="229">
        <v>-0.66669999999999996</v>
      </c>
      <c r="BH9" s="230">
        <v>210250</v>
      </c>
      <c r="BI9" s="230">
        <v>318125</v>
      </c>
      <c r="BJ9" s="230">
        <v>-107875</v>
      </c>
      <c r="BK9" s="229">
        <v>-0.33910000000000001</v>
      </c>
      <c r="BL9" s="230">
        <v>98625</v>
      </c>
      <c r="BM9" s="230">
        <v>80125</v>
      </c>
      <c r="BN9" s="230">
        <v>18500</v>
      </c>
      <c r="BO9" s="229">
        <v>0.23089999999999999</v>
      </c>
      <c r="BP9" s="230">
        <v>468125</v>
      </c>
      <c r="BQ9" s="230">
        <v>512750</v>
      </c>
      <c r="BR9" s="230">
        <v>-44625</v>
      </c>
      <c r="BS9" s="229">
        <v>-8.6999999999999994E-2</v>
      </c>
      <c r="BT9" s="230">
        <v>126575</v>
      </c>
      <c r="BU9" s="230">
        <v>170147</v>
      </c>
      <c r="BV9" s="230">
        <v>-43572</v>
      </c>
      <c r="BW9" s="229">
        <v>-0.25609999999999999</v>
      </c>
      <c r="BX9" s="230">
        <v>1264625</v>
      </c>
      <c r="BY9" s="230">
        <v>1247625</v>
      </c>
      <c r="BZ9" s="230">
        <v>17000</v>
      </c>
      <c r="CA9" s="229">
        <v>1.3599999999999999E-2</v>
      </c>
      <c r="CB9" s="230">
        <v>1256250</v>
      </c>
      <c r="CC9" s="230">
        <v>1240500</v>
      </c>
      <c r="CD9" s="230">
        <v>15750</v>
      </c>
      <c r="CE9" s="229">
        <v>1.2699999999999999E-2</v>
      </c>
      <c r="CF9" s="230">
        <v>8125</v>
      </c>
      <c r="CG9" s="230">
        <v>6750</v>
      </c>
      <c r="CH9" s="230">
        <v>1375</v>
      </c>
      <c r="CI9" s="229">
        <v>0.20369999999999999</v>
      </c>
      <c r="CJ9" s="228">
        <v>250</v>
      </c>
      <c r="CK9" s="228">
        <v>375</v>
      </c>
      <c r="CL9" s="228">
        <v>-125</v>
      </c>
      <c r="CM9" s="229">
        <v>-0.33329999999999999</v>
      </c>
      <c r="CN9" s="230">
        <v>235625</v>
      </c>
      <c r="CO9" s="230">
        <v>232625</v>
      </c>
      <c r="CP9" s="230">
        <v>3000</v>
      </c>
      <c r="CQ9" s="229">
        <v>1.29E-2</v>
      </c>
      <c r="CR9" s="230">
        <v>164250</v>
      </c>
      <c r="CS9" s="230">
        <v>148125</v>
      </c>
      <c r="CT9" s="230">
        <v>16125</v>
      </c>
      <c r="CU9" s="229">
        <v>0.1089</v>
      </c>
      <c r="CV9" s="230">
        <v>1664500</v>
      </c>
      <c r="CW9" s="230">
        <v>1628375</v>
      </c>
      <c r="CX9" s="230">
        <v>36125</v>
      </c>
      <c r="CY9" s="229">
        <v>2.2200000000000001E-2</v>
      </c>
      <c r="CZ9" s="228">
        <v>26.29</v>
      </c>
      <c r="DA9" s="228">
        <v>25.95</v>
      </c>
      <c r="DB9" s="228">
        <v>0.34</v>
      </c>
      <c r="DC9" s="228">
        <v>0.34</v>
      </c>
      <c r="DD9" s="228">
        <v>28.18</v>
      </c>
      <c r="DE9" s="228">
        <v>28.15</v>
      </c>
      <c r="DF9" s="228">
        <v>-1.89</v>
      </c>
      <c r="DG9" s="228">
        <v>0.03</v>
      </c>
      <c r="DH9" s="228">
        <v>25.67</v>
      </c>
      <c r="DI9" s="228">
        <v>25.7</v>
      </c>
      <c r="DJ9" s="228">
        <v>-0.03</v>
      </c>
      <c r="DK9" s="228">
        <v>-0.03</v>
      </c>
      <c r="DL9" s="228">
        <v>27.6</v>
      </c>
      <c r="DM9" s="228">
        <v>26.9</v>
      </c>
      <c r="DN9" s="228">
        <v>0.7</v>
      </c>
      <c r="DO9" s="228">
        <v>0.7</v>
      </c>
      <c r="DP9" s="228">
        <v>0.7</v>
      </c>
      <c r="DQ9" s="228">
        <v>0.64</v>
      </c>
      <c r="DR9" s="228">
        <v>0.06</v>
      </c>
      <c r="DS9" s="229">
        <v>9.3700000000000006E-2</v>
      </c>
      <c r="DT9" s="231">
        <v>6000</v>
      </c>
      <c r="DU9" s="231">
        <v>5500</v>
      </c>
      <c r="DV9" s="228">
        <v>0.47</v>
      </c>
      <c r="DW9" s="228">
        <v>0.25</v>
      </c>
      <c r="DX9" s="228">
        <v>0.22</v>
      </c>
      <c r="DY9" s="229">
        <v>0.88</v>
      </c>
      <c r="DZ9" s="229">
        <v>6.6E-3</v>
      </c>
      <c r="EA9" s="230">
        <v>7125</v>
      </c>
      <c r="EB9" s="229">
        <v>6.3E-3</v>
      </c>
      <c r="EC9" s="229">
        <v>6.6E-3</v>
      </c>
      <c r="ED9" s="228">
        <v>27.76</v>
      </c>
      <c r="EE9" s="229">
        <v>5.1000000000000004E-3</v>
      </c>
      <c r="EF9" s="230">
        <v>70806</v>
      </c>
      <c r="EG9" s="230">
        <v>106667</v>
      </c>
      <c r="EH9" s="229">
        <v>-0.3362</v>
      </c>
      <c r="EI9" s="229">
        <v>0.55940000000000001</v>
      </c>
      <c r="EJ9" s="231">
        <v>12217.22</v>
      </c>
      <c r="EK9" s="231">
        <v>5422.09</v>
      </c>
      <c r="EL9" s="231">
        <v>8724.48</v>
      </c>
      <c r="EM9" s="228">
        <v>954</v>
      </c>
      <c r="EN9" s="231">
        <v>26363.79</v>
      </c>
      <c r="EO9" s="231">
        <v>29335.200000000001</v>
      </c>
      <c r="EP9" s="231">
        <v>-2971.41</v>
      </c>
      <c r="EQ9" s="229">
        <v>-0.1013</v>
      </c>
      <c r="ER9" s="231">
        <v>13665</v>
      </c>
      <c r="ES9" s="231">
        <v>8932</v>
      </c>
      <c r="ET9" s="231">
        <v>69127</v>
      </c>
      <c r="EU9" s="231">
        <v>7334235</v>
      </c>
      <c r="EV9" s="231">
        <v>91724</v>
      </c>
      <c r="EW9" s="231">
        <v>90926</v>
      </c>
      <c r="EX9" s="228">
        <v>798</v>
      </c>
      <c r="EY9" s="229">
        <v>8.8000000000000005E-3</v>
      </c>
      <c r="EZ9" s="229">
        <v>0.22689999999999999</v>
      </c>
      <c r="FA9" s="227" t="s">
        <v>567</v>
      </c>
      <c r="FB9" s="161">
        <f t="shared" si="0"/>
        <v>8375</v>
      </c>
    </row>
    <row r="10" spans="1:158" ht="17.25" thickBot="1" x14ac:dyDescent="0.3">
      <c r="A10" s="226">
        <v>46093</v>
      </c>
      <c r="B10" s="227" t="s">
        <v>184</v>
      </c>
      <c r="C10" s="227" t="s">
        <v>680</v>
      </c>
      <c r="D10" s="228">
        <v>100</v>
      </c>
      <c r="E10" s="231">
        <v>6953.5</v>
      </c>
      <c r="F10" s="231">
        <v>7297</v>
      </c>
      <c r="G10" s="228">
        <v>-343.5</v>
      </c>
      <c r="H10" s="229">
        <v>-4.7100000000000003E-2</v>
      </c>
      <c r="I10" s="231">
        <v>6929.5</v>
      </c>
      <c r="J10" s="231">
        <v>7308</v>
      </c>
      <c r="K10" s="228">
        <v>-378.5</v>
      </c>
      <c r="L10" s="229">
        <v>-5.1799999999999999E-2</v>
      </c>
      <c r="M10" s="231">
        <v>6953.5</v>
      </c>
      <c r="N10" s="231">
        <v>7297</v>
      </c>
      <c r="O10" s="228">
        <v>-343.5</v>
      </c>
      <c r="P10" s="229">
        <v>-4.7100000000000003E-2</v>
      </c>
      <c r="Q10" s="231">
        <v>6937</v>
      </c>
      <c r="R10" s="231">
        <v>7258</v>
      </c>
      <c r="S10" s="228">
        <v>-321</v>
      </c>
      <c r="T10" s="229">
        <v>-4.4200000000000003E-2</v>
      </c>
      <c r="U10" s="231">
        <v>6939</v>
      </c>
      <c r="V10" s="231">
        <v>7374</v>
      </c>
      <c r="W10" s="228">
        <v>-435</v>
      </c>
      <c r="X10" s="229">
        <v>-5.8999999999999997E-2</v>
      </c>
      <c r="Y10" s="228">
        <v>24</v>
      </c>
      <c r="Z10" s="228">
        <v>-11</v>
      </c>
      <c r="AA10" s="228">
        <v>35</v>
      </c>
      <c r="AB10" s="229">
        <v>3.5000000000000001E-3</v>
      </c>
      <c r="AC10" s="228">
        <v>24</v>
      </c>
      <c r="AD10" s="228">
        <v>-11</v>
      </c>
      <c r="AE10" s="228">
        <v>35</v>
      </c>
      <c r="AF10" s="229">
        <v>3.5000000000000001E-3</v>
      </c>
      <c r="AG10" s="228">
        <v>7.5</v>
      </c>
      <c r="AH10" s="228">
        <v>-50</v>
      </c>
      <c r="AI10" s="228">
        <v>57.5</v>
      </c>
      <c r="AJ10" s="229">
        <v>1.1000000000000001E-3</v>
      </c>
      <c r="AK10" s="228">
        <v>9.5</v>
      </c>
      <c r="AL10" s="228">
        <v>66</v>
      </c>
      <c r="AM10" s="228">
        <v>-56.5</v>
      </c>
      <c r="AN10" s="229">
        <v>1.4E-3</v>
      </c>
      <c r="AO10" s="231">
        <v>7017.22</v>
      </c>
      <c r="AP10" s="231">
        <v>6979.75</v>
      </c>
      <c r="AQ10" s="228">
        <v>0</v>
      </c>
      <c r="AR10" s="230">
        <v>798800</v>
      </c>
      <c r="AS10" s="230">
        <v>349200</v>
      </c>
      <c r="AT10" s="230">
        <v>449600</v>
      </c>
      <c r="AU10" s="229">
        <v>1.2875000000000001</v>
      </c>
      <c r="AV10" s="230">
        <v>749800</v>
      </c>
      <c r="AW10" s="230">
        <v>333300</v>
      </c>
      <c r="AX10" s="230">
        <v>416500</v>
      </c>
      <c r="AY10" s="229">
        <v>1.2496</v>
      </c>
      <c r="AZ10" s="230">
        <v>47700</v>
      </c>
      <c r="BA10" s="230">
        <v>15800</v>
      </c>
      <c r="BB10" s="230">
        <v>31900</v>
      </c>
      <c r="BC10" s="229">
        <v>2.0190000000000001</v>
      </c>
      <c r="BD10" s="230">
        <v>1300</v>
      </c>
      <c r="BE10" s="228">
        <v>100</v>
      </c>
      <c r="BF10" s="230">
        <v>1200</v>
      </c>
      <c r="BG10" s="229">
        <v>12</v>
      </c>
      <c r="BH10" s="230">
        <v>2191500</v>
      </c>
      <c r="BI10" s="230">
        <v>1414200</v>
      </c>
      <c r="BJ10" s="230">
        <v>777300</v>
      </c>
      <c r="BK10" s="229">
        <v>0.54959999999999998</v>
      </c>
      <c r="BL10" s="230">
        <v>1764600</v>
      </c>
      <c r="BM10" s="230">
        <v>549100</v>
      </c>
      <c r="BN10" s="230">
        <v>1215500</v>
      </c>
      <c r="BO10" s="229">
        <v>2.2136</v>
      </c>
      <c r="BP10" s="230">
        <v>4754900</v>
      </c>
      <c r="BQ10" s="230">
        <v>2312500</v>
      </c>
      <c r="BR10" s="230">
        <v>2442400</v>
      </c>
      <c r="BS10" s="229">
        <v>1.0562</v>
      </c>
      <c r="BT10" s="230">
        <v>803550</v>
      </c>
      <c r="BU10" s="230">
        <v>256873</v>
      </c>
      <c r="BV10" s="230">
        <v>546677</v>
      </c>
      <c r="BW10" s="229">
        <v>2.1282000000000001</v>
      </c>
      <c r="BX10" s="230">
        <v>1236900</v>
      </c>
      <c r="BY10" s="230">
        <v>1110600</v>
      </c>
      <c r="BZ10" s="230">
        <v>126300</v>
      </c>
      <c r="CA10" s="229">
        <v>0.1137</v>
      </c>
      <c r="CB10" s="230">
        <v>1172700</v>
      </c>
      <c r="CC10" s="230">
        <v>1055200</v>
      </c>
      <c r="CD10" s="230">
        <v>117500</v>
      </c>
      <c r="CE10" s="229">
        <v>0.1114</v>
      </c>
      <c r="CF10" s="230">
        <v>61400</v>
      </c>
      <c r="CG10" s="230">
        <v>53400</v>
      </c>
      <c r="CH10" s="230">
        <v>8000</v>
      </c>
      <c r="CI10" s="229">
        <v>0.14979999999999999</v>
      </c>
      <c r="CJ10" s="230">
        <v>2800</v>
      </c>
      <c r="CK10" s="230">
        <v>2000</v>
      </c>
      <c r="CL10" s="228">
        <v>800</v>
      </c>
      <c r="CM10" s="229">
        <v>0.4</v>
      </c>
      <c r="CN10" s="230">
        <v>1173300</v>
      </c>
      <c r="CO10" s="230">
        <v>989600</v>
      </c>
      <c r="CP10" s="230">
        <v>183700</v>
      </c>
      <c r="CQ10" s="229">
        <v>0.18559999999999999</v>
      </c>
      <c r="CR10" s="230">
        <v>621800</v>
      </c>
      <c r="CS10" s="230">
        <v>575800</v>
      </c>
      <c r="CT10" s="230">
        <v>46000</v>
      </c>
      <c r="CU10" s="229">
        <v>7.9899999999999999E-2</v>
      </c>
      <c r="CV10" s="230">
        <v>3032000</v>
      </c>
      <c r="CW10" s="230">
        <v>2676000</v>
      </c>
      <c r="CX10" s="230">
        <v>356000</v>
      </c>
      <c r="CY10" s="229">
        <v>0.13300000000000001</v>
      </c>
      <c r="CZ10" s="228">
        <v>50.13</v>
      </c>
      <c r="DA10" s="228">
        <v>48.17</v>
      </c>
      <c r="DB10" s="228">
        <v>1.96</v>
      </c>
      <c r="DC10" s="228">
        <v>1.96</v>
      </c>
      <c r="DD10" s="228">
        <v>51.72</v>
      </c>
      <c r="DE10" s="228">
        <v>51.37</v>
      </c>
      <c r="DF10" s="228">
        <v>-1.59</v>
      </c>
      <c r="DG10" s="228">
        <v>0.35</v>
      </c>
      <c r="DH10" s="228">
        <v>49.34</v>
      </c>
      <c r="DI10" s="228">
        <v>46.71</v>
      </c>
      <c r="DJ10" s="228">
        <v>2.63</v>
      </c>
      <c r="DK10" s="228">
        <v>2.63</v>
      </c>
      <c r="DL10" s="228">
        <v>51.1</v>
      </c>
      <c r="DM10" s="228">
        <v>51.93</v>
      </c>
      <c r="DN10" s="228">
        <v>-0.83</v>
      </c>
      <c r="DO10" s="228">
        <v>-0.83</v>
      </c>
      <c r="DP10" s="228">
        <v>0.53</v>
      </c>
      <c r="DQ10" s="228">
        <v>0.57999999999999996</v>
      </c>
      <c r="DR10" s="228">
        <v>-0.05</v>
      </c>
      <c r="DS10" s="229">
        <v>-8.6199999999999999E-2</v>
      </c>
      <c r="DT10" s="231">
        <v>8500</v>
      </c>
      <c r="DU10" s="231">
        <v>7500</v>
      </c>
      <c r="DV10" s="228">
        <v>0.81</v>
      </c>
      <c r="DW10" s="228">
        <v>0.39</v>
      </c>
      <c r="DX10" s="228">
        <v>0.42</v>
      </c>
      <c r="DY10" s="229">
        <v>1.0769</v>
      </c>
      <c r="DZ10" s="229">
        <v>5.1900000000000002E-2</v>
      </c>
      <c r="EA10" s="230">
        <v>55400</v>
      </c>
      <c r="EB10" s="229">
        <v>-2.3999999999999998E-3</v>
      </c>
      <c r="EC10" s="229">
        <v>5.1900000000000002E-2</v>
      </c>
      <c r="ED10" s="228">
        <v>-37.47</v>
      </c>
      <c r="EE10" s="229">
        <v>-5.3E-3</v>
      </c>
      <c r="EF10" s="230">
        <v>289349</v>
      </c>
      <c r="EG10" s="230">
        <v>68244</v>
      </c>
      <c r="EH10" s="229">
        <v>3.2399</v>
      </c>
      <c r="EI10" s="229">
        <v>0.36009999999999998</v>
      </c>
      <c r="EJ10" s="231">
        <v>173550.94</v>
      </c>
      <c r="EK10" s="231">
        <v>123473.82</v>
      </c>
      <c r="EL10" s="231">
        <v>56034.9</v>
      </c>
      <c r="EM10" s="231">
        <v>6076</v>
      </c>
      <c r="EN10" s="231">
        <v>353059.66</v>
      </c>
      <c r="EO10" s="231">
        <v>179274.87</v>
      </c>
      <c r="EP10" s="231">
        <v>173784.79</v>
      </c>
      <c r="EQ10" s="229">
        <v>0.96940000000000004</v>
      </c>
      <c r="ER10" s="231">
        <v>93372</v>
      </c>
      <c r="ES10" s="231">
        <v>44218</v>
      </c>
      <c r="ET10" s="231">
        <v>85997</v>
      </c>
      <c r="EU10" s="231">
        <v>3257355</v>
      </c>
      <c r="EV10" s="231">
        <v>223587</v>
      </c>
      <c r="EW10" s="231">
        <v>202542</v>
      </c>
      <c r="EX10" s="231">
        <v>21045</v>
      </c>
      <c r="EY10" s="229">
        <v>0.10390000000000001</v>
      </c>
      <c r="EZ10" s="229">
        <v>0.93079999999999996</v>
      </c>
      <c r="FA10" s="227" t="s">
        <v>567</v>
      </c>
      <c r="FB10" s="161">
        <f t="shared" si="0"/>
        <v>64200</v>
      </c>
    </row>
    <row r="11" spans="1:158" ht="17.25" thickBot="1" x14ac:dyDescent="0.3">
      <c r="A11" s="226">
        <v>46093</v>
      </c>
      <c r="B11" s="227" t="s">
        <v>157</v>
      </c>
      <c r="C11" s="227" t="s">
        <v>164</v>
      </c>
      <c r="D11" s="228">
        <v>1050</v>
      </c>
      <c r="E11" s="228">
        <v>448.4</v>
      </c>
      <c r="F11" s="228">
        <v>458.45</v>
      </c>
      <c r="G11" s="228">
        <v>-10.050000000000001</v>
      </c>
      <c r="H11" s="229">
        <v>-2.1899999999999999E-2</v>
      </c>
      <c r="I11" s="228">
        <v>446.45</v>
      </c>
      <c r="J11" s="228">
        <v>457.8</v>
      </c>
      <c r="K11" s="228">
        <v>-11.35</v>
      </c>
      <c r="L11" s="229">
        <v>-2.4799999999999999E-2</v>
      </c>
      <c r="M11" s="228">
        <v>448.4</v>
      </c>
      <c r="N11" s="228">
        <v>458.45</v>
      </c>
      <c r="O11" s="228">
        <v>-10.050000000000001</v>
      </c>
      <c r="P11" s="229">
        <v>-2.1899999999999999E-2</v>
      </c>
      <c r="Q11" s="228">
        <v>451.15</v>
      </c>
      <c r="R11" s="228">
        <v>461.3</v>
      </c>
      <c r="S11" s="228">
        <v>-10.15</v>
      </c>
      <c r="T11" s="229">
        <v>-2.1999999999999999E-2</v>
      </c>
      <c r="U11" s="228">
        <v>453</v>
      </c>
      <c r="V11" s="228">
        <v>462.9</v>
      </c>
      <c r="W11" s="228">
        <v>-9.9</v>
      </c>
      <c r="X11" s="229">
        <v>-2.1399999999999999E-2</v>
      </c>
      <c r="Y11" s="228">
        <v>1.95</v>
      </c>
      <c r="Z11" s="228">
        <v>0.65</v>
      </c>
      <c r="AA11" s="228">
        <v>1.3</v>
      </c>
      <c r="AB11" s="229">
        <v>4.4000000000000003E-3</v>
      </c>
      <c r="AC11" s="228">
        <v>1.95</v>
      </c>
      <c r="AD11" s="228">
        <v>0.65</v>
      </c>
      <c r="AE11" s="228">
        <v>1.3</v>
      </c>
      <c r="AF11" s="229">
        <v>4.4000000000000003E-3</v>
      </c>
      <c r="AG11" s="228">
        <v>4.7</v>
      </c>
      <c r="AH11" s="228">
        <v>3.5</v>
      </c>
      <c r="AI11" s="228">
        <v>1.2</v>
      </c>
      <c r="AJ11" s="229">
        <v>1.0500000000000001E-2</v>
      </c>
      <c r="AK11" s="228">
        <v>6.55</v>
      </c>
      <c r="AL11" s="228">
        <v>5.0999999999999996</v>
      </c>
      <c r="AM11" s="228">
        <v>1.45</v>
      </c>
      <c r="AN11" s="229">
        <v>1.47E-2</v>
      </c>
      <c r="AO11" s="228">
        <v>452.24</v>
      </c>
      <c r="AP11" s="228">
        <v>455.46</v>
      </c>
      <c r="AQ11" s="228">
        <v>0</v>
      </c>
      <c r="AR11" s="230">
        <v>7364700</v>
      </c>
      <c r="AS11" s="230">
        <v>4057200</v>
      </c>
      <c r="AT11" s="230">
        <v>3307500</v>
      </c>
      <c r="AU11" s="229">
        <v>0.81520000000000004</v>
      </c>
      <c r="AV11" s="230">
        <v>6054300</v>
      </c>
      <c r="AW11" s="230">
        <v>3688650</v>
      </c>
      <c r="AX11" s="230">
        <v>2365650</v>
      </c>
      <c r="AY11" s="229">
        <v>0.64129999999999998</v>
      </c>
      <c r="AZ11" s="230">
        <v>1273650</v>
      </c>
      <c r="BA11" s="230">
        <v>322350</v>
      </c>
      <c r="BB11" s="230">
        <v>951300</v>
      </c>
      <c r="BC11" s="229">
        <v>2.9510999999999998</v>
      </c>
      <c r="BD11" s="230">
        <v>36750</v>
      </c>
      <c r="BE11" s="230">
        <v>46200</v>
      </c>
      <c r="BF11" s="230">
        <v>-9450</v>
      </c>
      <c r="BG11" s="229">
        <v>-0.20449999999999999</v>
      </c>
      <c r="BH11" s="230">
        <v>6773550</v>
      </c>
      <c r="BI11" s="230">
        <v>7237650</v>
      </c>
      <c r="BJ11" s="230">
        <v>-464100</v>
      </c>
      <c r="BK11" s="229">
        <v>-6.4100000000000004E-2</v>
      </c>
      <c r="BL11" s="230">
        <v>3129000</v>
      </c>
      <c r="BM11" s="230">
        <v>3306450</v>
      </c>
      <c r="BN11" s="230">
        <v>-177450</v>
      </c>
      <c r="BO11" s="229">
        <v>-5.3699999999999998E-2</v>
      </c>
      <c r="BP11" s="230">
        <v>17267250</v>
      </c>
      <c r="BQ11" s="230">
        <v>14601300</v>
      </c>
      <c r="BR11" s="230">
        <v>2665950</v>
      </c>
      <c r="BS11" s="229">
        <v>0.18260000000000001</v>
      </c>
      <c r="BT11" s="230">
        <v>5683694</v>
      </c>
      <c r="BU11" s="230">
        <v>1959869</v>
      </c>
      <c r="BV11" s="230">
        <v>3723825</v>
      </c>
      <c r="BW11" s="229">
        <v>1.9</v>
      </c>
      <c r="BX11" s="230">
        <v>55966050</v>
      </c>
      <c r="BY11" s="230">
        <v>54537000</v>
      </c>
      <c r="BZ11" s="230">
        <v>1429050</v>
      </c>
      <c r="CA11" s="229">
        <v>2.6200000000000001E-2</v>
      </c>
      <c r="CB11" s="230">
        <v>49520100</v>
      </c>
      <c r="CC11" s="230">
        <v>48942600</v>
      </c>
      <c r="CD11" s="230">
        <v>577500</v>
      </c>
      <c r="CE11" s="229">
        <v>1.18E-2</v>
      </c>
      <c r="CF11" s="230">
        <v>6221250</v>
      </c>
      <c r="CG11" s="230">
        <v>5378100</v>
      </c>
      <c r="CH11" s="230">
        <v>843150</v>
      </c>
      <c r="CI11" s="229">
        <v>0.15679999999999999</v>
      </c>
      <c r="CJ11" s="230">
        <v>224700</v>
      </c>
      <c r="CK11" s="230">
        <v>216300</v>
      </c>
      <c r="CL11" s="230">
        <v>8400</v>
      </c>
      <c r="CM11" s="229">
        <v>3.8800000000000001E-2</v>
      </c>
      <c r="CN11" s="230">
        <v>16584750</v>
      </c>
      <c r="CO11" s="230">
        <v>15724800</v>
      </c>
      <c r="CP11" s="230">
        <v>859950</v>
      </c>
      <c r="CQ11" s="229">
        <v>5.4699999999999999E-2</v>
      </c>
      <c r="CR11" s="230">
        <v>10927350</v>
      </c>
      <c r="CS11" s="230">
        <v>10722600</v>
      </c>
      <c r="CT11" s="230">
        <v>204750</v>
      </c>
      <c r="CU11" s="229">
        <v>1.9099999999999999E-2</v>
      </c>
      <c r="CV11" s="230">
        <v>83478150</v>
      </c>
      <c r="CW11" s="230">
        <v>80984400</v>
      </c>
      <c r="CX11" s="230">
        <v>2493750</v>
      </c>
      <c r="CY11" s="229">
        <v>3.0800000000000001E-2</v>
      </c>
      <c r="CZ11" s="228">
        <v>35.659999999999997</v>
      </c>
      <c r="DA11" s="228">
        <v>34.57</v>
      </c>
      <c r="DB11" s="228">
        <v>1.0900000000000001</v>
      </c>
      <c r="DC11" s="228">
        <v>1.0900000000000001</v>
      </c>
      <c r="DD11" s="228">
        <v>32.89</v>
      </c>
      <c r="DE11" s="228">
        <v>32.840000000000003</v>
      </c>
      <c r="DF11" s="228">
        <v>2.77</v>
      </c>
      <c r="DG11" s="228">
        <v>0.05</v>
      </c>
      <c r="DH11" s="228">
        <v>35.18</v>
      </c>
      <c r="DI11" s="228">
        <v>34</v>
      </c>
      <c r="DJ11" s="228">
        <v>1.18</v>
      </c>
      <c r="DK11" s="228">
        <v>1.18</v>
      </c>
      <c r="DL11" s="228">
        <v>36.700000000000003</v>
      </c>
      <c r="DM11" s="228">
        <v>35.840000000000003</v>
      </c>
      <c r="DN11" s="228">
        <v>0.86</v>
      </c>
      <c r="DO11" s="228">
        <v>0.86</v>
      </c>
      <c r="DP11" s="228">
        <v>0.66</v>
      </c>
      <c r="DQ11" s="228">
        <v>0.68</v>
      </c>
      <c r="DR11" s="228">
        <v>-0.02</v>
      </c>
      <c r="DS11" s="229">
        <v>-2.9399999999999999E-2</v>
      </c>
      <c r="DT11" s="228">
        <v>600</v>
      </c>
      <c r="DU11" s="228">
        <v>600</v>
      </c>
      <c r="DV11" s="228">
        <v>0.46</v>
      </c>
      <c r="DW11" s="228">
        <v>0.46</v>
      </c>
      <c r="DX11" s="228">
        <v>0</v>
      </c>
      <c r="DY11" s="229">
        <v>0</v>
      </c>
      <c r="DZ11" s="229">
        <v>0.1152</v>
      </c>
      <c r="EA11" s="230">
        <v>5594400</v>
      </c>
      <c r="EB11" s="229">
        <v>6.1000000000000004E-3</v>
      </c>
      <c r="EC11" s="229">
        <v>0.1152</v>
      </c>
      <c r="ED11" s="228">
        <v>3.22</v>
      </c>
      <c r="EE11" s="229">
        <v>7.1000000000000004E-3</v>
      </c>
      <c r="EF11" s="230">
        <v>3939062</v>
      </c>
      <c r="EG11" s="230">
        <v>823232</v>
      </c>
      <c r="EH11" s="229">
        <v>3.7848999999999999</v>
      </c>
      <c r="EI11" s="229">
        <v>0.69299999999999995</v>
      </c>
      <c r="EJ11" s="231">
        <v>32859.519999999997</v>
      </c>
      <c r="EK11" s="231">
        <v>14453.87</v>
      </c>
      <c r="EL11" s="231">
        <v>33348.629999999997</v>
      </c>
      <c r="EM11" s="231">
        <v>6289</v>
      </c>
      <c r="EN11" s="231">
        <v>80662.02</v>
      </c>
      <c r="EO11" s="231">
        <v>69778.460000000006</v>
      </c>
      <c r="EP11" s="231">
        <v>10883.56</v>
      </c>
      <c r="EQ11" s="229">
        <v>0.156</v>
      </c>
      <c r="ER11" s="231">
        <v>86610</v>
      </c>
      <c r="ES11" s="231">
        <v>55884</v>
      </c>
      <c r="ET11" s="231">
        <v>251133</v>
      </c>
      <c r="EU11" s="231">
        <v>79841849</v>
      </c>
      <c r="EV11" s="231">
        <v>393627</v>
      </c>
      <c r="EW11" s="231">
        <v>388097</v>
      </c>
      <c r="EX11" s="231">
        <v>5530</v>
      </c>
      <c r="EY11" s="229">
        <v>1.4200000000000001E-2</v>
      </c>
      <c r="EZ11" s="229">
        <v>1.0455000000000001</v>
      </c>
      <c r="FA11" s="227" t="s">
        <v>567</v>
      </c>
      <c r="FB11" s="161">
        <f t="shared" si="0"/>
        <v>6445950</v>
      </c>
    </row>
    <row r="12" spans="1:158" ht="17.25" thickBot="1" x14ac:dyDescent="0.3">
      <c r="A12" s="226">
        <v>46093</v>
      </c>
      <c r="B12" s="227" t="s">
        <v>175</v>
      </c>
      <c r="C12" s="227" t="s">
        <v>609</v>
      </c>
      <c r="D12" s="228">
        <v>2500</v>
      </c>
      <c r="E12" s="228">
        <v>213.78</v>
      </c>
      <c r="F12" s="228">
        <v>218.06</v>
      </c>
      <c r="G12" s="228">
        <v>-4.28</v>
      </c>
      <c r="H12" s="229">
        <v>-1.9599999999999999E-2</v>
      </c>
      <c r="I12" s="228">
        <v>213.07</v>
      </c>
      <c r="J12" s="228">
        <v>218.53</v>
      </c>
      <c r="K12" s="228">
        <v>-5.46</v>
      </c>
      <c r="L12" s="229">
        <v>-2.5000000000000001E-2</v>
      </c>
      <c r="M12" s="228">
        <v>213.78</v>
      </c>
      <c r="N12" s="228">
        <v>218.06</v>
      </c>
      <c r="O12" s="228">
        <v>-4.28</v>
      </c>
      <c r="P12" s="229">
        <v>-1.9599999999999999E-2</v>
      </c>
      <c r="Q12" s="228">
        <v>214.28</v>
      </c>
      <c r="R12" s="228">
        <v>218.61</v>
      </c>
      <c r="S12" s="228">
        <v>-4.33</v>
      </c>
      <c r="T12" s="229">
        <v>-1.9800000000000002E-2</v>
      </c>
      <c r="U12" s="228">
        <v>214.67</v>
      </c>
      <c r="V12" s="228">
        <v>219.42</v>
      </c>
      <c r="W12" s="228">
        <v>-4.75</v>
      </c>
      <c r="X12" s="229">
        <v>-2.1600000000000001E-2</v>
      </c>
      <c r="Y12" s="228">
        <v>0.71</v>
      </c>
      <c r="Z12" s="228">
        <v>-0.47</v>
      </c>
      <c r="AA12" s="228">
        <v>1.18</v>
      </c>
      <c r="AB12" s="229">
        <v>3.3E-3</v>
      </c>
      <c r="AC12" s="228">
        <v>0.71</v>
      </c>
      <c r="AD12" s="228">
        <v>-0.47</v>
      </c>
      <c r="AE12" s="228">
        <v>1.18</v>
      </c>
      <c r="AF12" s="229">
        <v>3.3E-3</v>
      </c>
      <c r="AG12" s="228">
        <v>1.21</v>
      </c>
      <c r="AH12" s="228">
        <v>0.08</v>
      </c>
      <c r="AI12" s="228">
        <v>1.1299999999999999</v>
      </c>
      <c r="AJ12" s="229">
        <v>5.7000000000000002E-3</v>
      </c>
      <c r="AK12" s="228">
        <v>1.6</v>
      </c>
      <c r="AL12" s="228">
        <v>0.89</v>
      </c>
      <c r="AM12" s="228">
        <v>0.71</v>
      </c>
      <c r="AN12" s="229">
        <v>7.4999999999999997E-3</v>
      </c>
      <c r="AO12" s="228">
        <v>215.12</v>
      </c>
      <c r="AP12" s="228">
        <v>215.39</v>
      </c>
      <c r="AQ12" s="228">
        <v>0</v>
      </c>
      <c r="AR12" s="230">
        <v>11237500</v>
      </c>
      <c r="AS12" s="230">
        <v>7175000</v>
      </c>
      <c r="AT12" s="230">
        <v>4062500</v>
      </c>
      <c r="AU12" s="229">
        <v>0.56620000000000004</v>
      </c>
      <c r="AV12" s="230">
        <v>9762500</v>
      </c>
      <c r="AW12" s="230">
        <v>6457500</v>
      </c>
      <c r="AX12" s="230">
        <v>3305000</v>
      </c>
      <c r="AY12" s="229">
        <v>0.51180000000000003</v>
      </c>
      <c r="AZ12" s="230">
        <v>1375000</v>
      </c>
      <c r="BA12" s="230">
        <v>667500</v>
      </c>
      <c r="BB12" s="230">
        <v>707500</v>
      </c>
      <c r="BC12" s="229">
        <v>1.0599000000000001</v>
      </c>
      <c r="BD12" s="230">
        <v>100000</v>
      </c>
      <c r="BE12" s="230">
        <v>50000</v>
      </c>
      <c r="BF12" s="230">
        <v>50000</v>
      </c>
      <c r="BG12" s="229">
        <v>1</v>
      </c>
      <c r="BH12" s="230">
        <v>15145000</v>
      </c>
      <c r="BI12" s="230">
        <v>14047500</v>
      </c>
      <c r="BJ12" s="230">
        <v>1097500</v>
      </c>
      <c r="BK12" s="229">
        <v>7.8100000000000003E-2</v>
      </c>
      <c r="BL12" s="230">
        <v>8397500</v>
      </c>
      <c r="BM12" s="230">
        <v>6862500</v>
      </c>
      <c r="BN12" s="230">
        <v>1535000</v>
      </c>
      <c r="BO12" s="229">
        <v>0.22370000000000001</v>
      </c>
      <c r="BP12" s="230">
        <v>34780000</v>
      </c>
      <c r="BQ12" s="230">
        <v>28085000</v>
      </c>
      <c r="BR12" s="230">
        <v>6695000</v>
      </c>
      <c r="BS12" s="229">
        <v>0.2384</v>
      </c>
      <c r="BT12" s="230">
        <v>11234882</v>
      </c>
      <c r="BU12" s="230">
        <v>4626475</v>
      </c>
      <c r="BV12" s="230">
        <v>6608407</v>
      </c>
      <c r="BW12" s="229">
        <v>1.4283999999999999</v>
      </c>
      <c r="BX12" s="230">
        <v>39930000</v>
      </c>
      <c r="BY12" s="230">
        <v>39167500</v>
      </c>
      <c r="BZ12" s="230">
        <v>762500</v>
      </c>
      <c r="CA12" s="229">
        <v>1.95E-2</v>
      </c>
      <c r="CB12" s="230">
        <v>32077500</v>
      </c>
      <c r="CC12" s="230">
        <v>31375000</v>
      </c>
      <c r="CD12" s="230">
        <v>702500</v>
      </c>
      <c r="CE12" s="229">
        <v>2.24E-2</v>
      </c>
      <c r="CF12" s="230">
        <v>4887500</v>
      </c>
      <c r="CG12" s="230">
        <v>4880000</v>
      </c>
      <c r="CH12" s="230">
        <v>7500</v>
      </c>
      <c r="CI12" s="229">
        <v>1.5E-3</v>
      </c>
      <c r="CJ12" s="230">
        <v>2965000</v>
      </c>
      <c r="CK12" s="230">
        <v>2912500</v>
      </c>
      <c r="CL12" s="230">
        <v>52500</v>
      </c>
      <c r="CM12" s="229">
        <v>1.7999999999999999E-2</v>
      </c>
      <c r="CN12" s="230">
        <v>26565000</v>
      </c>
      <c r="CO12" s="230">
        <v>25340000</v>
      </c>
      <c r="CP12" s="230">
        <v>1225000</v>
      </c>
      <c r="CQ12" s="229">
        <v>4.8300000000000003E-2</v>
      </c>
      <c r="CR12" s="230">
        <v>14325000</v>
      </c>
      <c r="CS12" s="230">
        <v>14872500</v>
      </c>
      <c r="CT12" s="230">
        <v>-547500</v>
      </c>
      <c r="CU12" s="229">
        <v>-3.6799999999999999E-2</v>
      </c>
      <c r="CV12" s="230">
        <v>80820000</v>
      </c>
      <c r="CW12" s="230">
        <v>79380000</v>
      </c>
      <c r="CX12" s="230">
        <v>1440000</v>
      </c>
      <c r="CY12" s="229">
        <v>1.8100000000000002E-2</v>
      </c>
      <c r="CZ12" s="228">
        <v>47.7</v>
      </c>
      <c r="DA12" s="228">
        <v>46.98</v>
      </c>
      <c r="DB12" s="228">
        <v>0.72</v>
      </c>
      <c r="DC12" s="228">
        <v>0.72</v>
      </c>
      <c r="DD12" s="228">
        <v>53.85</v>
      </c>
      <c r="DE12" s="228">
        <v>53.92</v>
      </c>
      <c r="DF12" s="228">
        <v>-6.15</v>
      </c>
      <c r="DG12" s="228">
        <v>-7.0000000000000007E-2</v>
      </c>
      <c r="DH12" s="228">
        <v>47.26</v>
      </c>
      <c r="DI12" s="228">
        <v>46.62</v>
      </c>
      <c r="DJ12" s="228">
        <v>0.64</v>
      </c>
      <c r="DK12" s="228">
        <v>0.64</v>
      </c>
      <c r="DL12" s="228">
        <v>48.49</v>
      </c>
      <c r="DM12" s="228">
        <v>47.71</v>
      </c>
      <c r="DN12" s="228">
        <v>0.78</v>
      </c>
      <c r="DO12" s="228">
        <v>0.78</v>
      </c>
      <c r="DP12" s="228">
        <v>0.54</v>
      </c>
      <c r="DQ12" s="228">
        <v>0.59</v>
      </c>
      <c r="DR12" s="228">
        <v>-0.05</v>
      </c>
      <c r="DS12" s="229">
        <v>-8.4699999999999998E-2</v>
      </c>
      <c r="DT12" s="228">
        <v>250</v>
      </c>
      <c r="DU12" s="228">
        <v>220</v>
      </c>
      <c r="DV12" s="228">
        <v>0.55000000000000004</v>
      </c>
      <c r="DW12" s="228">
        <v>0.49</v>
      </c>
      <c r="DX12" s="228">
        <v>0.06</v>
      </c>
      <c r="DY12" s="229">
        <v>0.12239999999999999</v>
      </c>
      <c r="DZ12" s="229">
        <v>0.19670000000000001</v>
      </c>
      <c r="EA12" s="230">
        <v>7792500</v>
      </c>
      <c r="EB12" s="229">
        <v>2.3E-3</v>
      </c>
      <c r="EC12" s="229">
        <v>0.19670000000000001</v>
      </c>
      <c r="ED12" s="228">
        <v>0.27</v>
      </c>
      <c r="EE12" s="229">
        <v>1.2999999999999999E-3</v>
      </c>
      <c r="EF12" s="230">
        <v>4722203</v>
      </c>
      <c r="EG12" s="230">
        <v>1752407</v>
      </c>
      <c r="EH12" s="229">
        <v>1.6947000000000001</v>
      </c>
      <c r="EI12" s="229">
        <v>0.42030000000000001</v>
      </c>
      <c r="EJ12" s="231">
        <v>35903.83</v>
      </c>
      <c r="EK12" s="231">
        <v>18030.36</v>
      </c>
      <c r="EL12" s="231">
        <v>24178</v>
      </c>
      <c r="EM12" s="231">
        <v>4957</v>
      </c>
      <c r="EN12" s="231">
        <v>78112.19</v>
      </c>
      <c r="EO12" s="231">
        <v>65178.21</v>
      </c>
      <c r="EP12" s="231">
        <v>12933.98</v>
      </c>
      <c r="EQ12" s="229">
        <v>0.19839999999999999</v>
      </c>
      <c r="ER12" s="231">
        <v>65690</v>
      </c>
      <c r="ES12" s="231">
        <v>32021</v>
      </c>
      <c r="ET12" s="231">
        <v>85413</v>
      </c>
      <c r="EU12" s="231">
        <v>96733080</v>
      </c>
      <c r="EV12" s="231">
        <v>183123</v>
      </c>
      <c r="EW12" s="231">
        <v>181809</v>
      </c>
      <c r="EX12" s="231">
        <v>1314</v>
      </c>
      <c r="EY12" s="229">
        <v>7.1999999999999998E-3</v>
      </c>
      <c r="EZ12" s="229">
        <v>0.83550000000000002</v>
      </c>
      <c r="FA12" s="227" t="s">
        <v>567</v>
      </c>
      <c r="FB12" s="161">
        <f t="shared" si="0"/>
        <v>7852500</v>
      </c>
    </row>
    <row r="13" spans="1:158" ht="17.25" thickBot="1" x14ac:dyDescent="0.3">
      <c r="A13" s="226">
        <v>46093</v>
      </c>
      <c r="B13" s="227" t="s">
        <v>227</v>
      </c>
      <c r="C13" s="227" t="s">
        <v>598</v>
      </c>
      <c r="D13" s="228">
        <v>350</v>
      </c>
      <c r="E13" s="231">
        <v>2010.2</v>
      </c>
      <c r="F13" s="231">
        <v>2019</v>
      </c>
      <c r="G13" s="228">
        <v>-8.8000000000000007</v>
      </c>
      <c r="H13" s="229">
        <v>-4.4000000000000003E-3</v>
      </c>
      <c r="I13" s="231">
        <v>2009.2</v>
      </c>
      <c r="J13" s="231">
        <v>2016.3</v>
      </c>
      <c r="K13" s="228">
        <v>-7.1</v>
      </c>
      <c r="L13" s="229">
        <v>-3.5000000000000001E-3</v>
      </c>
      <c r="M13" s="231">
        <v>2010.2</v>
      </c>
      <c r="N13" s="231">
        <v>2019</v>
      </c>
      <c r="O13" s="228">
        <v>-8.8000000000000007</v>
      </c>
      <c r="P13" s="229">
        <v>-4.4000000000000003E-3</v>
      </c>
      <c r="Q13" s="231">
        <v>2022.8</v>
      </c>
      <c r="R13" s="231">
        <v>2030.1</v>
      </c>
      <c r="S13" s="228">
        <v>-7.3</v>
      </c>
      <c r="T13" s="229">
        <v>-3.5999999999999999E-3</v>
      </c>
      <c r="U13" s="231">
        <v>2037.6</v>
      </c>
      <c r="V13" s="231">
        <v>2041</v>
      </c>
      <c r="W13" s="228">
        <v>-3.4</v>
      </c>
      <c r="X13" s="229">
        <v>-1.6999999999999999E-3</v>
      </c>
      <c r="Y13" s="228">
        <v>1</v>
      </c>
      <c r="Z13" s="228">
        <v>2.7</v>
      </c>
      <c r="AA13" s="228">
        <v>-1.7</v>
      </c>
      <c r="AB13" s="229">
        <v>5.0000000000000001E-4</v>
      </c>
      <c r="AC13" s="228">
        <v>1</v>
      </c>
      <c r="AD13" s="228">
        <v>2.7</v>
      </c>
      <c r="AE13" s="228">
        <v>-1.7</v>
      </c>
      <c r="AF13" s="229">
        <v>5.0000000000000001E-4</v>
      </c>
      <c r="AG13" s="228">
        <v>13.6</v>
      </c>
      <c r="AH13" s="228">
        <v>13.8</v>
      </c>
      <c r="AI13" s="228">
        <v>-0.2</v>
      </c>
      <c r="AJ13" s="229">
        <v>6.7999999999999996E-3</v>
      </c>
      <c r="AK13" s="228">
        <v>28.4</v>
      </c>
      <c r="AL13" s="228">
        <v>24.7</v>
      </c>
      <c r="AM13" s="228">
        <v>3.7</v>
      </c>
      <c r="AN13" s="229">
        <v>1.41E-2</v>
      </c>
      <c r="AO13" s="231">
        <v>1986.72</v>
      </c>
      <c r="AP13" s="231">
        <v>2001.77</v>
      </c>
      <c r="AQ13" s="228">
        <v>0</v>
      </c>
      <c r="AR13" s="230">
        <v>1283100</v>
      </c>
      <c r="AS13" s="230">
        <v>1869000</v>
      </c>
      <c r="AT13" s="230">
        <v>-585900</v>
      </c>
      <c r="AU13" s="229">
        <v>-0.3135</v>
      </c>
      <c r="AV13" s="230">
        <v>1188600</v>
      </c>
      <c r="AW13" s="230">
        <v>1808800</v>
      </c>
      <c r="AX13" s="230">
        <v>-620200</v>
      </c>
      <c r="AY13" s="229">
        <v>-0.34289999999999998</v>
      </c>
      <c r="AZ13" s="230">
        <v>84000</v>
      </c>
      <c r="BA13" s="230">
        <v>56350</v>
      </c>
      <c r="BB13" s="230">
        <v>27650</v>
      </c>
      <c r="BC13" s="229">
        <v>0.49070000000000003</v>
      </c>
      <c r="BD13" s="230">
        <v>10500</v>
      </c>
      <c r="BE13" s="230">
        <v>3850</v>
      </c>
      <c r="BF13" s="230">
        <v>6650</v>
      </c>
      <c r="BG13" s="229">
        <v>1.7273000000000001</v>
      </c>
      <c r="BH13" s="230">
        <v>2785300</v>
      </c>
      <c r="BI13" s="230">
        <v>4841900</v>
      </c>
      <c r="BJ13" s="230">
        <v>-2056600</v>
      </c>
      <c r="BK13" s="229">
        <v>-0.42480000000000001</v>
      </c>
      <c r="BL13" s="230">
        <v>1821750</v>
      </c>
      <c r="BM13" s="230">
        <v>4902800</v>
      </c>
      <c r="BN13" s="230">
        <v>-3081050</v>
      </c>
      <c r="BO13" s="229">
        <v>-0.62839999999999996</v>
      </c>
      <c r="BP13" s="230">
        <v>5890150</v>
      </c>
      <c r="BQ13" s="230">
        <v>11613700</v>
      </c>
      <c r="BR13" s="230">
        <v>-5723550</v>
      </c>
      <c r="BS13" s="229">
        <v>-0.49280000000000002</v>
      </c>
      <c r="BT13" s="230">
        <v>1396748</v>
      </c>
      <c r="BU13" s="230">
        <v>737897</v>
      </c>
      <c r="BV13" s="230">
        <v>658851</v>
      </c>
      <c r="BW13" s="229">
        <v>0.89290000000000003</v>
      </c>
      <c r="BX13" s="230">
        <v>4862900</v>
      </c>
      <c r="BY13" s="230">
        <v>4788000</v>
      </c>
      <c r="BZ13" s="230">
        <v>74900</v>
      </c>
      <c r="CA13" s="229">
        <v>1.5599999999999999E-2</v>
      </c>
      <c r="CB13" s="230">
        <v>4790800</v>
      </c>
      <c r="CC13" s="230">
        <v>4726750</v>
      </c>
      <c r="CD13" s="230">
        <v>64050</v>
      </c>
      <c r="CE13" s="229">
        <v>1.3599999999999999E-2</v>
      </c>
      <c r="CF13" s="230">
        <v>60200</v>
      </c>
      <c r="CG13" s="230">
        <v>52850</v>
      </c>
      <c r="CH13" s="230">
        <v>7350</v>
      </c>
      <c r="CI13" s="229">
        <v>0.1391</v>
      </c>
      <c r="CJ13" s="230">
        <v>11900</v>
      </c>
      <c r="CK13" s="230">
        <v>8400</v>
      </c>
      <c r="CL13" s="230">
        <v>3500</v>
      </c>
      <c r="CM13" s="229">
        <v>0.41670000000000001</v>
      </c>
      <c r="CN13" s="230">
        <v>1779750</v>
      </c>
      <c r="CO13" s="230">
        <v>1694700</v>
      </c>
      <c r="CP13" s="230">
        <v>85050</v>
      </c>
      <c r="CQ13" s="229">
        <v>5.0200000000000002E-2</v>
      </c>
      <c r="CR13" s="230">
        <v>1317400</v>
      </c>
      <c r="CS13" s="230">
        <v>1374450</v>
      </c>
      <c r="CT13" s="230">
        <v>-57050</v>
      </c>
      <c r="CU13" s="229">
        <v>-4.1500000000000002E-2</v>
      </c>
      <c r="CV13" s="230">
        <v>7960050</v>
      </c>
      <c r="CW13" s="230">
        <v>7857150</v>
      </c>
      <c r="CX13" s="230">
        <v>102900</v>
      </c>
      <c r="CY13" s="229">
        <v>1.3100000000000001E-2</v>
      </c>
      <c r="CZ13" s="228">
        <v>35.93</v>
      </c>
      <c r="DA13" s="228">
        <v>37.03</v>
      </c>
      <c r="DB13" s="228">
        <v>-1.1000000000000001</v>
      </c>
      <c r="DC13" s="228">
        <v>-1.1000000000000001</v>
      </c>
      <c r="DD13" s="228">
        <v>32.35</v>
      </c>
      <c r="DE13" s="228">
        <v>32.43</v>
      </c>
      <c r="DF13" s="228">
        <v>3.58</v>
      </c>
      <c r="DG13" s="228">
        <v>-0.08</v>
      </c>
      <c r="DH13" s="228">
        <v>34.74</v>
      </c>
      <c r="DI13" s="228">
        <v>35.68</v>
      </c>
      <c r="DJ13" s="228">
        <v>-0.94</v>
      </c>
      <c r="DK13" s="228">
        <v>-0.94</v>
      </c>
      <c r="DL13" s="228">
        <v>37.75</v>
      </c>
      <c r="DM13" s="228">
        <v>38.36</v>
      </c>
      <c r="DN13" s="228">
        <v>-0.61</v>
      </c>
      <c r="DO13" s="228">
        <v>-0.61</v>
      </c>
      <c r="DP13" s="228">
        <v>0.74</v>
      </c>
      <c r="DQ13" s="228">
        <v>0.81</v>
      </c>
      <c r="DR13" s="228">
        <v>-7.0000000000000007E-2</v>
      </c>
      <c r="DS13" s="229">
        <v>-8.6400000000000005E-2</v>
      </c>
      <c r="DT13" s="231">
        <v>2200</v>
      </c>
      <c r="DU13" s="231">
        <v>2100</v>
      </c>
      <c r="DV13" s="228">
        <v>0.65</v>
      </c>
      <c r="DW13" s="228">
        <v>1.01</v>
      </c>
      <c r="DX13" s="228">
        <v>-0.36</v>
      </c>
      <c r="DY13" s="229">
        <v>-0.35639999999999999</v>
      </c>
      <c r="DZ13" s="229">
        <v>1.4800000000000001E-2</v>
      </c>
      <c r="EA13" s="230">
        <v>61250</v>
      </c>
      <c r="EB13" s="229">
        <v>6.3E-3</v>
      </c>
      <c r="EC13" s="229">
        <v>1.4800000000000001E-2</v>
      </c>
      <c r="ED13" s="228">
        <v>15.05</v>
      </c>
      <c r="EE13" s="229">
        <v>7.6E-3</v>
      </c>
      <c r="EF13" s="230">
        <v>686324</v>
      </c>
      <c r="EG13" s="230">
        <v>346097</v>
      </c>
      <c r="EH13" s="229">
        <v>0.98299999999999998</v>
      </c>
      <c r="EI13" s="229">
        <v>0.4914</v>
      </c>
      <c r="EJ13" s="231">
        <v>60124.35</v>
      </c>
      <c r="EK13" s="231">
        <v>36829.67</v>
      </c>
      <c r="EL13" s="231">
        <v>25508.41</v>
      </c>
      <c r="EM13" s="231">
        <v>3089</v>
      </c>
      <c r="EN13" s="231">
        <v>122462.43</v>
      </c>
      <c r="EO13" s="231">
        <v>244472.01</v>
      </c>
      <c r="EP13" s="231">
        <v>-122009.58</v>
      </c>
      <c r="EQ13" s="229">
        <v>-0.49909999999999999</v>
      </c>
      <c r="ER13" s="231">
        <v>38696</v>
      </c>
      <c r="ES13" s="231">
        <v>27514</v>
      </c>
      <c r="ET13" s="231">
        <v>97765</v>
      </c>
      <c r="EU13" s="231">
        <v>23068453</v>
      </c>
      <c r="EV13" s="231">
        <v>163974</v>
      </c>
      <c r="EW13" s="231">
        <v>162564</v>
      </c>
      <c r="EX13" s="231">
        <v>1410</v>
      </c>
      <c r="EY13" s="229">
        <v>8.6999999999999994E-3</v>
      </c>
      <c r="EZ13" s="229">
        <v>0.34510000000000002</v>
      </c>
      <c r="FA13" s="227" t="s">
        <v>567</v>
      </c>
      <c r="FB13" s="161">
        <f t="shared" si="0"/>
        <v>72100</v>
      </c>
    </row>
    <row r="14" spans="1:158" ht="17.25" thickBot="1" x14ac:dyDescent="0.3">
      <c r="A14" s="226">
        <v>46093</v>
      </c>
      <c r="B14" s="227" t="s">
        <v>170</v>
      </c>
      <c r="C14" s="227" t="s">
        <v>165</v>
      </c>
      <c r="D14" s="228">
        <v>125</v>
      </c>
      <c r="E14" s="231">
        <v>7582.5</v>
      </c>
      <c r="F14" s="231">
        <v>7703</v>
      </c>
      <c r="G14" s="228">
        <v>-120.5</v>
      </c>
      <c r="H14" s="229">
        <v>-1.5599999999999999E-2</v>
      </c>
      <c r="I14" s="231">
        <v>7574.5</v>
      </c>
      <c r="J14" s="231">
        <v>7684</v>
      </c>
      <c r="K14" s="228">
        <v>-109.5</v>
      </c>
      <c r="L14" s="229">
        <v>-1.43E-2</v>
      </c>
      <c r="M14" s="231">
        <v>7582.5</v>
      </c>
      <c r="N14" s="231">
        <v>7703</v>
      </c>
      <c r="O14" s="228">
        <v>-120.5</v>
      </c>
      <c r="P14" s="229">
        <v>-1.5599999999999999E-2</v>
      </c>
      <c r="Q14" s="231">
        <v>7636</v>
      </c>
      <c r="R14" s="231">
        <v>7745</v>
      </c>
      <c r="S14" s="228">
        <v>-109</v>
      </c>
      <c r="T14" s="229">
        <v>-1.41E-2</v>
      </c>
      <c r="U14" s="231">
        <v>7668.5</v>
      </c>
      <c r="V14" s="231">
        <v>7795</v>
      </c>
      <c r="W14" s="228">
        <v>-126.5</v>
      </c>
      <c r="X14" s="229">
        <v>-1.6199999999999999E-2</v>
      </c>
      <c r="Y14" s="228">
        <v>8</v>
      </c>
      <c r="Z14" s="228">
        <v>19</v>
      </c>
      <c r="AA14" s="228">
        <v>-11</v>
      </c>
      <c r="AB14" s="229">
        <v>1.1000000000000001E-3</v>
      </c>
      <c r="AC14" s="228">
        <v>8</v>
      </c>
      <c r="AD14" s="228">
        <v>19</v>
      </c>
      <c r="AE14" s="228">
        <v>-11</v>
      </c>
      <c r="AF14" s="229">
        <v>1.1000000000000001E-3</v>
      </c>
      <c r="AG14" s="228">
        <v>61.5</v>
      </c>
      <c r="AH14" s="228">
        <v>61</v>
      </c>
      <c r="AI14" s="228">
        <v>0.5</v>
      </c>
      <c r="AJ14" s="229">
        <v>8.0999999999999996E-3</v>
      </c>
      <c r="AK14" s="228">
        <v>94</v>
      </c>
      <c r="AL14" s="228">
        <v>111</v>
      </c>
      <c r="AM14" s="228">
        <v>-17</v>
      </c>
      <c r="AN14" s="229">
        <v>1.24E-2</v>
      </c>
      <c r="AO14" s="231">
        <v>7593.1</v>
      </c>
      <c r="AP14" s="231">
        <v>7643.28</v>
      </c>
      <c r="AQ14" s="228">
        <v>0</v>
      </c>
      <c r="AR14" s="230">
        <v>483875</v>
      </c>
      <c r="AS14" s="230">
        <v>253000</v>
      </c>
      <c r="AT14" s="230">
        <v>230875</v>
      </c>
      <c r="AU14" s="229">
        <v>0.91249999999999998</v>
      </c>
      <c r="AV14" s="230">
        <v>442750</v>
      </c>
      <c r="AW14" s="230">
        <v>230250</v>
      </c>
      <c r="AX14" s="230">
        <v>212500</v>
      </c>
      <c r="AY14" s="229">
        <v>0.92290000000000005</v>
      </c>
      <c r="AZ14" s="230">
        <v>31750</v>
      </c>
      <c r="BA14" s="230">
        <v>21375</v>
      </c>
      <c r="BB14" s="230">
        <v>10375</v>
      </c>
      <c r="BC14" s="229">
        <v>0.4854</v>
      </c>
      <c r="BD14" s="230">
        <v>9375</v>
      </c>
      <c r="BE14" s="230">
        <v>1375</v>
      </c>
      <c r="BF14" s="230">
        <v>8000</v>
      </c>
      <c r="BG14" s="229">
        <v>5.8182</v>
      </c>
      <c r="BH14" s="230">
        <v>1329500</v>
      </c>
      <c r="BI14" s="230">
        <v>1089750</v>
      </c>
      <c r="BJ14" s="230">
        <v>239750</v>
      </c>
      <c r="BK14" s="229">
        <v>0.22</v>
      </c>
      <c r="BL14" s="230">
        <v>737000</v>
      </c>
      <c r="BM14" s="230">
        <v>933500</v>
      </c>
      <c r="BN14" s="230">
        <v>-196500</v>
      </c>
      <c r="BO14" s="229">
        <v>-0.21049999999999999</v>
      </c>
      <c r="BP14" s="230">
        <v>2550375</v>
      </c>
      <c r="BQ14" s="230">
        <v>2276250</v>
      </c>
      <c r="BR14" s="230">
        <v>274125</v>
      </c>
      <c r="BS14" s="229">
        <v>0.12039999999999999</v>
      </c>
      <c r="BT14" s="230">
        <v>576094</v>
      </c>
      <c r="BU14" s="230">
        <v>339658</v>
      </c>
      <c r="BV14" s="230">
        <v>236436</v>
      </c>
      <c r="BW14" s="229">
        <v>0.69610000000000005</v>
      </c>
      <c r="BX14" s="230">
        <v>2459000</v>
      </c>
      <c r="BY14" s="230">
        <v>2514125</v>
      </c>
      <c r="BZ14" s="230">
        <v>-55125</v>
      </c>
      <c r="CA14" s="229">
        <v>-2.1899999999999999E-2</v>
      </c>
      <c r="CB14" s="230">
        <v>2405500</v>
      </c>
      <c r="CC14" s="230">
        <v>2473250</v>
      </c>
      <c r="CD14" s="230">
        <v>-67750</v>
      </c>
      <c r="CE14" s="229">
        <v>-2.7400000000000001E-2</v>
      </c>
      <c r="CF14" s="230">
        <v>46250</v>
      </c>
      <c r="CG14" s="230">
        <v>35500</v>
      </c>
      <c r="CH14" s="230">
        <v>10750</v>
      </c>
      <c r="CI14" s="229">
        <v>0.30280000000000001</v>
      </c>
      <c r="CJ14" s="230">
        <v>7250</v>
      </c>
      <c r="CK14" s="230">
        <v>5375</v>
      </c>
      <c r="CL14" s="230">
        <v>1875</v>
      </c>
      <c r="CM14" s="229">
        <v>0.3488</v>
      </c>
      <c r="CN14" s="230">
        <v>1070000</v>
      </c>
      <c r="CO14" s="230">
        <v>1050625</v>
      </c>
      <c r="CP14" s="230">
        <v>19375</v>
      </c>
      <c r="CQ14" s="229">
        <v>1.84E-2</v>
      </c>
      <c r="CR14" s="230">
        <v>766250</v>
      </c>
      <c r="CS14" s="230">
        <v>788125</v>
      </c>
      <c r="CT14" s="230">
        <v>-21875</v>
      </c>
      <c r="CU14" s="229">
        <v>-2.7799999999999998E-2</v>
      </c>
      <c r="CV14" s="230">
        <v>4295250</v>
      </c>
      <c r="CW14" s="230">
        <v>4352875</v>
      </c>
      <c r="CX14" s="230">
        <v>-57625</v>
      </c>
      <c r="CY14" s="229">
        <v>-1.32E-2</v>
      </c>
      <c r="CZ14" s="228">
        <v>23.76</v>
      </c>
      <c r="DA14" s="228">
        <v>24.15</v>
      </c>
      <c r="DB14" s="228">
        <v>-0.39</v>
      </c>
      <c r="DC14" s="228">
        <v>-0.39</v>
      </c>
      <c r="DD14" s="228">
        <v>24.54</v>
      </c>
      <c r="DE14" s="228">
        <v>24.53</v>
      </c>
      <c r="DF14" s="228">
        <v>-0.78</v>
      </c>
      <c r="DG14" s="228">
        <v>0.01</v>
      </c>
      <c r="DH14" s="228">
        <v>23.48</v>
      </c>
      <c r="DI14" s="228">
        <v>23.34</v>
      </c>
      <c r="DJ14" s="228">
        <v>0.14000000000000001</v>
      </c>
      <c r="DK14" s="228">
        <v>0.14000000000000001</v>
      </c>
      <c r="DL14" s="228">
        <v>24.27</v>
      </c>
      <c r="DM14" s="228">
        <v>25.09</v>
      </c>
      <c r="DN14" s="228">
        <v>-0.82</v>
      </c>
      <c r="DO14" s="228">
        <v>-0.82</v>
      </c>
      <c r="DP14" s="228">
        <v>0.72</v>
      </c>
      <c r="DQ14" s="228">
        <v>0.75</v>
      </c>
      <c r="DR14" s="228">
        <v>-0.03</v>
      </c>
      <c r="DS14" s="229">
        <v>-0.04</v>
      </c>
      <c r="DT14" s="231">
        <v>8500</v>
      </c>
      <c r="DU14" s="231">
        <v>7000</v>
      </c>
      <c r="DV14" s="228">
        <v>0.55000000000000004</v>
      </c>
      <c r="DW14" s="228">
        <v>0.86</v>
      </c>
      <c r="DX14" s="228">
        <v>-0.31</v>
      </c>
      <c r="DY14" s="229">
        <v>-0.36049999999999999</v>
      </c>
      <c r="DZ14" s="229">
        <v>2.18E-2</v>
      </c>
      <c r="EA14" s="230">
        <v>40875</v>
      </c>
      <c r="EB14" s="229">
        <v>7.1000000000000004E-3</v>
      </c>
      <c r="EC14" s="229">
        <v>2.18E-2</v>
      </c>
      <c r="ED14" s="228">
        <v>50.18</v>
      </c>
      <c r="EE14" s="229">
        <v>6.6E-3</v>
      </c>
      <c r="EF14" s="230">
        <v>362554</v>
      </c>
      <c r="EG14" s="230">
        <v>200301</v>
      </c>
      <c r="EH14" s="229">
        <v>0.81</v>
      </c>
      <c r="EI14" s="229">
        <v>0.62929999999999997</v>
      </c>
      <c r="EJ14" s="231">
        <v>106366.05</v>
      </c>
      <c r="EK14" s="231">
        <v>55446.559999999998</v>
      </c>
      <c r="EL14" s="231">
        <v>36765.980000000003</v>
      </c>
      <c r="EM14" s="231">
        <v>2551</v>
      </c>
      <c r="EN14" s="231">
        <v>198578.59</v>
      </c>
      <c r="EO14" s="231">
        <v>178611.88</v>
      </c>
      <c r="EP14" s="231">
        <v>19966.71</v>
      </c>
      <c r="EQ14" s="229">
        <v>0.1118</v>
      </c>
      <c r="ER14" s="231">
        <v>85579</v>
      </c>
      <c r="ES14" s="231">
        <v>56308</v>
      </c>
      <c r="ET14" s="231">
        <v>186485</v>
      </c>
      <c r="EU14" s="231">
        <v>15524629</v>
      </c>
      <c r="EV14" s="231">
        <v>328371</v>
      </c>
      <c r="EW14" s="231">
        <v>335861</v>
      </c>
      <c r="EX14" s="231">
        <v>-7490</v>
      </c>
      <c r="EY14" s="229">
        <v>-2.23E-2</v>
      </c>
      <c r="EZ14" s="229">
        <v>0.2767</v>
      </c>
      <c r="FA14" s="227" t="s">
        <v>568</v>
      </c>
      <c r="FB14" s="161">
        <f t="shared" si="0"/>
        <v>53500</v>
      </c>
    </row>
    <row r="15" spans="1:158" ht="17.25" thickBot="1" x14ac:dyDescent="0.3">
      <c r="A15" s="226">
        <v>46093</v>
      </c>
      <c r="B15" s="227" t="s">
        <v>162</v>
      </c>
      <c r="C15" s="227" t="s">
        <v>167</v>
      </c>
      <c r="D15" s="228">
        <v>5000</v>
      </c>
      <c r="E15" s="228">
        <v>179.02</v>
      </c>
      <c r="F15" s="228">
        <v>185.47</v>
      </c>
      <c r="G15" s="228">
        <v>-6.45</v>
      </c>
      <c r="H15" s="229">
        <v>-3.4799999999999998E-2</v>
      </c>
      <c r="I15" s="228">
        <v>178.47</v>
      </c>
      <c r="J15" s="228">
        <v>184.66</v>
      </c>
      <c r="K15" s="228">
        <v>-6.19</v>
      </c>
      <c r="L15" s="229">
        <v>-3.3500000000000002E-2</v>
      </c>
      <c r="M15" s="228">
        <v>179.02</v>
      </c>
      <c r="N15" s="228">
        <v>185.47</v>
      </c>
      <c r="O15" s="228">
        <v>-6.45</v>
      </c>
      <c r="P15" s="229">
        <v>-3.4799999999999998E-2</v>
      </c>
      <c r="Q15" s="228">
        <v>178.33</v>
      </c>
      <c r="R15" s="228">
        <v>184.73</v>
      </c>
      <c r="S15" s="228">
        <v>-6.4</v>
      </c>
      <c r="T15" s="229">
        <v>-3.4599999999999999E-2</v>
      </c>
      <c r="U15" s="228">
        <v>178.24</v>
      </c>
      <c r="V15" s="228">
        <v>184.69</v>
      </c>
      <c r="W15" s="228">
        <v>-6.45</v>
      </c>
      <c r="X15" s="229">
        <v>-3.49E-2</v>
      </c>
      <c r="Y15" s="228">
        <v>0.55000000000000004</v>
      </c>
      <c r="Z15" s="228">
        <v>0.81</v>
      </c>
      <c r="AA15" s="228">
        <v>-0.26</v>
      </c>
      <c r="AB15" s="229">
        <v>3.0999999999999999E-3</v>
      </c>
      <c r="AC15" s="228">
        <v>0.55000000000000004</v>
      </c>
      <c r="AD15" s="228">
        <v>0.81</v>
      </c>
      <c r="AE15" s="228">
        <v>-0.26</v>
      </c>
      <c r="AF15" s="229">
        <v>3.0999999999999999E-3</v>
      </c>
      <c r="AG15" s="228">
        <v>-0.14000000000000001</v>
      </c>
      <c r="AH15" s="228">
        <v>7.0000000000000007E-2</v>
      </c>
      <c r="AI15" s="228">
        <v>-0.21</v>
      </c>
      <c r="AJ15" s="229">
        <v>-8.0000000000000004E-4</v>
      </c>
      <c r="AK15" s="228">
        <v>-0.23</v>
      </c>
      <c r="AL15" s="228">
        <v>0.03</v>
      </c>
      <c r="AM15" s="228">
        <v>-0.26</v>
      </c>
      <c r="AN15" s="229">
        <v>-1.2999999999999999E-3</v>
      </c>
      <c r="AO15" s="228">
        <v>179.67</v>
      </c>
      <c r="AP15" s="228">
        <v>178.97</v>
      </c>
      <c r="AQ15" s="228">
        <v>0</v>
      </c>
      <c r="AR15" s="230">
        <v>59940000</v>
      </c>
      <c r="AS15" s="230">
        <v>39320000</v>
      </c>
      <c r="AT15" s="230">
        <v>20620000</v>
      </c>
      <c r="AU15" s="229">
        <v>0.52439999999999998</v>
      </c>
      <c r="AV15" s="230">
        <v>54555000</v>
      </c>
      <c r="AW15" s="230">
        <v>33615000</v>
      </c>
      <c r="AX15" s="230">
        <v>20940000</v>
      </c>
      <c r="AY15" s="229">
        <v>0.62290000000000001</v>
      </c>
      <c r="AZ15" s="230">
        <v>4775000</v>
      </c>
      <c r="BA15" s="230">
        <v>5040000</v>
      </c>
      <c r="BB15" s="230">
        <v>-265000</v>
      </c>
      <c r="BC15" s="229">
        <v>-5.2600000000000001E-2</v>
      </c>
      <c r="BD15" s="230">
        <v>610000</v>
      </c>
      <c r="BE15" s="230">
        <v>665000</v>
      </c>
      <c r="BF15" s="230">
        <v>-55000</v>
      </c>
      <c r="BG15" s="229">
        <v>-8.2699999999999996E-2</v>
      </c>
      <c r="BH15" s="230">
        <v>132160000</v>
      </c>
      <c r="BI15" s="230">
        <v>80520000</v>
      </c>
      <c r="BJ15" s="230">
        <v>51640000</v>
      </c>
      <c r="BK15" s="229">
        <v>0.64129999999999998</v>
      </c>
      <c r="BL15" s="230">
        <v>89745000</v>
      </c>
      <c r="BM15" s="230">
        <v>50205000</v>
      </c>
      <c r="BN15" s="230">
        <v>39540000</v>
      </c>
      <c r="BO15" s="229">
        <v>0.78759999999999997</v>
      </c>
      <c r="BP15" s="230">
        <v>281845000</v>
      </c>
      <c r="BQ15" s="230">
        <v>170045000</v>
      </c>
      <c r="BR15" s="230">
        <v>111800000</v>
      </c>
      <c r="BS15" s="229">
        <v>0.65749999999999997</v>
      </c>
      <c r="BT15" s="230">
        <v>45992659</v>
      </c>
      <c r="BU15" s="230">
        <v>28875193</v>
      </c>
      <c r="BV15" s="230">
        <v>17117466</v>
      </c>
      <c r="BW15" s="229">
        <v>0.59279999999999999</v>
      </c>
      <c r="BX15" s="230">
        <v>160160000</v>
      </c>
      <c r="BY15" s="230">
        <v>157900000</v>
      </c>
      <c r="BZ15" s="230">
        <v>2260000</v>
      </c>
      <c r="CA15" s="229">
        <v>1.43E-2</v>
      </c>
      <c r="CB15" s="230">
        <v>148200000</v>
      </c>
      <c r="CC15" s="230">
        <v>147810000</v>
      </c>
      <c r="CD15" s="230">
        <v>390000</v>
      </c>
      <c r="CE15" s="229">
        <v>2.5999999999999999E-3</v>
      </c>
      <c r="CF15" s="230">
        <v>10730000</v>
      </c>
      <c r="CG15" s="230">
        <v>9165000</v>
      </c>
      <c r="CH15" s="230">
        <v>1565000</v>
      </c>
      <c r="CI15" s="229">
        <v>0.17080000000000001</v>
      </c>
      <c r="CJ15" s="230">
        <v>1230000</v>
      </c>
      <c r="CK15" s="230">
        <v>925000</v>
      </c>
      <c r="CL15" s="230">
        <v>305000</v>
      </c>
      <c r="CM15" s="229">
        <v>0.32969999999999999</v>
      </c>
      <c r="CN15" s="230">
        <v>78610000</v>
      </c>
      <c r="CO15" s="230">
        <v>73005000</v>
      </c>
      <c r="CP15" s="230">
        <v>5605000</v>
      </c>
      <c r="CQ15" s="229">
        <v>7.6799999999999993E-2</v>
      </c>
      <c r="CR15" s="230">
        <v>42305000</v>
      </c>
      <c r="CS15" s="230">
        <v>36295000</v>
      </c>
      <c r="CT15" s="230">
        <v>6010000</v>
      </c>
      <c r="CU15" s="229">
        <v>0.1656</v>
      </c>
      <c r="CV15" s="230">
        <v>281075000</v>
      </c>
      <c r="CW15" s="230">
        <v>267200000</v>
      </c>
      <c r="CX15" s="230">
        <v>13875000</v>
      </c>
      <c r="CY15" s="229">
        <v>5.1900000000000002E-2</v>
      </c>
      <c r="CZ15" s="228">
        <v>45.72</v>
      </c>
      <c r="DA15" s="228">
        <v>41.65</v>
      </c>
      <c r="DB15" s="228">
        <v>4.07</v>
      </c>
      <c r="DC15" s="228">
        <v>4.07</v>
      </c>
      <c r="DD15" s="228">
        <v>36.83</v>
      </c>
      <c r="DE15" s="228">
        <v>36.630000000000003</v>
      </c>
      <c r="DF15" s="228">
        <v>8.89</v>
      </c>
      <c r="DG15" s="228">
        <v>0.2</v>
      </c>
      <c r="DH15" s="228">
        <v>44.36</v>
      </c>
      <c r="DI15" s="228">
        <v>41.53</v>
      </c>
      <c r="DJ15" s="228">
        <v>2.83</v>
      </c>
      <c r="DK15" s="228">
        <v>2.83</v>
      </c>
      <c r="DL15" s="228">
        <v>47.73</v>
      </c>
      <c r="DM15" s="228">
        <v>41.85</v>
      </c>
      <c r="DN15" s="228">
        <v>5.88</v>
      </c>
      <c r="DO15" s="228">
        <v>5.88</v>
      </c>
      <c r="DP15" s="228">
        <v>0.54</v>
      </c>
      <c r="DQ15" s="228">
        <v>0.5</v>
      </c>
      <c r="DR15" s="228">
        <v>0.04</v>
      </c>
      <c r="DS15" s="229">
        <v>0.08</v>
      </c>
      <c r="DT15" s="228">
        <v>210</v>
      </c>
      <c r="DU15" s="228">
        <v>170</v>
      </c>
      <c r="DV15" s="228">
        <v>0.68</v>
      </c>
      <c r="DW15" s="228">
        <v>0.62</v>
      </c>
      <c r="DX15" s="228">
        <v>0.06</v>
      </c>
      <c r="DY15" s="229">
        <v>9.6799999999999997E-2</v>
      </c>
      <c r="DZ15" s="229">
        <v>7.4700000000000003E-2</v>
      </c>
      <c r="EA15" s="230">
        <v>10090000</v>
      </c>
      <c r="EB15" s="229">
        <v>-3.8999999999999998E-3</v>
      </c>
      <c r="EC15" s="229">
        <v>7.4700000000000003E-2</v>
      </c>
      <c r="ED15" s="228">
        <v>-0.7</v>
      </c>
      <c r="EE15" s="229">
        <v>-3.8999999999999998E-3</v>
      </c>
      <c r="EF15" s="230">
        <v>26424553</v>
      </c>
      <c r="EG15" s="230">
        <v>17823511</v>
      </c>
      <c r="EH15" s="229">
        <v>0.48259999999999997</v>
      </c>
      <c r="EI15" s="229">
        <v>0.57450000000000001</v>
      </c>
      <c r="EJ15" s="231">
        <v>263502.65000000002</v>
      </c>
      <c r="EK15" s="231">
        <v>158106.51</v>
      </c>
      <c r="EL15" s="231">
        <v>107655.22</v>
      </c>
      <c r="EM15" s="231">
        <v>6905</v>
      </c>
      <c r="EN15" s="231">
        <v>529264.38</v>
      </c>
      <c r="EO15" s="231">
        <v>335141.21999999997</v>
      </c>
      <c r="EP15" s="231">
        <v>194123.16</v>
      </c>
      <c r="EQ15" s="229">
        <v>0.57920000000000005</v>
      </c>
      <c r="ER15" s="231">
        <v>164802</v>
      </c>
      <c r="ES15" s="231">
        <v>78515</v>
      </c>
      <c r="ET15" s="231">
        <v>286635</v>
      </c>
      <c r="EU15" s="231">
        <v>423719104</v>
      </c>
      <c r="EV15" s="231">
        <v>529952</v>
      </c>
      <c r="EW15" s="231">
        <v>517050</v>
      </c>
      <c r="EX15" s="231">
        <v>12902</v>
      </c>
      <c r="EY15" s="229">
        <v>2.5000000000000001E-2</v>
      </c>
      <c r="EZ15" s="229">
        <v>0.66339999999999999</v>
      </c>
      <c r="FA15" s="227" t="s">
        <v>567</v>
      </c>
      <c r="FB15" s="161">
        <f t="shared" si="0"/>
        <v>11960000</v>
      </c>
    </row>
    <row r="16" spans="1:158" ht="17.25" thickBot="1" x14ac:dyDescent="0.3">
      <c r="A16" s="226">
        <v>46093</v>
      </c>
      <c r="B16" s="227" t="s">
        <v>168</v>
      </c>
      <c r="C16" s="227" t="s">
        <v>169</v>
      </c>
      <c r="D16" s="228">
        <v>250</v>
      </c>
      <c r="E16" s="231">
        <v>2226.6</v>
      </c>
      <c r="F16" s="231">
        <v>2234.4</v>
      </c>
      <c r="G16" s="228">
        <v>-7.8</v>
      </c>
      <c r="H16" s="229">
        <v>-3.5000000000000001E-3</v>
      </c>
      <c r="I16" s="231">
        <v>2221.1999999999998</v>
      </c>
      <c r="J16" s="231">
        <v>2232</v>
      </c>
      <c r="K16" s="228">
        <v>-10.8</v>
      </c>
      <c r="L16" s="229">
        <v>-4.7999999999999996E-3</v>
      </c>
      <c r="M16" s="231">
        <v>2226.6</v>
      </c>
      <c r="N16" s="231">
        <v>2234.4</v>
      </c>
      <c r="O16" s="228">
        <v>-7.8</v>
      </c>
      <c r="P16" s="229">
        <v>-3.5000000000000001E-3</v>
      </c>
      <c r="Q16" s="231">
        <v>2241.1</v>
      </c>
      <c r="R16" s="231">
        <v>2249.1999999999998</v>
      </c>
      <c r="S16" s="228">
        <v>-8.1</v>
      </c>
      <c r="T16" s="229">
        <v>-3.5999999999999999E-3</v>
      </c>
      <c r="U16" s="231">
        <v>2253</v>
      </c>
      <c r="V16" s="231">
        <v>2261.6999999999998</v>
      </c>
      <c r="W16" s="228">
        <v>-8.6999999999999993</v>
      </c>
      <c r="X16" s="229">
        <v>-3.8E-3</v>
      </c>
      <c r="Y16" s="228">
        <v>5.4</v>
      </c>
      <c r="Z16" s="228">
        <v>2.4</v>
      </c>
      <c r="AA16" s="228">
        <v>3</v>
      </c>
      <c r="AB16" s="229">
        <v>2.3999999999999998E-3</v>
      </c>
      <c r="AC16" s="228">
        <v>5.4</v>
      </c>
      <c r="AD16" s="228">
        <v>2.4</v>
      </c>
      <c r="AE16" s="228">
        <v>3</v>
      </c>
      <c r="AF16" s="229">
        <v>2.3999999999999998E-3</v>
      </c>
      <c r="AG16" s="228">
        <v>19.899999999999999</v>
      </c>
      <c r="AH16" s="228">
        <v>17.2</v>
      </c>
      <c r="AI16" s="228">
        <v>2.7</v>
      </c>
      <c r="AJ16" s="229">
        <v>8.9999999999999993E-3</v>
      </c>
      <c r="AK16" s="228">
        <v>31.8</v>
      </c>
      <c r="AL16" s="228">
        <v>29.7</v>
      </c>
      <c r="AM16" s="228">
        <v>2.1</v>
      </c>
      <c r="AN16" s="229">
        <v>1.43E-2</v>
      </c>
      <c r="AO16" s="231">
        <v>2232.75</v>
      </c>
      <c r="AP16" s="231">
        <v>2244.27</v>
      </c>
      <c r="AQ16" s="228">
        <v>0</v>
      </c>
      <c r="AR16" s="230">
        <v>1235000</v>
      </c>
      <c r="AS16" s="230">
        <v>1157250</v>
      </c>
      <c r="AT16" s="230">
        <v>77750</v>
      </c>
      <c r="AU16" s="229">
        <v>6.7199999999999996E-2</v>
      </c>
      <c r="AV16" s="230">
        <v>1148750</v>
      </c>
      <c r="AW16" s="230">
        <v>1064750</v>
      </c>
      <c r="AX16" s="230">
        <v>84000</v>
      </c>
      <c r="AY16" s="229">
        <v>7.8899999999999998E-2</v>
      </c>
      <c r="AZ16" s="230">
        <v>80500</v>
      </c>
      <c r="BA16" s="230">
        <v>79000</v>
      </c>
      <c r="BB16" s="230">
        <v>1500</v>
      </c>
      <c r="BC16" s="229">
        <v>1.9E-2</v>
      </c>
      <c r="BD16" s="230">
        <v>5750</v>
      </c>
      <c r="BE16" s="230">
        <v>13500</v>
      </c>
      <c r="BF16" s="230">
        <v>-7750</v>
      </c>
      <c r="BG16" s="229">
        <v>-0.57410000000000005</v>
      </c>
      <c r="BH16" s="230">
        <v>4753750</v>
      </c>
      <c r="BI16" s="230">
        <v>4683000</v>
      </c>
      <c r="BJ16" s="230">
        <v>70750</v>
      </c>
      <c r="BK16" s="229">
        <v>1.5100000000000001E-2</v>
      </c>
      <c r="BL16" s="230">
        <v>5004000</v>
      </c>
      <c r="BM16" s="230">
        <v>4492250</v>
      </c>
      <c r="BN16" s="230">
        <v>511750</v>
      </c>
      <c r="BO16" s="229">
        <v>0.1139</v>
      </c>
      <c r="BP16" s="230">
        <v>10992750</v>
      </c>
      <c r="BQ16" s="230">
        <v>10332500</v>
      </c>
      <c r="BR16" s="230">
        <v>660250</v>
      </c>
      <c r="BS16" s="229">
        <v>6.3899999999999998E-2</v>
      </c>
      <c r="BT16" s="230">
        <v>1554542</v>
      </c>
      <c r="BU16" s="230">
        <v>733292</v>
      </c>
      <c r="BV16" s="230">
        <v>821250</v>
      </c>
      <c r="BW16" s="229">
        <v>1.1198999999999999</v>
      </c>
      <c r="BX16" s="230">
        <v>13705500</v>
      </c>
      <c r="BY16" s="230">
        <v>13779250</v>
      </c>
      <c r="BZ16" s="230">
        <v>-73750</v>
      </c>
      <c r="CA16" s="229">
        <v>-5.4000000000000003E-3</v>
      </c>
      <c r="CB16" s="230">
        <v>13344500</v>
      </c>
      <c r="CC16" s="230">
        <v>13439500</v>
      </c>
      <c r="CD16" s="230">
        <v>-95000</v>
      </c>
      <c r="CE16" s="229">
        <v>-7.1000000000000004E-3</v>
      </c>
      <c r="CF16" s="230">
        <v>309500</v>
      </c>
      <c r="CG16" s="230">
        <v>288000</v>
      </c>
      <c r="CH16" s="230">
        <v>21500</v>
      </c>
      <c r="CI16" s="229">
        <v>7.4700000000000003E-2</v>
      </c>
      <c r="CJ16" s="230">
        <v>51500</v>
      </c>
      <c r="CK16" s="230">
        <v>51750</v>
      </c>
      <c r="CL16" s="228">
        <v>-250</v>
      </c>
      <c r="CM16" s="229">
        <v>-4.7999999999999996E-3</v>
      </c>
      <c r="CN16" s="230">
        <v>4964500</v>
      </c>
      <c r="CO16" s="230">
        <v>4609750</v>
      </c>
      <c r="CP16" s="230">
        <v>354750</v>
      </c>
      <c r="CQ16" s="229">
        <v>7.6999999999999999E-2</v>
      </c>
      <c r="CR16" s="230">
        <v>4674250</v>
      </c>
      <c r="CS16" s="230">
        <v>4527000</v>
      </c>
      <c r="CT16" s="230">
        <v>147250</v>
      </c>
      <c r="CU16" s="229">
        <v>3.2500000000000001E-2</v>
      </c>
      <c r="CV16" s="230">
        <v>23344250</v>
      </c>
      <c r="CW16" s="230">
        <v>22916000</v>
      </c>
      <c r="CX16" s="230">
        <v>428250</v>
      </c>
      <c r="CY16" s="229">
        <v>1.8700000000000001E-2</v>
      </c>
      <c r="CZ16" s="228">
        <v>32.880000000000003</v>
      </c>
      <c r="DA16" s="228">
        <v>32.93</v>
      </c>
      <c r="DB16" s="228">
        <v>-0.05</v>
      </c>
      <c r="DC16" s="228">
        <v>-0.05</v>
      </c>
      <c r="DD16" s="228">
        <v>26.66</v>
      </c>
      <c r="DE16" s="228">
        <v>26.72</v>
      </c>
      <c r="DF16" s="228">
        <v>6.22</v>
      </c>
      <c r="DG16" s="228">
        <v>-0.06</v>
      </c>
      <c r="DH16" s="228">
        <v>30.71</v>
      </c>
      <c r="DI16" s="228">
        <v>30.78</v>
      </c>
      <c r="DJ16" s="228">
        <v>-7.0000000000000007E-2</v>
      </c>
      <c r="DK16" s="228">
        <v>-7.0000000000000007E-2</v>
      </c>
      <c r="DL16" s="228">
        <v>34.950000000000003</v>
      </c>
      <c r="DM16" s="228">
        <v>35.17</v>
      </c>
      <c r="DN16" s="228">
        <v>-0.22</v>
      </c>
      <c r="DO16" s="228">
        <v>-0.22</v>
      </c>
      <c r="DP16" s="228">
        <v>0.94</v>
      </c>
      <c r="DQ16" s="228">
        <v>0.98</v>
      </c>
      <c r="DR16" s="228">
        <v>-0.04</v>
      </c>
      <c r="DS16" s="229">
        <v>-4.0800000000000003E-2</v>
      </c>
      <c r="DT16" s="231">
        <v>2500</v>
      </c>
      <c r="DU16" s="231">
        <v>2000</v>
      </c>
      <c r="DV16" s="228">
        <v>1.05</v>
      </c>
      <c r="DW16" s="228">
        <v>0.96</v>
      </c>
      <c r="DX16" s="228">
        <v>0.09</v>
      </c>
      <c r="DY16" s="229">
        <v>9.3799999999999994E-2</v>
      </c>
      <c r="DZ16" s="229">
        <v>2.63E-2</v>
      </c>
      <c r="EA16" s="230">
        <v>339750</v>
      </c>
      <c r="EB16" s="229">
        <v>6.4999999999999997E-3</v>
      </c>
      <c r="EC16" s="229">
        <v>2.63E-2</v>
      </c>
      <c r="ED16" s="228">
        <v>11.52</v>
      </c>
      <c r="EE16" s="229">
        <v>5.1999999999999998E-3</v>
      </c>
      <c r="EF16" s="230">
        <v>758873</v>
      </c>
      <c r="EG16" s="230">
        <v>372466</v>
      </c>
      <c r="EH16" s="229">
        <v>1.0374000000000001</v>
      </c>
      <c r="EI16" s="229">
        <v>0.48820000000000002</v>
      </c>
      <c r="EJ16" s="231">
        <v>112656.43</v>
      </c>
      <c r="EK16" s="231">
        <v>109766.33</v>
      </c>
      <c r="EL16" s="231">
        <v>27585.17</v>
      </c>
      <c r="EM16" s="231">
        <v>7076</v>
      </c>
      <c r="EN16" s="231">
        <v>250007.93</v>
      </c>
      <c r="EO16" s="231">
        <v>237719.63</v>
      </c>
      <c r="EP16" s="231">
        <v>12288.3</v>
      </c>
      <c r="EQ16" s="229">
        <v>5.1700000000000003E-2</v>
      </c>
      <c r="ER16" s="231">
        <v>121981</v>
      </c>
      <c r="ES16" s="231">
        <v>102346</v>
      </c>
      <c r="ET16" s="231">
        <v>305225</v>
      </c>
      <c r="EU16" s="231">
        <v>49389162</v>
      </c>
      <c r="EV16" s="231">
        <v>529551</v>
      </c>
      <c r="EW16" s="231">
        <v>520900</v>
      </c>
      <c r="EX16" s="231">
        <v>8651</v>
      </c>
      <c r="EY16" s="229">
        <v>1.66E-2</v>
      </c>
      <c r="EZ16" s="229">
        <v>0.47270000000000001</v>
      </c>
      <c r="FA16" s="227" t="s">
        <v>568</v>
      </c>
      <c r="FB16" s="161">
        <f t="shared" si="0"/>
        <v>361000</v>
      </c>
    </row>
    <row r="17" spans="1:158" ht="17.25" thickBot="1" x14ac:dyDescent="0.3">
      <c r="A17" s="226">
        <v>46093</v>
      </c>
      <c r="B17" s="227" t="s">
        <v>184</v>
      </c>
      <c r="C17" s="227" t="s">
        <v>503</v>
      </c>
      <c r="D17" s="228">
        <v>425</v>
      </c>
      <c r="E17" s="231">
        <v>1660.4</v>
      </c>
      <c r="F17" s="231">
        <v>1652.3</v>
      </c>
      <c r="G17" s="228">
        <v>8.1</v>
      </c>
      <c r="H17" s="229">
        <v>4.8999999999999998E-3</v>
      </c>
      <c r="I17" s="231">
        <v>1696</v>
      </c>
      <c r="J17" s="231">
        <v>1746.3</v>
      </c>
      <c r="K17" s="228">
        <v>-50.3</v>
      </c>
      <c r="L17" s="229">
        <v>-2.8799999999999999E-2</v>
      </c>
      <c r="M17" s="231">
        <v>1660.4</v>
      </c>
      <c r="N17" s="231">
        <v>1652.3</v>
      </c>
      <c r="O17" s="228">
        <v>8.1</v>
      </c>
      <c r="P17" s="229">
        <v>4.8999999999999998E-3</v>
      </c>
      <c r="Q17" s="231">
        <v>1625.7</v>
      </c>
      <c r="R17" s="231">
        <v>1618.2</v>
      </c>
      <c r="S17" s="228">
        <v>7.5</v>
      </c>
      <c r="T17" s="229">
        <v>4.5999999999999999E-3</v>
      </c>
      <c r="U17" s="231">
        <v>1610.8</v>
      </c>
      <c r="V17" s="231">
        <v>1598.2</v>
      </c>
      <c r="W17" s="228">
        <v>12.6</v>
      </c>
      <c r="X17" s="229">
        <v>7.9000000000000008E-3</v>
      </c>
      <c r="Y17" s="228">
        <v>-35.6</v>
      </c>
      <c r="Z17" s="228">
        <v>-94</v>
      </c>
      <c r="AA17" s="228">
        <v>58.4</v>
      </c>
      <c r="AB17" s="229">
        <v>-2.1000000000000001E-2</v>
      </c>
      <c r="AC17" s="228">
        <v>-35.6</v>
      </c>
      <c r="AD17" s="228">
        <v>-94</v>
      </c>
      <c r="AE17" s="228">
        <v>58.4</v>
      </c>
      <c r="AF17" s="229">
        <v>-2.1000000000000001E-2</v>
      </c>
      <c r="AG17" s="228">
        <v>-70.3</v>
      </c>
      <c r="AH17" s="228">
        <v>-128.1</v>
      </c>
      <c r="AI17" s="228">
        <v>57.8</v>
      </c>
      <c r="AJ17" s="229">
        <v>-4.1500000000000002E-2</v>
      </c>
      <c r="AK17" s="228">
        <v>-85.2</v>
      </c>
      <c r="AL17" s="228">
        <v>-148.1</v>
      </c>
      <c r="AM17" s="228">
        <v>62.9</v>
      </c>
      <c r="AN17" s="229">
        <v>-5.0200000000000002E-2</v>
      </c>
      <c r="AO17" s="231">
        <v>1639.87</v>
      </c>
      <c r="AP17" s="231">
        <v>1616.64</v>
      </c>
      <c r="AQ17" s="228">
        <v>0</v>
      </c>
      <c r="AR17" s="230">
        <v>2857275</v>
      </c>
      <c r="AS17" s="230">
        <v>5341825</v>
      </c>
      <c r="AT17" s="230">
        <v>-2484550</v>
      </c>
      <c r="AU17" s="229">
        <v>-0.46510000000000001</v>
      </c>
      <c r="AV17" s="230">
        <v>2340900</v>
      </c>
      <c r="AW17" s="230">
        <v>4363475</v>
      </c>
      <c r="AX17" s="230">
        <v>-2022575</v>
      </c>
      <c r="AY17" s="229">
        <v>-0.46350000000000002</v>
      </c>
      <c r="AZ17" s="230">
        <v>494700</v>
      </c>
      <c r="BA17" s="230">
        <v>948600</v>
      </c>
      <c r="BB17" s="230">
        <v>-453900</v>
      </c>
      <c r="BC17" s="229">
        <v>-0.47849999999999998</v>
      </c>
      <c r="BD17" s="230">
        <v>21675</v>
      </c>
      <c r="BE17" s="230">
        <v>29750</v>
      </c>
      <c r="BF17" s="230">
        <v>-8075</v>
      </c>
      <c r="BG17" s="229">
        <v>-0.27139999999999997</v>
      </c>
      <c r="BH17" s="230">
        <v>11889375</v>
      </c>
      <c r="BI17" s="230">
        <v>25873150</v>
      </c>
      <c r="BJ17" s="230">
        <v>-13983775</v>
      </c>
      <c r="BK17" s="229">
        <v>-0.54049999999999998</v>
      </c>
      <c r="BL17" s="230">
        <v>8465150</v>
      </c>
      <c r="BM17" s="230">
        <v>5859475</v>
      </c>
      <c r="BN17" s="230">
        <v>2605675</v>
      </c>
      <c r="BO17" s="229">
        <v>0.44469999999999998</v>
      </c>
      <c r="BP17" s="230">
        <v>23211800</v>
      </c>
      <c r="BQ17" s="230">
        <v>37074450</v>
      </c>
      <c r="BR17" s="230">
        <v>-13862650</v>
      </c>
      <c r="BS17" s="229">
        <v>-0.37390000000000001</v>
      </c>
      <c r="BT17" s="230">
        <v>1729485</v>
      </c>
      <c r="BU17" s="230">
        <v>2966136</v>
      </c>
      <c r="BV17" s="230">
        <v>-1236651</v>
      </c>
      <c r="BW17" s="229">
        <v>-0.41689999999999999</v>
      </c>
      <c r="BX17" s="230">
        <v>11535350</v>
      </c>
      <c r="BY17" s="230">
        <v>11224250</v>
      </c>
      <c r="BZ17" s="230">
        <v>311100</v>
      </c>
      <c r="CA17" s="229">
        <v>2.7699999999999999E-2</v>
      </c>
      <c r="CB17" s="230">
        <v>10247600</v>
      </c>
      <c r="CC17" s="230">
        <v>10068250</v>
      </c>
      <c r="CD17" s="230">
        <v>179350</v>
      </c>
      <c r="CE17" s="229">
        <v>1.78E-2</v>
      </c>
      <c r="CF17" s="230">
        <v>1245250</v>
      </c>
      <c r="CG17" s="230">
        <v>1118600</v>
      </c>
      <c r="CH17" s="230">
        <v>126650</v>
      </c>
      <c r="CI17" s="229">
        <v>0.1132</v>
      </c>
      <c r="CJ17" s="230">
        <v>42500</v>
      </c>
      <c r="CK17" s="230">
        <v>37400</v>
      </c>
      <c r="CL17" s="230">
        <v>5100</v>
      </c>
      <c r="CM17" s="229">
        <v>0.13639999999999999</v>
      </c>
      <c r="CN17" s="230">
        <v>3007300</v>
      </c>
      <c r="CO17" s="230">
        <v>3749350</v>
      </c>
      <c r="CP17" s="230">
        <v>-742050</v>
      </c>
      <c r="CQ17" s="229">
        <v>-0.19789999999999999</v>
      </c>
      <c r="CR17" s="230">
        <v>1720400</v>
      </c>
      <c r="CS17" s="230">
        <v>1833450</v>
      </c>
      <c r="CT17" s="230">
        <v>-113050</v>
      </c>
      <c r="CU17" s="229">
        <v>-6.1699999999999998E-2</v>
      </c>
      <c r="CV17" s="230">
        <v>16263050</v>
      </c>
      <c r="CW17" s="230">
        <v>16807050</v>
      </c>
      <c r="CX17" s="230">
        <v>-544000</v>
      </c>
      <c r="CY17" s="229">
        <v>-3.2399999999999998E-2</v>
      </c>
      <c r="CZ17" s="228">
        <v>34.79</v>
      </c>
      <c r="DA17" s="228">
        <v>36.049999999999997</v>
      </c>
      <c r="DB17" s="228">
        <v>-1.26</v>
      </c>
      <c r="DC17" s="228">
        <v>-1.26</v>
      </c>
      <c r="DD17" s="228">
        <v>34.71</v>
      </c>
      <c r="DE17" s="228">
        <v>34.57</v>
      </c>
      <c r="DF17" s="228">
        <v>0.08</v>
      </c>
      <c r="DG17" s="228">
        <v>0.14000000000000001</v>
      </c>
      <c r="DH17" s="228">
        <v>33.51</v>
      </c>
      <c r="DI17" s="228">
        <v>36.159999999999997</v>
      </c>
      <c r="DJ17" s="228">
        <v>-2.65</v>
      </c>
      <c r="DK17" s="228">
        <v>-2.65</v>
      </c>
      <c r="DL17" s="228">
        <v>36.590000000000003</v>
      </c>
      <c r="DM17" s="228">
        <v>35.58</v>
      </c>
      <c r="DN17" s="228">
        <v>1.01</v>
      </c>
      <c r="DO17" s="228">
        <v>1.01</v>
      </c>
      <c r="DP17" s="228">
        <v>0.56999999999999995</v>
      </c>
      <c r="DQ17" s="228">
        <v>0.49</v>
      </c>
      <c r="DR17" s="228">
        <v>0.08</v>
      </c>
      <c r="DS17" s="229">
        <v>0.1633</v>
      </c>
      <c r="DT17" s="231">
        <v>1700</v>
      </c>
      <c r="DU17" s="231">
        <v>1600</v>
      </c>
      <c r="DV17" s="228">
        <v>0.71</v>
      </c>
      <c r="DW17" s="228">
        <v>0.23</v>
      </c>
      <c r="DX17" s="228">
        <v>0.48</v>
      </c>
      <c r="DY17" s="229">
        <v>2.0870000000000002</v>
      </c>
      <c r="DZ17" s="229">
        <v>0.1116</v>
      </c>
      <c r="EA17" s="230">
        <v>1156000</v>
      </c>
      <c r="EB17" s="229">
        <v>-2.0899999999999998E-2</v>
      </c>
      <c r="EC17" s="229">
        <v>0.1116</v>
      </c>
      <c r="ED17" s="228">
        <v>-23.23</v>
      </c>
      <c r="EE17" s="229">
        <v>-1.4200000000000001E-2</v>
      </c>
      <c r="EF17" s="230">
        <v>581618</v>
      </c>
      <c r="EG17" s="230">
        <v>1047550</v>
      </c>
      <c r="EH17" s="229">
        <v>-0.44479999999999997</v>
      </c>
      <c r="EI17" s="229">
        <v>0.33629999999999999</v>
      </c>
      <c r="EJ17" s="231">
        <v>208498.37</v>
      </c>
      <c r="EK17" s="231">
        <v>138592.84</v>
      </c>
      <c r="EL17" s="231">
        <v>46732.5</v>
      </c>
      <c r="EM17" s="231">
        <v>6231</v>
      </c>
      <c r="EN17" s="231">
        <v>393823.71</v>
      </c>
      <c r="EO17" s="231">
        <v>643726.71</v>
      </c>
      <c r="EP17" s="231">
        <v>-249903</v>
      </c>
      <c r="EQ17" s="229">
        <v>-0.38819999999999999</v>
      </c>
      <c r="ER17" s="231">
        <v>51934</v>
      </c>
      <c r="ES17" s="231">
        <v>27109</v>
      </c>
      <c r="ET17" s="231">
        <v>191080</v>
      </c>
      <c r="EU17" s="231">
        <v>18450534</v>
      </c>
      <c r="EV17" s="231">
        <v>270123</v>
      </c>
      <c r="EW17" s="231">
        <v>279284</v>
      </c>
      <c r="EX17" s="231">
        <v>-9161</v>
      </c>
      <c r="EY17" s="229">
        <v>-3.2800000000000003E-2</v>
      </c>
      <c r="EZ17" s="229">
        <v>0.88139999999999996</v>
      </c>
      <c r="FA17" s="227" t="s">
        <v>555</v>
      </c>
      <c r="FB17" s="161">
        <f t="shared" si="0"/>
        <v>1287750</v>
      </c>
    </row>
    <row r="18" spans="1:158" ht="17.25" thickBot="1" x14ac:dyDescent="0.3">
      <c r="A18" s="226">
        <v>46093</v>
      </c>
      <c r="B18" s="227" t="s">
        <v>172</v>
      </c>
      <c r="C18" s="227" t="s">
        <v>495</v>
      </c>
      <c r="D18" s="228">
        <v>1000</v>
      </c>
      <c r="E18" s="228">
        <v>906</v>
      </c>
      <c r="F18" s="228">
        <v>918.6</v>
      </c>
      <c r="G18" s="228">
        <v>-12.6</v>
      </c>
      <c r="H18" s="229">
        <v>-1.37E-2</v>
      </c>
      <c r="I18" s="228">
        <v>902.2</v>
      </c>
      <c r="J18" s="228">
        <v>918.4</v>
      </c>
      <c r="K18" s="228">
        <v>-16.2</v>
      </c>
      <c r="L18" s="229">
        <v>-1.7600000000000001E-2</v>
      </c>
      <c r="M18" s="228">
        <v>906</v>
      </c>
      <c r="N18" s="228">
        <v>918.6</v>
      </c>
      <c r="O18" s="228">
        <v>-12.6</v>
      </c>
      <c r="P18" s="229">
        <v>-1.37E-2</v>
      </c>
      <c r="Q18" s="228">
        <v>911.8</v>
      </c>
      <c r="R18" s="228">
        <v>924.3</v>
      </c>
      <c r="S18" s="228">
        <v>-12.5</v>
      </c>
      <c r="T18" s="229">
        <v>-1.35E-2</v>
      </c>
      <c r="U18" s="228">
        <v>915.5</v>
      </c>
      <c r="V18" s="228">
        <v>928.75</v>
      </c>
      <c r="W18" s="228">
        <v>-13.25</v>
      </c>
      <c r="X18" s="229">
        <v>-1.43E-2</v>
      </c>
      <c r="Y18" s="228">
        <v>3.8</v>
      </c>
      <c r="Z18" s="228">
        <v>0.2</v>
      </c>
      <c r="AA18" s="228">
        <v>3.6</v>
      </c>
      <c r="AB18" s="229">
        <v>4.1999999999999997E-3</v>
      </c>
      <c r="AC18" s="228">
        <v>3.8</v>
      </c>
      <c r="AD18" s="228">
        <v>0.2</v>
      </c>
      <c r="AE18" s="228">
        <v>3.6</v>
      </c>
      <c r="AF18" s="229">
        <v>4.1999999999999997E-3</v>
      </c>
      <c r="AG18" s="228">
        <v>9.6</v>
      </c>
      <c r="AH18" s="228">
        <v>5.9</v>
      </c>
      <c r="AI18" s="228">
        <v>3.7</v>
      </c>
      <c r="AJ18" s="229">
        <v>1.06E-2</v>
      </c>
      <c r="AK18" s="228">
        <v>13.3</v>
      </c>
      <c r="AL18" s="228">
        <v>10.35</v>
      </c>
      <c r="AM18" s="228">
        <v>2.95</v>
      </c>
      <c r="AN18" s="229">
        <v>1.47E-2</v>
      </c>
      <c r="AO18" s="228">
        <v>908.68</v>
      </c>
      <c r="AP18" s="228">
        <v>914.23</v>
      </c>
      <c r="AQ18" s="228">
        <v>0</v>
      </c>
      <c r="AR18" s="230">
        <v>4204000</v>
      </c>
      <c r="AS18" s="230">
        <v>3698000</v>
      </c>
      <c r="AT18" s="230">
        <v>506000</v>
      </c>
      <c r="AU18" s="229">
        <v>0.1368</v>
      </c>
      <c r="AV18" s="230">
        <v>3865000</v>
      </c>
      <c r="AW18" s="230">
        <v>3223000</v>
      </c>
      <c r="AX18" s="230">
        <v>642000</v>
      </c>
      <c r="AY18" s="229">
        <v>0.19919999999999999</v>
      </c>
      <c r="AZ18" s="230">
        <v>287000</v>
      </c>
      <c r="BA18" s="230">
        <v>401000</v>
      </c>
      <c r="BB18" s="230">
        <v>-114000</v>
      </c>
      <c r="BC18" s="229">
        <v>-0.2843</v>
      </c>
      <c r="BD18" s="230">
        <v>52000</v>
      </c>
      <c r="BE18" s="230">
        <v>74000</v>
      </c>
      <c r="BF18" s="230">
        <v>-22000</v>
      </c>
      <c r="BG18" s="229">
        <v>-0.29730000000000001</v>
      </c>
      <c r="BH18" s="230">
        <v>8406000</v>
      </c>
      <c r="BI18" s="230">
        <v>8198000</v>
      </c>
      <c r="BJ18" s="230">
        <v>208000</v>
      </c>
      <c r="BK18" s="229">
        <v>2.5399999999999999E-2</v>
      </c>
      <c r="BL18" s="230">
        <v>6227000</v>
      </c>
      <c r="BM18" s="230">
        <v>6961000</v>
      </c>
      <c r="BN18" s="230">
        <v>-734000</v>
      </c>
      <c r="BO18" s="229">
        <v>-0.10539999999999999</v>
      </c>
      <c r="BP18" s="230">
        <v>18837000</v>
      </c>
      <c r="BQ18" s="230">
        <v>18857000</v>
      </c>
      <c r="BR18" s="230">
        <v>-20000</v>
      </c>
      <c r="BS18" s="229">
        <v>-1.1000000000000001E-3</v>
      </c>
      <c r="BT18" s="230">
        <v>1853723</v>
      </c>
      <c r="BU18" s="230">
        <v>1697884</v>
      </c>
      <c r="BV18" s="230">
        <v>155839</v>
      </c>
      <c r="BW18" s="229">
        <v>9.1800000000000007E-2</v>
      </c>
      <c r="BX18" s="230">
        <v>25278000</v>
      </c>
      <c r="BY18" s="230">
        <v>24690000</v>
      </c>
      <c r="BZ18" s="230">
        <v>588000</v>
      </c>
      <c r="CA18" s="229">
        <v>2.3800000000000002E-2</v>
      </c>
      <c r="CB18" s="230">
        <v>24224000</v>
      </c>
      <c r="CC18" s="230">
        <v>23747000</v>
      </c>
      <c r="CD18" s="230">
        <v>477000</v>
      </c>
      <c r="CE18" s="229">
        <v>2.01E-2</v>
      </c>
      <c r="CF18" s="230">
        <v>931000</v>
      </c>
      <c r="CG18" s="230">
        <v>845000</v>
      </c>
      <c r="CH18" s="230">
        <v>86000</v>
      </c>
      <c r="CI18" s="229">
        <v>0.1018</v>
      </c>
      <c r="CJ18" s="230">
        <v>123000</v>
      </c>
      <c r="CK18" s="230">
        <v>98000</v>
      </c>
      <c r="CL18" s="230">
        <v>25000</v>
      </c>
      <c r="CM18" s="229">
        <v>0.25509999999999999</v>
      </c>
      <c r="CN18" s="230">
        <v>9541000</v>
      </c>
      <c r="CO18" s="230">
        <v>9087000</v>
      </c>
      <c r="CP18" s="230">
        <v>454000</v>
      </c>
      <c r="CQ18" s="229">
        <v>0.05</v>
      </c>
      <c r="CR18" s="230">
        <v>5827000</v>
      </c>
      <c r="CS18" s="230">
        <v>5923000</v>
      </c>
      <c r="CT18" s="230">
        <v>-96000</v>
      </c>
      <c r="CU18" s="229">
        <v>-1.6199999999999999E-2</v>
      </c>
      <c r="CV18" s="230">
        <v>40646000</v>
      </c>
      <c r="CW18" s="230">
        <v>39700000</v>
      </c>
      <c r="CX18" s="230">
        <v>946000</v>
      </c>
      <c r="CY18" s="229">
        <v>2.3800000000000002E-2</v>
      </c>
      <c r="CZ18" s="228">
        <v>32.32</v>
      </c>
      <c r="DA18" s="228">
        <v>32.42</v>
      </c>
      <c r="DB18" s="228">
        <v>-0.1</v>
      </c>
      <c r="DC18" s="228">
        <v>-0.1</v>
      </c>
      <c r="DD18" s="228">
        <v>35.04</v>
      </c>
      <c r="DE18" s="228">
        <v>35.04</v>
      </c>
      <c r="DF18" s="228">
        <v>-2.72</v>
      </c>
      <c r="DG18" s="228">
        <v>0</v>
      </c>
      <c r="DH18" s="228">
        <v>31.86</v>
      </c>
      <c r="DI18" s="228">
        <v>31.83</v>
      </c>
      <c r="DJ18" s="228">
        <v>0.03</v>
      </c>
      <c r="DK18" s="228">
        <v>0.03</v>
      </c>
      <c r="DL18" s="228">
        <v>32.93</v>
      </c>
      <c r="DM18" s="228">
        <v>33.130000000000003</v>
      </c>
      <c r="DN18" s="228">
        <v>-0.2</v>
      </c>
      <c r="DO18" s="228">
        <v>-0.2</v>
      </c>
      <c r="DP18" s="228">
        <v>0.61</v>
      </c>
      <c r="DQ18" s="228">
        <v>0.65</v>
      </c>
      <c r="DR18" s="228">
        <v>-0.04</v>
      </c>
      <c r="DS18" s="229">
        <v>-6.1499999999999999E-2</v>
      </c>
      <c r="DT18" s="231">
        <v>1000</v>
      </c>
      <c r="DU18" s="228">
        <v>900</v>
      </c>
      <c r="DV18" s="228">
        <v>0.74</v>
      </c>
      <c r="DW18" s="228">
        <v>0.85</v>
      </c>
      <c r="DX18" s="228">
        <v>-0.11</v>
      </c>
      <c r="DY18" s="229">
        <v>-0.12939999999999999</v>
      </c>
      <c r="DZ18" s="229">
        <v>4.1700000000000001E-2</v>
      </c>
      <c r="EA18" s="230">
        <v>943000</v>
      </c>
      <c r="EB18" s="229">
        <v>6.4000000000000003E-3</v>
      </c>
      <c r="EC18" s="229">
        <v>4.1700000000000001E-2</v>
      </c>
      <c r="ED18" s="228">
        <v>5.55</v>
      </c>
      <c r="EE18" s="229">
        <v>6.1000000000000004E-3</v>
      </c>
      <c r="EF18" s="230">
        <v>1112825</v>
      </c>
      <c r="EG18" s="230">
        <v>941467</v>
      </c>
      <c r="EH18" s="229">
        <v>0.182</v>
      </c>
      <c r="EI18" s="229">
        <v>0.60029999999999994</v>
      </c>
      <c r="EJ18" s="231">
        <v>81414.7</v>
      </c>
      <c r="EK18" s="231">
        <v>56897.599999999999</v>
      </c>
      <c r="EL18" s="231">
        <v>38221.46</v>
      </c>
      <c r="EM18" s="231">
        <v>4635</v>
      </c>
      <c r="EN18" s="231">
        <v>176533.76000000001</v>
      </c>
      <c r="EO18" s="231">
        <v>180097.63</v>
      </c>
      <c r="EP18" s="231">
        <v>-3563.87</v>
      </c>
      <c r="EQ18" s="229">
        <v>-1.9800000000000002E-2</v>
      </c>
      <c r="ER18" s="231">
        <v>94846</v>
      </c>
      <c r="ES18" s="231">
        <v>53858</v>
      </c>
      <c r="ET18" s="231">
        <v>229084</v>
      </c>
      <c r="EU18" s="231">
        <v>86371921</v>
      </c>
      <c r="EV18" s="231">
        <v>377788</v>
      </c>
      <c r="EW18" s="231">
        <v>372682</v>
      </c>
      <c r="EX18" s="231">
        <v>5106</v>
      </c>
      <c r="EY18" s="229">
        <v>1.37E-2</v>
      </c>
      <c r="EZ18" s="229">
        <v>0.47060000000000002</v>
      </c>
      <c r="FA18" s="227" t="s">
        <v>567</v>
      </c>
      <c r="FB18" s="161">
        <f t="shared" si="0"/>
        <v>1054000</v>
      </c>
    </row>
    <row r="19" spans="1:158" ht="17.25" thickBot="1" x14ac:dyDescent="0.3">
      <c r="A19" s="226">
        <v>46093</v>
      </c>
      <c r="B19" s="227" t="s">
        <v>170</v>
      </c>
      <c r="C19" s="227" t="s">
        <v>171</v>
      </c>
      <c r="D19" s="228">
        <v>550</v>
      </c>
      <c r="E19" s="231">
        <v>1313.2</v>
      </c>
      <c r="F19" s="231">
        <v>1306.5</v>
      </c>
      <c r="G19" s="228">
        <v>6.7</v>
      </c>
      <c r="H19" s="229">
        <v>5.1000000000000004E-3</v>
      </c>
      <c r="I19" s="231">
        <v>1311.9</v>
      </c>
      <c r="J19" s="231">
        <v>1304.8</v>
      </c>
      <c r="K19" s="228">
        <v>7.1</v>
      </c>
      <c r="L19" s="229">
        <v>5.4000000000000003E-3</v>
      </c>
      <c r="M19" s="231">
        <v>1313.2</v>
      </c>
      <c r="N19" s="231">
        <v>1306.5</v>
      </c>
      <c r="O19" s="228">
        <v>6.7</v>
      </c>
      <c r="P19" s="229">
        <v>5.1000000000000004E-3</v>
      </c>
      <c r="Q19" s="231">
        <v>1320.2</v>
      </c>
      <c r="R19" s="231">
        <v>1314.2</v>
      </c>
      <c r="S19" s="228">
        <v>6</v>
      </c>
      <c r="T19" s="229">
        <v>4.5999999999999999E-3</v>
      </c>
      <c r="U19" s="231">
        <v>1327.8</v>
      </c>
      <c r="V19" s="231">
        <v>1328</v>
      </c>
      <c r="W19" s="228">
        <v>-0.2</v>
      </c>
      <c r="X19" s="229">
        <v>-2.0000000000000001E-4</v>
      </c>
      <c r="Y19" s="228">
        <v>1.3</v>
      </c>
      <c r="Z19" s="228">
        <v>1.7</v>
      </c>
      <c r="AA19" s="228">
        <v>-0.4</v>
      </c>
      <c r="AB19" s="229">
        <v>1E-3</v>
      </c>
      <c r="AC19" s="228">
        <v>1.3</v>
      </c>
      <c r="AD19" s="228">
        <v>1.7</v>
      </c>
      <c r="AE19" s="228">
        <v>-0.4</v>
      </c>
      <c r="AF19" s="229">
        <v>1E-3</v>
      </c>
      <c r="AG19" s="228">
        <v>8.3000000000000007</v>
      </c>
      <c r="AH19" s="228">
        <v>9.4</v>
      </c>
      <c r="AI19" s="228">
        <v>-1.1000000000000001</v>
      </c>
      <c r="AJ19" s="229">
        <v>6.3E-3</v>
      </c>
      <c r="AK19" s="228">
        <v>15.9</v>
      </c>
      <c r="AL19" s="228">
        <v>23.2</v>
      </c>
      <c r="AM19" s="228">
        <v>-7.3</v>
      </c>
      <c r="AN19" s="229">
        <v>1.21E-2</v>
      </c>
      <c r="AO19" s="231">
        <v>1307</v>
      </c>
      <c r="AP19" s="231">
        <v>1317.21</v>
      </c>
      <c r="AQ19" s="228">
        <v>0</v>
      </c>
      <c r="AR19" s="230">
        <v>3731200</v>
      </c>
      <c r="AS19" s="230">
        <v>4076050</v>
      </c>
      <c r="AT19" s="230">
        <v>-344850</v>
      </c>
      <c r="AU19" s="229">
        <v>-8.4599999999999995E-2</v>
      </c>
      <c r="AV19" s="230">
        <v>3583250</v>
      </c>
      <c r="AW19" s="230">
        <v>3775750</v>
      </c>
      <c r="AX19" s="230">
        <v>-192500</v>
      </c>
      <c r="AY19" s="229">
        <v>-5.0999999999999997E-2</v>
      </c>
      <c r="AZ19" s="230">
        <v>144100</v>
      </c>
      <c r="BA19" s="230">
        <v>292600</v>
      </c>
      <c r="BB19" s="230">
        <v>-148500</v>
      </c>
      <c r="BC19" s="229">
        <v>-0.50749999999999995</v>
      </c>
      <c r="BD19" s="230">
        <v>3850</v>
      </c>
      <c r="BE19" s="230">
        <v>7700</v>
      </c>
      <c r="BF19" s="230">
        <v>-3850</v>
      </c>
      <c r="BG19" s="229">
        <v>-0.5</v>
      </c>
      <c r="BH19" s="230">
        <v>10954900</v>
      </c>
      <c r="BI19" s="230">
        <v>15452250</v>
      </c>
      <c r="BJ19" s="230">
        <v>-4497350</v>
      </c>
      <c r="BK19" s="229">
        <v>-0.29099999999999998</v>
      </c>
      <c r="BL19" s="230">
        <v>9132200</v>
      </c>
      <c r="BM19" s="230">
        <v>5701300</v>
      </c>
      <c r="BN19" s="230">
        <v>3430900</v>
      </c>
      <c r="BO19" s="229">
        <v>0.6018</v>
      </c>
      <c r="BP19" s="230">
        <v>23818300</v>
      </c>
      <c r="BQ19" s="230">
        <v>25229600</v>
      </c>
      <c r="BR19" s="230">
        <v>-1411300</v>
      </c>
      <c r="BS19" s="229">
        <v>-5.5899999999999998E-2</v>
      </c>
      <c r="BT19" s="230">
        <v>2189295</v>
      </c>
      <c r="BU19" s="230">
        <v>2582023</v>
      </c>
      <c r="BV19" s="230">
        <v>-392728</v>
      </c>
      <c r="BW19" s="229">
        <v>-0.15210000000000001</v>
      </c>
      <c r="BX19" s="230">
        <v>22119350</v>
      </c>
      <c r="BY19" s="230">
        <v>22617650</v>
      </c>
      <c r="BZ19" s="230">
        <v>-498300</v>
      </c>
      <c r="CA19" s="229">
        <v>-2.1999999999999999E-2</v>
      </c>
      <c r="CB19" s="230">
        <v>21852600</v>
      </c>
      <c r="CC19" s="230">
        <v>22337700</v>
      </c>
      <c r="CD19" s="230">
        <v>-485100</v>
      </c>
      <c r="CE19" s="229">
        <v>-2.1700000000000001E-2</v>
      </c>
      <c r="CF19" s="230">
        <v>248050</v>
      </c>
      <c r="CG19" s="230">
        <v>262350</v>
      </c>
      <c r="CH19" s="230">
        <v>-14300</v>
      </c>
      <c r="CI19" s="229">
        <v>-5.45E-2</v>
      </c>
      <c r="CJ19" s="230">
        <v>18700</v>
      </c>
      <c r="CK19" s="230">
        <v>17600</v>
      </c>
      <c r="CL19" s="230">
        <v>1100</v>
      </c>
      <c r="CM19" s="229">
        <v>6.25E-2</v>
      </c>
      <c r="CN19" s="230">
        <v>5800850</v>
      </c>
      <c r="CO19" s="230">
        <v>5325650</v>
      </c>
      <c r="CP19" s="230">
        <v>475200</v>
      </c>
      <c r="CQ19" s="229">
        <v>8.9200000000000002E-2</v>
      </c>
      <c r="CR19" s="230">
        <v>5369100</v>
      </c>
      <c r="CS19" s="230">
        <v>4554550</v>
      </c>
      <c r="CT19" s="230">
        <v>814550</v>
      </c>
      <c r="CU19" s="229">
        <v>0.17879999999999999</v>
      </c>
      <c r="CV19" s="230">
        <v>33289300</v>
      </c>
      <c r="CW19" s="230">
        <v>32497850</v>
      </c>
      <c r="CX19" s="230">
        <v>791450</v>
      </c>
      <c r="CY19" s="229">
        <v>2.4400000000000002E-2</v>
      </c>
      <c r="CZ19" s="228">
        <v>33.74</v>
      </c>
      <c r="DA19" s="228">
        <v>31.91</v>
      </c>
      <c r="DB19" s="228">
        <v>1.83</v>
      </c>
      <c r="DC19" s="228">
        <v>1.83</v>
      </c>
      <c r="DD19" s="228">
        <v>34.01</v>
      </c>
      <c r="DE19" s="228">
        <v>34.090000000000003</v>
      </c>
      <c r="DF19" s="228">
        <v>-0.27</v>
      </c>
      <c r="DG19" s="228">
        <v>-0.08</v>
      </c>
      <c r="DH19" s="228">
        <v>32.53</v>
      </c>
      <c r="DI19" s="228">
        <v>31.42</v>
      </c>
      <c r="DJ19" s="228">
        <v>1.1100000000000001</v>
      </c>
      <c r="DK19" s="228">
        <v>1.1100000000000001</v>
      </c>
      <c r="DL19" s="228">
        <v>35.19</v>
      </c>
      <c r="DM19" s="228">
        <v>33.26</v>
      </c>
      <c r="DN19" s="228">
        <v>1.93</v>
      </c>
      <c r="DO19" s="228">
        <v>1.93</v>
      </c>
      <c r="DP19" s="228">
        <v>0.93</v>
      </c>
      <c r="DQ19" s="228">
        <v>0.86</v>
      </c>
      <c r="DR19" s="228">
        <v>7.0000000000000007E-2</v>
      </c>
      <c r="DS19" s="229">
        <v>8.14E-2</v>
      </c>
      <c r="DT19" s="231">
        <v>1300</v>
      </c>
      <c r="DU19" s="231">
        <v>1200</v>
      </c>
      <c r="DV19" s="228">
        <v>0.83</v>
      </c>
      <c r="DW19" s="228">
        <v>0.37</v>
      </c>
      <c r="DX19" s="228">
        <v>0.46</v>
      </c>
      <c r="DY19" s="229">
        <v>1.2432000000000001</v>
      </c>
      <c r="DZ19" s="229">
        <v>1.21E-2</v>
      </c>
      <c r="EA19" s="230">
        <v>279950</v>
      </c>
      <c r="EB19" s="229">
        <v>5.3E-3</v>
      </c>
      <c r="EC19" s="229">
        <v>1.21E-2</v>
      </c>
      <c r="ED19" s="228">
        <v>10.210000000000001</v>
      </c>
      <c r="EE19" s="229">
        <v>7.7999999999999996E-3</v>
      </c>
      <c r="EF19" s="230">
        <v>1027700</v>
      </c>
      <c r="EG19" s="230">
        <v>1278635</v>
      </c>
      <c r="EH19" s="229">
        <v>-0.1963</v>
      </c>
      <c r="EI19" s="229">
        <v>0.46939999999999998</v>
      </c>
      <c r="EJ19" s="231">
        <v>149583.07999999999</v>
      </c>
      <c r="EK19" s="231">
        <v>115988.42</v>
      </c>
      <c r="EL19" s="231">
        <v>48782.27</v>
      </c>
      <c r="EM19" s="231">
        <v>6060</v>
      </c>
      <c r="EN19" s="231">
        <v>314353.77</v>
      </c>
      <c r="EO19" s="231">
        <v>337392.33</v>
      </c>
      <c r="EP19" s="231">
        <v>-23038.560000000001</v>
      </c>
      <c r="EQ19" s="229">
        <v>-6.83E-2</v>
      </c>
      <c r="ER19" s="231">
        <v>74950</v>
      </c>
      <c r="ES19" s="231">
        <v>65260</v>
      </c>
      <c r="ET19" s="231">
        <v>290491</v>
      </c>
      <c r="EU19" s="231">
        <v>41977935</v>
      </c>
      <c r="EV19" s="231">
        <v>430702</v>
      </c>
      <c r="EW19" s="231">
        <v>418909</v>
      </c>
      <c r="EX19" s="231">
        <v>11793</v>
      </c>
      <c r="EY19" s="229">
        <v>2.8199999999999999E-2</v>
      </c>
      <c r="EZ19" s="229">
        <v>0.79300000000000004</v>
      </c>
      <c r="FA19" s="227" t="s">
        <v>556</v>
      </c>
      <c r="FB19" s="161">
        <f t="shared" si="0"/>
        <v>266750</v>
      </c>
    </row>
    <row r="20" spans="1:158" ht="17.25" thickBot="1" x14ac:dyDescent="0.3">
      <c r="A20" s="226">
        <v>46093</v>
      </c>
      <c r="B20" s="227" t="s">
        <v>172</v>
      </c>
      <c r="C20" s="227" t="s">
        <v>173</v>
      </c>
      <c r="D20" s="228">
        <v>625</v>
      </c>
      <c r="E20" s="231">
        <v>1239.4000000000001</v>
      </c>
      <c r="F20" s="231">
        <v>1260.3</v>
      </c>
      <c r="G20" s="228">
        <v>-20.9</v>
      </c>
      <c r="H20" s="229">
        <v>-1.66E-2</v>
      </c>
      <c r="I20" s="231">
        <v>1234.5</v>
      </c>
      <c r="J20" s="231">
        <v>1255.8</v>
      </c>
      <c r="K20" s="228">
        <v>-21.3</v>
      </c>
      <c r="L20" s="229">
        <v>-1.7000000000000001E-2</v>
      </c>
      <c r="M20" s="231">
        <v>1239.4000000000001</v>
      </c>
      <c r="N20" s="231">
        <v>1260.3</v>
      </c>
      <c r="O20" s="228">
        <v>-20.9</v>
      </c>
      <c r="P20" s="229">
        <v>-1.66E-2</v>
      </c>
      <c r="Q20" s="231">
        <v>1246.7</v>
      </c>
      <c r="R20" s="231">
        <v>1267.9000000000001</v>
      </c>
      <c r="S20" s="228">
        <v>-21.2</v>
      </c>
      <c r="T20" s="229">
        <v>-1.67E-2</v>
      </c>
      <c r="U20" s="231">
        <v>1253.5</v>
      </c>
      <c r="V20" s="231">
        <v>1276.5999999999999</v>
      </c>
      <c r="W20" s="228">
        <v>-23.1</v>
      </c>
      <c r="X20" s="229">
        <v>-1.8100000000000002E-2</v>
      </c>
      <c r="Y20" s="228">
        <v>4.9000000000000004</v>
      </c>
      <c r="Z20" s="228">
        <v>4.5</v>
      </c>
      <c r="AA20" s="228">
        <v>0.4</v>
      </c>
      <c r="AB20" s="229">
        <v>4.0000000000000001E-3</v>
      </c>
      <c r="AC20" s="228">
        <v>4.9000000000000004</v>
      </c>
      <c r="AD20" s="228">
        <v>4.5</v>
      </c>
      <c r="AE20" s="228">
        <v>0.4</v>
      </c>
      <c r="AF20" s="229">
        <v>4.0000000000000001E-3</v>
      </c>
      <c r="AG20" s="228">
        <v>12.2</v>
      </c>
      <c r="AH20" s="228">
        <v>12.1</v>
      </c>
      <c r="AI20" s="228">
        <v>0.1</v>
      </c>
      <c r="AJ20" s="229">
        <v>9.9000000000000008E-3</v>
      </c>
      <c r="AK20" s="228">
        <v>19</v>
      </c>
      <c r="AL20" s="228">
        <v>20.8</v>
      </c>
      <c r="AM20" s="228">
        <v>-1.8</v>
      </c>
      <c r="AN20" s="229">
        <v>1.54E-2</v>
      </c>
      <c r="AO20" s="231">
        <v>1245.23</v>
      </c>
      <c r="AP20" s="231">
        <v>1253.28</v>
      </c>
      <c r="AQ20" s="228">
        <v>0</v>
      </c>
      <c r="AR20" s="230">
        <v>10425625</v>
      </c>
      <c r="AS20" s="230">
        <v>18046250</v>
      </c>
      <c r="AT20" s="230">
        <v>-7620625</v>
      </c>
      <c r="AU20" s="229">
        <v>-0.42230000000000001</v>
      </c>
      <c r="AV20" s="230">
        <v>9102500</v>
      </c>
      <c r="AW20" s="230">
        <v>12945625</v>
      </c>
      <c r="AX20" s="230">
        <v>-3843125</v>
      </c>
      <c r="AY20" s="229">
        <v>-0.2969</v>
      </c>
      <c r="AZ20" s="230">
        <v>693750</v>
      </c>
      <c r="BA20" s="230">
        <v>4991875</v>
      </c>
      <c r="BB20" s="230">
        <v>-4298125</v>
      </c>
      <c r="BC20" s="229">
        <v>-0.86099999999999999</v>
      </c>
      <c r="BD20" s="230">
        <v>629375</v>
      </c>
      <c r="BE20" s="230">
        <v>108750</v>
      </c>
      <c r="BF20" s="230">
        <v>520625</v>
      </c>
      <c r="BG20" s="229">
        <v>4.7873999999999999</v>
      </c>
      <c r="BH20" s="230">
        <v>29014375</v>
      </c>
      <c r="BI20" s="230">
        <v>38641875</v>
      </c>
      <c r="BJ20" s="230">
        <v>-9627500</v>
      </c>
      <c r="BK20" s="229">
        <v>-0.24909999999999999</v>
      </c>
      <c r="BL20" s="230">
        <v>18797500</v>
      </c>
      <c r="BM20" s="230">
        <v>26108125</v>
      </c>
      <c r="BN20" s="230">
        <v>-7310625</v>
      </c>
      <c r="BO20" s="229">
        <v>-0.28000000000000003</v>
      </c>
      <c r="BP20" s="230">
        <v>58237500</v>
      </c>
      <c r="BQ20" s="230">
        <v>82796250</v>
      </c>
      <c r="BR20" s="230">
        <v>-24558750</v>
      </c>
      <c r="BS20" s="229">
        <v>-0.29659999999999997</v>
      </c>
      <c r="BT20" s="230">
        <v>10622021</v>
      </c>
      <c r="BU20" s="230">
        <v>7364481</v>
      </c>
      <c r="BV20" s="230">
        <v>3257540</v>
      </c>
      <c r="BW20" s="229">
        <v>0.44230000000000003</v>
      </c>
      <c r="BX20" s="230">
        <v>68205625</v>
      </c>
      <c r="BY20" s="230">
        <v>66745625</v>
      </c>
      <c r="BZ20" s="230">
        <v>1460000</v>
      </c>
      <c r="CA20" s="229">
        <v>2.1899999999999999E-2</v>
      </c>
      <c r="CB20" s="230">
        <v>56565000</v>
      </c>
      <c r="CC20" s="230">
        <v>55967500</v>
      </c>
      <c r="CD20" s="230">
        <v>597500</v>
      </c>
      <c r="CE20" s="229">
        <v>1.0699999999999999E-2</v>
      </c>
      <c r="CF20" s="230">
        <v>10906250</v>
      </c>
      <c r="CG20" s="230">
        <v>10610625</v>
      </c>
      <c r="CH20" s="230">
        <v>295625</v>
      </c>
      <c r="CI20" s="229">
        <v>2.7900000000000001E-2</v>
      </c>
      <c r="CJ20" s="230">
        <v>734375</v>
      </c>
      <c r="CK20" s="230">
        <v>167500</v>
      </c>
      <c r="CL20" s="230">
        <v>566875</v>
      </c>
      <c r="CM20" s="229">
        <v>3.3843000000000001</v>
      </c>
      <c r="CN20" s="230">
        <v>22890000</v>
      </c>
      <c r="CO20" s="230">
        <v>21193750</v>
      </c>
      <c r="CP20" s="230">
        <v>1696250</v>
      </c>
      <c r="CQ20" s="229">
        <v>0.08</v>
      </c>
      <c r="CR20" s="230">
        <v>11006875</v>
      </c>
      <c r="CS20" s="230">
        <v>10561875</v>
      </c>
      <c r="CT20" s="230">
        <v>445000</v>
      </c>
      <c r="CU20" s="229">
        <v>4.2099999999999999E-2</v>
      </c>
      <c r="CV20" s="230">
        <v>102102500</v>
      </c>
      <c r="CW20" s="230">
        <v>98501250</v>
      </c>
      <c r="CX20" s="230">
        <v>3601250</v>
      </c>
      <c r="CY20" s="229">
        <v>3.6600000000000001E-2</v>
      </c>
      <c r="CZ20" s="228">
        <v>27.94</v>
      </c>
      <c r="DA20" s="228">
        <v>27.84</v>
      </c>
      <c r="DB20" s="228">
        <v>0.1</v>
      </c>
      <c r="DC20" s="228">
        <v>0.1</v>
      </c>
      <c r="DD20" s="228">
        <v>27.33</v>
      </c>
      <c r="DE20" s="228">
        <v>27.3</v>
      </c>
      <c r="DF20" s="228">
        <v>0.61</v>
      </c>
      <c r="DG20" s="228">
        <v>0.03</v>
      </c>
      <c r="DH20" s="228">
        <v>27.26</v>
      </c>
      <c r="DI20" s="228">
        <v>27.13</v>
      </c>
      <c r="DJ20" s="228">
        <v>0.13</v>
      </c>
      <c r="DK20" s="228">
        <v>0.13</v>
      </c>
      <c r="DL20" s="228">
        <v>28.99</v>
      </c>
      <c r="DM20" s="228">
        <v>28.89</v>
      </c>
      <c r="DN20" s="228">
        <v>0.1</v>
      </c>
      <c r="DO20" s="228">
        <v>0.1</v>
      </c>
      <c r="DP20" s="228">
        <v>0.48</v>
      </c>
      <c r="DQ20" s="228">
        <v>0.5</v>
      </c>
      <c r="DR20" s="228">
        <v>-0.02</v>
      </c>
      <c r="DS20" s="229">
        <v>-0.04</v>
      </c>
      <c r="DT20" s="231">
        <v>1300</v>
      </c>
      <c r="DU20" s="231">
        <v>1400</v>
      </c>
      <c r="DV20" s="228">
        <v>0.65</v>
      </c>
      <c r="DW20" s="228">
        <v>0.68</v>
      </c>
      <c r="DX20" s="228">
        <v>-0.03</v>
      </c>
      <c r="DY20" s="229">
        <v>-4.41E-2</v>
      </c>
      <c r="DZ20" s="229">
        <v>0.17069999999999999</v>
      </c>
      <c r="EA20" s="230">
        <v>10778125</v>
      </c>
      <c r="EB20" s="229">
        <v>5.8999999999999999E-3</v>
      </c>
      <c r="EC20" s="229">
        <v>0.17069999999999999</v>
      </c>
      <c r="ED20" s="228">
        <v>8.0500000000000007</v>
      </c>
      <c r="EE20" s="229">
        <v>6.4999999999999997E-3</v>
      </c>
      <c r="EF20" s="230">
        <v>6673467</v>
      </c>
      <c r="EG20" s="230">
        <v>4460260</v>
      </c>
      <c r="EH20" s="229">
        <v>0.49619999999999997</v>
      </c>
      <c r="EI20" s="229">
        <v>0.62829999999999997</v>
      </c>
      <c r="EJ20" s="231">
        <v>381963.51</v>
      </c>
      <c r="EK20" s="231">
        <v>234056.69</v>
      </c>
      <c r="EL20" s="231">
        <v>129963.82</v>
      </c>
      <c r="EM20" s="231">
        <v>20394</v>
      </c>
      <c r="EN20" s="231">
        <v>745984.02</v>
      </c>
      <c r="EO20" s="231">
        <v>1083851.47</v>
      </c>
      <c r="EP20" s="231">
        <v>-337867.45</v>
      </c>
      <c r="EQ20" s="229">
        <v>-0.31169999999999998</v>
      </c>
      <c r="ER20" s="231">
        <v>309698</v>
      </c>
      <c r="ES20" s="231">
        <v>142063</v>
      </c>
      <c r="ET20" s="231">
        <v>846240</v>
      </c>
      <c r="EU20" s="231">
        <v>296371456</v>
      </c>
      <c r="EV20" s="231">
        <v>1298001</v>
      </c>
      <c r="EW20" s="231">
        <v>1267320</v>
      </c>
      <c r="EX20" s="231">
        <v>30681</v>
      </c>
      <c r="EY20" s="229">
        <v>2.4199999999999999E-2</v>
      </c>
      <c r="EZ20" s="229">
        <v>0.34449999999999997</v>
      </c>
      <c r="FA20" s="227" t="s">
        <v>567</v>
      </c>
      <c r="FB20" s="161">
        <f t="shared" si="0"/>
        <v>11640625</v>
      </c>
    </row>
    <row r="21" spans="1:158" ht="17.25" thickBot="1" x14ac:dyDescent="0.3">
      <c r="A21" s="226">
        <v>46093</v>
      </c>
      <c r="B21" s="227" t="s">
        <v>162</v>
      </c>
      <c r="C21" s="227" t="s">
        <v>174</v>
      </c>
      <c r="D21" s="228">
        <v>75</v>
      </c>
      <c r="E21" s="231">
        <v>9127.5</v>
      </c>
      <c r="F21" s="231">
        <v>9308</v>
      </c>
      <c r="G21" s="228">
        <v>-180.5</v>
      </c>
      <c r="H21" s="229">
        <v>-1.9400000000000001E-2</v>
      </c>
      <c r="I21" s="231">
        <v>9162</v>
      </c>
      <c r="J21" s="231">
        <v>9327.5</v>
      </c>
      <c r="K21" s="228">
        <v>-165.5</v>
      </c>
      <c r="L21" s="229">
        <v>-1.77E-2</v>
      </c>
      <c r="M21" s="231">
        <v>9127.5</v>
      </c>
      <c r="N21" s="231">
        <v>9308</v>
      </c>
      <c r="O21" s="228">
        <v>-180.5</v>
      </c>
      <c r="P21" s="229">
        <v>-1.9400000000000001E-2</v>
      </c>
      <c r="Q21" s="231">
        <v>9148.5</v>
      </c>
      <c r="R21" s="231">
        <v>9329.5</v>
      </c>
      <c r="S21" s="228">
        <v>-181</v>
      </c>
      <c r="T21" s="229">
        <v>-1.9400000000000001E-2</v>
      </c>
      <c r="U21" s="231">
        <v>9160.5</v>
      </c>
      <c r="V21" s="231">
        <v>9385</v>
      </c>
      <c r="W21" s="228">
        <v>-224.5</v>
      </c>
      <c r="X21" s="229">
        <v>-2.3900000000000001E-2</v>
      </c>
      <c r="Y21" s="228">
        <v>-34.5</v>
      </c>
      <c r="Z21" s="228">
        <v>-19.5</v>
      </c>
      <c r="AA21" s="228">
        <v>-15</v>
      </c>
      <c r="AB21" s="229">
        <v>-3.8E-3</v>
      </c>
      <c r="AC21" s="228">
        <v>-34.5</v>
      </c>
      <c r="AD21" s="228">
        <v>-19.5</v>
      </c>
      <c r="AE21" s="228">
        <v>-15</v>
      </c>
      <c r="AF21" s="229">
        <v>-3.8E-3</v>
      </c>
      <c r="AG21" s="228">
        <v>-13.5</v>
      </c>
      <c r="AH21" s="228">
        <v>2</v>
      </c>
      <c r="AI21" s="228">
        <v>-15.5</v>
      </c>
      <c r="AJ21" s="229">
        <v>-1.5E-3</v>
      </c>
      <c r="AK21" s="228">
        <v>-1.5</v>
      </c>
      <c r="AL21" s="228">
        <v>57.5</v>
      </c>
      <c r="AM21" s="228">
        <v>-59</v>
      </c>
      <c r="AN21" s="229">
        <v>-2.0000000000000001E-4</v>
      </c>
      <c r="AO21" s="231">
        <v>9148.02</v>
      </c>
      <c r="AP21" s="231">
        <v>9166.1</v>
      </c>
      <c r="AQ21" s="228">
        <v>0</v>
      </c>
      <c r="AR21" s="230">
        <v>714825</v>
      </c>
      <c r="AS21" s="230">
        <v>676950</v>
      </c>
      <c r="AT21" s="230">
        <v>37875</v>
      </c>
      <c r="AU21" s="229">
        <v>5.5899999999999998E-2</v>
      </c>
      <c r="AV21" s="230">
        <v>585600</v>
      </c>
      <c r="AW21" s="230">
        <v>625875</v>
      </c>
      <c r="AX21" s="230">
        <v>-40275</v>
      </c>
      <c r="AY21" s="229">
        <v>-6.4299999999999996E-2</v>
      </c>
      <c r="AZ21" s="230">
        <v>126825</v>
      </c>
      <c r="BA21" s="230">
        <v>47925</v>
      </c>
      <c r="BB21" s="230">
        <v>78900</v>
      </c>
      <c r="BC21" s="229">
        <v>1.6463000000000001</v>
      </c>
      <c r="BD21" s="230">
        <v>2400</v>
      </c>
      <c r="BE21" s="230">
        <v>3150</v>
      </c>
      <c r="BF21" s="228">
        <v>-750</v>
      </c>
      <c r="BG21" s="229">
        <v>-0.23810000000000001</v>
      </c>
      <c r="BH21" s="230">
        <v>2075700</v>
      </c>
      <c r="BI21" s="230">
        <v>2596650</v>
      </c>
      <c r="BJ21" s="230">
        <v>-520950</v>
      </c>
      <c r="BK21" s="229">
        <v>-0.2006</v>
      </c>
      <c r="BL21" s="230">
        <v>1463100</v>
      </c>
      <c r="BM21" s="230">
        <v>2008725</v>
      </c>
      <c r="BN21" s="230">
        <v>-545625</v>
      </c>
      <c r="BO21" s="229">
        <v>-0.27160000000000001</v>
      </c>
      <c r="BP21" s="230">
        <v>4253625</v>
      </c>
      <c r="BQ21" s="230">
        <v>5282325</v>
      </c>
      <c r="BR21" s="230">
        <v>-1028700</v>
      </c>
      <c r="BS21" s="229">
        <v>-0.19470000000000001</v>
      </c>
      <c r="BT21" s="230">
        <v>410172</v>
      </c>
      <c r="BU21" s="230">
        <v>498126</v>
      </c>
      <c r="BV21" s="230">
        <v>-87954</v>
      </c>
      <c r="BW21" s="229">
        <v>-0.17660000000000001</v>
      </c>
      <c r="BX21" s="230">
        <v>3395625</v>
      </c>
      <c r="BY21" s="230">
        <v>3255075</v>
      </c>
      <c r="BZ21" s="230">
        <v>140550</v>
      </c>
      <c r="CA21" s="229">
        <v>4.3200000000000002E-2</v>
      </c>
      <c r="CB21" s="230">
        <v>3246675</v>
      </c>
      <c r="CC21" s="230">
        <v>3201000</v>
      </c>
      <c r="CD21" s="230">
        <v>45675</v>
      </c>
      <c r="CE21" s="229">
        <v>1.43E-2</v>
      </c>
      <c r="CF21" s="230">
        <v>142800</v>
      </c>
      <c r="CG21" s="230">
        <v>48675</v>
      </c>
      <c r="CH21" s="230">
        <v>94125</v>
      </c>
      <c r="CI21" s="229">
        <v>1.9337</v>
      </c>
      <c r="CJ21" s="230">
        <v>6150</v>
      </c>
      <c r="CK21" s="230">
        <v>5400</v>
      </c>
      <c r="CL21" s="228">
        <v>750</v>
      </c>
      <c r="CM21" s="229">
        <v>0.1389</v>
      </c>
      <c r="CN21" s="230">
        <v>1769700</v>
      </c>
      <c r="CO21" s="230">
        <v>1668450</v>
      </c>
      <c r="CP21" s="230">
        <v>101250</v>
      </c>
      <c r="CQ21" s="229">
        <v>6.0699999999999997E-2</v>
      </c>
      <c r="CR21" s="230">
        <v>828150</v>
      </c>
      <c r="CS21" s="230">
        <v>832575</v>
      </c>
      <c r="CT21" s="230">
        <v>-4425</v>
      </c>
      <c r="CU21" s="229">
        <v>-5.3E-3</v>
      </c>
      <c r="CV21" s="230">
        <v>5993475</v>
      </c>
      <c r="CW21" s="230">
        <v>5756100</v>
      </c>
      <c r="CX21" s="230">
        <v>237375</v>
      </c>
      <c r="CY21" s="229">
        <v>4.1200000000000001E-2</v>
      </c>
      <c r="CZ21" s="228">
        <v>31.66</v>
      </c>
      <c r="DA21" s="228">
        <v>30.67</v>
      </c>
      <c r="DB21" s="228">
        <v>0.99</v>
      </c>
      <c r="DC21" s="228">
        <v>0.99</v>
      </c>
      <c r="DD21" s="228">
        <v>28.32</v>
      </c>
      <c r="DE21" s="228">
        <v>28.29</v>
      </c>
      <c r="DF21" s="228">
        <v>3.34</v>
      </c>
      <c r="DG21" s="228">
        <v>0.03</v>
      </c>
      <c r="DH21" s="228">
        <v>30.93</v>
      </c>
      <c r="DI21" s="228">
        <v>29.64</v>
      </c>
      <c r="DJ21" s="228">
        <v>1.29</v>
      </c>
      <c r="DK21" s="228">
        <v>1.29</v>
      </c>
      <c r="DL21" s="228">
        <v>32.71</v>
      </c>
      <c r="DM21" s="228">
        <v>32</v>
      </c>
      <c r="DN21" s="228">
        <v>0.71</v>
      </c>
      <c r="DO21" s="228">
        <v>0.71</v>
      </c>
      <c r="DP21" s="228">
        <v>0.47</v>
      </c>
      <c r="DQ21" s="228">
        <v>0.5</v>
      </c>
      <c r="DR21" s="228">
        <v>-0.03</v>
      </c>
      <c r="DS21" s="229">
        <v>-0.06</v>
      </c>
      <c r="DT21" s="231">
        <v>10500</v>
      </c>
      <c r="DU21" s="231">
        <v>9000</v>
      </c>
      <c r="DV21" s="228">
        <v>0.7</v>
      </c>
      <c r="DW21" s="228">
        <v>0.77</v>
      </c>
      <c r="DX21" s="228">
        <v>-7.0000000000000007E-2</v>
      </c>
      <c r="DY21" s="229">
        <v>-9.0899999999999995E-2</v>
      </c>
      <c r="DZ21" s="229">
        <v>4.3900000000000002E-2</v>
      </c>
      <c r="EA21" s="230">
        <v>54075</v>
      </c>
      <c r="EB21" s="229">
        <v>2.3E-3</v>
      </c>
      <c r="EC21" s="229">
        <v>4.3900000000000002E-2</v>
      </c>
      <c r="ED21" s="228">
        <v>18.079999999999998</v>
      </c>
      <c r="EE21" s="229">
        <v>2E-3</v>
      </c>
      <c r="EF21" s="230">
        <v>207483</v>
      </c>
      <c r="EG21" s="230">
        <v>238234</v>
      </c>
      <c r="EH21" s="229">
        <v>-0.12909999999999999</v>
      </c>
      <c r="EI21" s="229">
        <v>0.50580000000000003</v>
      </c>
      <c r="EJ21" s="231">
        <v>204103.27</v>
      </c>
      <c r="EK21" s="231">
        <v>132966.81</v>
      </c>
      <c r="EL21" s="231">
        <v>65416.22</v>
      </c>
      <c r="EM21" s="231">
        <v>7431</v>
      </c>
      <c r="EN21" s="231">
        <v>402486.3</v>
      </c>
      <c r="EO21" s="231">
        <v>512399.98</v>
      </c>
      <c r="EP21" s="231">
        <v>-109913.68</v>
      </c>
      <c r="EQ21" s="229">
        <v>-0.2145</v>
      </c>
      <c r="ER21" s="231">
        <v>178712</v>
      </c>
      <c r="ES21" s="231">
        <v>76140</v>
      </c>
      <c r="ET21" s="231">
        <v>309968</v>
      </c>
      <c r="EU21" s="231">
        <v>15906526</v>
      </c>
      <c r="EV21" s="231">
        <v>564819</v>
      </c>
      <c r="EW21" s="231">
        <v>549603</v>
      </c>
      <c r="EX21" s="231">
        <v>15216</v>
      </c>
      <c r="EY21" s="229">
        <v>2.7699999999999999E-2</v>
      </c>
      <c r="EZ21" s="229">
        <v>0.37680000000000002</v>
      </c>
      <c r="FA21" s="227" t="s">
        <v>567</v>
      </c>
      <c r="FB21" s="161">
        <f t="shared" si="0"/>
        <v>148950</v>
      </c>
    </row>
    <row r="22" spans="1:158" ht="17.25" thickBot="1" x14ac:dyDescent="0.3">
      <c r="A22" s="226">
        <v>46093</v>
      </c>
      <c r="B22" s="227" t="s">
        <v>175</v>
      </c>
      <c r="C22" s="227" t="s">
        <v>176</v>
      </c>
      <c r="D22" s="228">
        <v>250</v>
      </c>
      <c r="E22" s="231">
        <v>1773.1</v>
      </c>
      <c r="F22" s="231">
        <v>1797.6</v>
      </c>
      <c r="G22" s="228">
        <v>-24.5</v>
      </c>
      <c r="H22" s="229">
        <v>-1.3599999999999999E-2</v>
      </c>
      <c r="I22" s="231">
        <v>1770.8</v>
      </c>
      <c r="J22" s="231">
        <v>1795.3</v>
      </c>
      <c r="K22" s="228">
        <v>-24.5</v>
      </c>
      <c r="L22" s="229">
        <v>-1.3599999999999999E-2</v>
      </c>
      <c r="M22" s="231">
        <v>1773.1</v>
      </c>
      <c r="N22" s="231">
        <v>1797.6</v>
      </c>
      <c r="O22" s="228">
        <v>-24.5</v>
      </c>
      <c r="P22" s="229">
        <v>-1.3599999999999999E-2</v>
      </c>
      <c r="Q22" s="231">
        <v>1783.5</v>
      </c>
      <c r="R22" s="231">
        <v>1809.8</v>
      </c>
      <c r="S22" s="228">
        <v>-26.3</v>
      </c>
      <c r="T22" s="229">
        <v>-1.4500000000000001E-2</v>
      </c>
      <c r="U22" s="231">
        <v>1794.2</v>
      </c>
      <c r="V22" s="231">
        <v>1818.6</v>
      </c>
      <c r="W22" s="228">
        <v>-24.4</v>
      </c>
      <c r="X22" s="229">
        <v>-1.34E-2</v>
      </c>
      <c r="Y22" s="228">
        <v>2.2999999999999998</v>
      </c>
      <c r="Z22" s="228">
        <v>2.2999999999999998</v>
      </c>
      <c r="AA22" s="228">
        <v>0</v>
      </c>
      <c r="AB22" s="229">
        <v>1.2999999999999999E-3</v>
      </c>
      <c r="AC22" s="228">
        <v>2.2999999999999998</v>
      </c>
      <c r="AD22" s="228">
        <v>2.2999999999999998</v>
      </c>
      <c r="AE22" s="228">
        <v>0</v>
      </c>
      <c r="AF22" s="229">
        <v>1.2999999999999999E-3</v>
      </c>
      <c r="AG22" s="228">
        <v>12.7</v>
      </c>
      <c r="AH22" s="228">
        <v>14.5</v>
      </c>
      <c r="AI22" s="228">
        <v>-1.8</v>
      </c>
      <c r="AJ22" s="229">
        <v>7.1999999999999998E-3</v>
      </c>
      <c r="AK22" s="228">
        <v>23.4</v>
      </c>
      <c r="AL22" s="228">
        <v>23.3</v>
      </c>
      <c r="AM22" s="228">
        <v>0.1</v>
      </c>
      <c r="AN22" s="229">
        <v>1.32E-2</v>
      </c>
      <c r="AO22" s="231">
        <v>1780.23</v>
      </c>
      <c r="AP22" s="231">
        <v>1791.4</v>
      </c>
      <c r="AQ22" s="228">
        <v>0</v>
      </c>
      <c r="AR22" s="230">
        <v>1282750</v>
      </c>
      <c r="AS22" s="230">
        <v>1828500</v>
      </c>
      <c r="AT22" s="230">
        <v>-545750</v>
      </c>
      <c r="AU22" s="229">
        <v>-0.29849999999999999</v>
      </c>
      <c r="AV22" s="230">
        <v>1180000</v>
      </c>
      <c r="AW22" s="230">
        <v>1699750</v>
      </c>
      <c r="AX22" s="230">
        <v>-519750</v>
      </c>
      <c r="AY22" s="229">
        <v>-0.30580000000000002</v>
      </c>
      <c r="AZ22" s="230">
        <v>93250</v>
      </c>
      <c r="BA22" s="230">
        <v>119000</v>
      </c>
      <c r="BB22" s="230">
        <v>-25750</v>
      </c>
      <c r="BC22" s="229">
        <v>-0.21640000000000001</v>
      </c>
      <c r="BD22" s="230">
        <v>9500</v>
      </c>
      <c r="BE22" s="230">
        <v>9750</v>
      </c>
      <c r="BF22" s="228">
        <v>-250</v>
      </c>
      <c r="BG22" s="229">
        <v>-2.5600000000000001E-2</v>
      </c>
      <c r="BH22" s="230">
        <v>5872750</v>
      </c>
      <c r="BI22" s="230">
        <v>12860750</v>
      </c>
      <c r="BJ22" s="230">
        <v>-6988000</v>
      </c>
      <c r="BK22" s="229">
        <v>-0.54339999999999999</v>
      </c>
      <c r="BL22" s="230">
        <v>2930500</v>
      </c>
      <c r="BM22" s="230">
        <v>7078750</v>
      </c>
      <c r="BN22" s="230">
        <v>-4148250</v>
      </c>
      <c r="BO22" s="229">
        <v>-0.58599999999999997</v>
      </c>
      <c r="BP22" s="230">
        <v>10086000</v>
      </c>
      <c r="BQ22" s="230">
        <v>21768000</v>
      </c>
      <c r="BR22" s="230">
        <v>-11682000</v>
      </c>
      <c r="BS22" s="229">
        <v>-0.53669999999999995</v>
      </c>
      <c r="BT22" s="230">
        <v>1145598</v>
      </c>
      <c r="BU22" s="230">
        <v>1359325</v>
      </c>
      <c r="BV22" s="230">
        <v>-213727</v>
      </c>
      <c r="BW22" s="229">
        <v>-0.15720000000000001</v>
      </c>
      <c r="BX22" s="230">
        <v>12861250</v>
      </c>
      <c r="BY22" s="230">
        <v>12981500</v>
      </c>
      <c r="BZ22" s="230">
        <v>-120250</v>
      </c>
      <c r="CA22" s="229">
        <v>-9.2999999999999992E-3</v>
      </c>
      <c r="CB22" s="230">
        <v>12521500</v>
      </c>
      <c r="CC22" s="230">
        <v>12671750</v>
      </c>
      <c r="CD22" s="230">
        <v>-150250</v>
      </c>
      <c r="CE22" s="229">
        <v>-1.1900000000000001E-2</v>
      </c>
      <c r="CF22" s="230">
        <v>286250</v>
      </c>
      <c r="CG22" s="230">
        <v>262000</v>
      </c>
      <c r="CH22" s="230">
        <v>24250</v>
      </c>
      <c r="CI22" s="229">
        <v>9.2600000000000002E-2</v>
      </c>
      <c r="CJ22" s="230">
        <v>53500</v>
      </c>
      <c r="CK22" s="230">
        <v>47750</v>
      </c>
      <c r="CL22" s="230">
        <v>5750</v>
      </c>
      <c r="CM22" s="229">
        <v>0.12039999999999999</v>
      </c>
      <c r="CN22" s="230">
        <v>9313750</v>
      </c>
      <c r="CO22" s="230">
        <v>8890750</v>
      </c>
      <c r="CP22" s="230">
        <v>423000</v>
      </c>
      <c r="CQ22" s="229">
        <v>4.7600000000000003E-2</v>
      </c>
      <c r="CR22" s="230">
        <v>4214250</v>
      </c>
      <c r="CS22" s="230">
        <v>4316750</v>
      </c>
      <c r="CT22" s="230">
        <v>-102500</v>
      </c>
      <c r="CU22" s="229">
        <v>-2.3699999999999999E-2</v>
      </c>
      <c r="CV22" s="230">
        <v>26389250</v>
      </c>
      <c r="CW22" s="230">
        <v>26189000</v>
      </c>
      <c r="CX22" s="230">
        <v>200250</v>
      </c>
      <c r="CY22" s="229">
        <v>7.6E-3</v>
      </c>
      <c r="CZ22" s="228">
        <v>28.04</v>
      </c>
      <c r="DA22" s="228">
        <v>26.99</v>
      </c>
      <c r="DB22" s="228">
        <v>1.05</v>
      </c>
      <c r="DC22" s="228">
        <v>1.05</v>
      </c>
      <c r="DD22" s="228">
        <v>28.53</v>
      </c>
      <c r="DE22" s="228">
        <v>28.54</v>
      </c>
      <c r="DF22" s="228">
        <v>-0.49</v>
      </c>
      <c r="DG22" s="228">
        <v>-0.01</v>
      </c>
      <c r="DH22" s="228">
        <v>27.4</v>
      </c>
      <c r="DI22" s="228">
        <v>26.15</v>
      </c>
      <c r="DJ22" s="228">
        <v>1.25</v>
      </c>
      <c r="DK22" s="228">
        <v>1.25</v>
      </c>
      <c r="DL22" s="228">
        <v>29.34</v>
      </c>
      <c r="DM22" s="228">
        <v>28.51</v>
      </c>
      <c r="DN22" s="228">
        <v>0.83</v>
      </c>
      <c r="DO22" s="228">
        <v>0.83</v>
      </c>
      <c r="DP22" s="228">
        <v>0.45</v>
      </c>
      <c r="DQ22" s="228">
        <v>0.49</v>
      </c>
      <c r="DR22" s="228">
        <v>-0.04</v>
      </c>
      <c r="DS22" s="229">
        <v>-8.1600000000000006E-2</v>
      </c>
      <c r="DT22" s="231">
        <v>1860</v>
      </c>
      <c r="DU22" s="231">
        <v>1700</v>
      </c>
      <c r="DV22" s="228">
        <v>0.5</v>
      </c>
      <c r="DW22" s="228">
        <v>0.55000000000000004</v>
      </c>
      <c r="DX22" s="228">
        <v>-0.05</v>
      </c>
      <c r="DY22" s="229">
        <v>-9.0899999999999995E-2</v>
      </c>
      <c r="DZ22" s="229">
        <v>2.64E-2</v>
      </c>
      <c r="EA22" s="230">
        <v>309750</v>
      </c>
      <c r="EB22" s="229">
        <v>5.8999999999999999E-3</v>
      </c>
      <c r="EC22" s="229">
        <v>2.64E-2</v>
      </c>
      <c r="ED22" s="228">
        <v>11.17</v>
      </c>
      <c r="EE22" s="229">
        <v>6.3E-3</v>
      </c>
      <c r="EF22" s="230">
        <v>560312</v>
      </c>
      <c r="EG22" s="230">
        <v>785371</v>
      </c>
      <c r="EH22" s="229">
        <v>-0.28660000000000002</v>
      </c>
      <c r="EI22" s="229">
        <v>0.48909999999999998</v>
      </c>
      <c r="EJ22" s="231">
        <v>111121.81</v>
      </c>
      <c r="EK22" s="231">
        <v>52572.53</v>
      </c>
      <c r="EL22" s="231">
        <v>22848.13</v>
      </c>
      <c r="EM22" s="231">
        <v>6600</v>
      </c>
      <c r="EN22" s="231">
        <v>186542.47</v>
      </c>
      <c r="EO22" s="231">
        <v>407860.07</v>
      </c>
      <c r="EP22" s="231">
        <v>-221317.6</v>
      </c>
      <c r="EQ22" s="229">
        <v>-0.54259999999999997</v>
      </c>
      <c r="ER22" s="231">
        <v>180634</v>
      </c>
      <c r="ES22" s="231">
        <v>79181</v>
      </c>
      <c r="ET22" s="231">
        <v>228084</v>
      </c>
      <c r="EU22" s="231">
        <v>65701623</v>
      </c>
      <c r="EV22" s="231">
        <v>487899</v>
      </c>
      <c r="EW22" s="231">
        <v>487598</v>
      </c>
      <c r="EX22" s="228">
        <v>301</v>
      </c>
      <c r="EY22" s="229">
        <v>5.9999999999999995E-4</v>
      </c>
      <c r="EZ22" s="229">
        <v>0.4017</v>
      </c>
      <c r="FA22" s="227" t="s">
        <v>568</v>
      </c>
      <c r="FB22" s="161">
        <f t="shared" si="0"/>
        <v>339750</v>
      </c>
    </row>
    <row r="23" spans="1:158" ht="17.25" thickBot="1" x14ac:dyDescent="0.3">
      <c r="A23" s="226">
        <v>46093</v>
      </c>
      <c r="B23" s="227" t="s">
        <v>175</v>
      </c>
      <c r="C23" s="227" t="s">
        <v>690</v>
      </c>
      <c r="D23" s="228">
        <v>50</v>
      </c>
      <c r="E23" s="231">
        <v>9821</v>
      </c>
      <c r="F23" s="231">
        <v>10179</v>
      </c>
      <c r="G23" s="228">
        <v>-358</v>
      </c>
      <c r="H23" s="229">
        <v>-3.5200000000000002E-2</v>
      </c>
      <c r="I23" s="231">
        <v>9789</v>
      </c>
      <c r="J23" s="231">
        <v>10177</v>
      </c>
      <c r="K23" s="228">
        <v>-388</v>
      </c>
      <c r="L23" s="229">
        <v>-3.8100000000000002E-2</v>
      </c>
      <c r="M23" s="231">
        <v>9821</v>
      </c>
      <c r="N23" s="231">
        <v>10179</v>
      </c>
      <c r="O23" s="228">
        <v>-358</v>
      </c>
      <c r="P23" s="229">
        <v>-3.5200000000000002E-2</v>
      </c>
      <c r="Q23" s="231">
        <v>9896</v>
      </c>
      <c r="R23" s="231">
        <v>10225</v>
      </c>
      <c r="S23" s="228">
        <v>-329</v>
      </c>
      <c r="T23" s="229">
        <v>-3.2199999999999999E-2</v>
      </c>
      <c r="U23" s="231">
        <v>10010</v>
      </c>
      <c r="V23" s="231">
        <v>10325</v>
      </c>
      <c r="W23" s="228">
        <v>-315</v>
      </c>
      <c r="X23" s="229">
        <v>-3.0499999999999999E-2</v>
      </c>
      <c r="Y23" s="228">
        <v>32</v>
      </c>
      <c r="Z23" s="228">
        <v>2</v>
      </c>
      <c r="AA23" s="228">
        <v>30</v>
      </c>
      <c r="AB23" s="229">
        <v>3.3E-3</v>
      </c>
      <c r="AC23" s="228">
        <v>32</v>
      </c>
      <c r="AD23" s="228">
        <v>2</v>
      </c>
      <c r="AE23" s="228">
        <v>30</v>
      </c>
      <c r="AF23" s="229">
        <v>3.3E-3</v>
      </c>
      <c r="AG23" s="228">
        <v>107</v>
      </c>
      <c r="AH23" s="228">
        <v>48</v>
      </c>
      <c r="AI23" s="228">
        <v>59</v>
      </c>
      <c r="AJ23" s="229">
        <v>1.09E-2</v>
      </c>
      <c r="AK23" s="228">
        <v>221</v>
      </c>
      <c r="AL23" s="228">
        <v>148</v>
      </c>
      <c r="AM23" s="228">
        <v>73</v>
      </c>
      <c r="AN23" s="229">
        <v>2.2599999999999999E-2</v>
      </c>
      <c r="AO23" s="231">
        <v>9932.4699999999993</v>
      </c>
      <c r="AP23" s="231">
        <v>9995.2000000000007</v>
      </c>
      <c r="AQ23" s="228">
        <v>0</v>
      </c>
      <c r="AR23" s="230">
        <v>45600</v>
      </c>
      <c r="AS23" s="230">
        <v>49350</v>
      </c>
      <c r="AT23" s="230">
        <v>-3750</v>
      </c>
      <c r="AU23" s="229">
        <v>-7.5999999999999998E-2</v>
      </c>
      <c r="AV23" s="230">
        <v>42900</v>
      </c>
      <c r="AW23" s="230">
        <v>46800</v>
      </c>
      <c r="AX23" s="230">
        <v>-3900</v>
      </c>
      <c r="AY23" s="229">
        <v>-8.3299999999999999E-2</v>
      </c>
      <c r="AZ23" s="230">
        <v>2500</v>
      </c>
      <c r="BA23" s="230">
        <v>2250</v>
      </c>
      <c r="BB23" s="228">
        <v>250</v>
      </c>
      <c r="BC23" s="229">
        <v>0.1111</v>
      </c>
      <c r="BD23" s="228">
        <v>200</v>
      </c>
      <c r="BE23" s="228">
        <v>300</v>
      </c>
      <c r="BF23" s="228">
        <v>-100</v>
      </c>
      <c r="BG23" s="229">
        <v>-0.33329999999999999</v>
      </c>
      <c r="BH23" s="230">
        <v>110300</v>
      </c>
      <c r="BI23" s="230">
        <v>82100</v>
      </c>
      <c r="BJ23" s="230">
        <v>28200</v>
      </c>
      <c r="BK23" s="229">
        <v>0.34350000000000003</v>
      </c>
      <c r="BL23" s="230">
        <v>74850</v>
      </c>
      <c r="BM23" s="230">
        <v>33450</v>
      </c>
      <c r="BN23" s="230">
        <v>41400</v>
      </c>
      <c r="BO23" s="229">
        <v>1.2377</v>
      </c>
      <c r="BP23" s="230">
        <v>230750</v>
      </c>
      <c r="BQ23" s="230">
        <v>164900</v>
      </c>
      <c r="BR23" s="230">
        <v>65850</v>
      </c>
      <c r="BS23" s="229">
        <v>0.39929999999999999</v>
      </c>
      <c r="BT23" s="230">
        <v>87432</v>
      </c>
      <c r="BU23" s="230">
        <v>70807</v>
      </c>
      <c r="BV23" s="230">
        <v>16625</v>
      </c>
      <c r="BW23" s="229">
        <v>0.23480000000000001</v>
      </c>
      <c r="BX23" s="230">
        <v>230400</v>
      </c>
      <c r="BY23" s="230">
        <v>226200</v>
      </c>
      <c r="BZ23" s="230">
        <v>4200</v>
      </c>
      <c r="CA23" s="229">
        <v>1.8599999999999998E-2</v>
      </c>
      <c r="CB23" s="230">
        <v>221450</v>
      </c>
      <c r="CC23" s="230">
        <v>217800</v>
      </c>
      <c r="CD23" s="230">
        <v>3650</v>
      </c>
      <c r="CE23" s="229">
        <v>1.6799999999999999E-2</v>
      </c>
      <c r="CF23" s="230">
        <v>8250</v>
      </c>
      <c r="CG23" s="230">
        <v>7800</v>
      </c>
      <c r="CH23" s="228">
        <v>450</v>
      </c>
      <c r="CI23" s="229">
        <v>5.7700000000000001E-2</v>
      </c>
      <c r="CJ23" s="228">
        <v>700</v>
      </c>
      <c r="CK23" s="228">
        <v>600</v>
      </c>
      <c r="CL23" s="228">
        <v>100</v>
      </c>
      <c r="CM23" s="229">
        <v>0.16669999999999999</v>
      </c>
      <c r="CN23" s="230">
        <v>142600</v>
      </c>
      <c r="CO23" s="230">
        <v>129800</v>
      </c>
      <c r="CP23" s="230">
        <v>12800</v>
      </c>
      <c r="CQ23" s="229">
        <v>9.8599999999999993E-2</v>
      </c>
      <c r="CR23" s="230">
        <v>68000</v>
      </c>
      <c r="CS23" s="230">
        <v>58900</v>
      </c>
      <c r="CT23" s="230">
        <v>9100</v>
      </c>
      <c r="CU23" s="229">
        <v>0.1545</v>
      </c>
      <c r="CV23" s="230">
        <v>441000</v>
      </c>
      <c r="CW23" s="230">
        <v>414900</v>
      </c>
      <c r="CX23" s="230">
        <v>26100</v>
      </c>
      <c r="CY23" s="229">
        <v>6.2899999999999998E-2</v>
      </c>
      <c r="CZ23" s="228">
        <v>36.270000000000003</v>
      </c>
      <c r="DA23" s="228">
        <v>36.06</v>
      </c>
      <c r="DB23" s="228">
        <v>0.21</v>
      </c>
      <c r="DC23" s="228">
        <v>0.21</v>
      </c>
      <c r="DD23" s="228">
        <v>37.18</v>
      </c>
      <c r="DE23" s="228">
        <v>36.950000000000003</v>
      </c>
      <c r="DF23" s="228">
        <v>-0.91</v>
      </c>
      <c r="DG23" s="228">
        <v>0.23</v>
      </c>
      <c r="DH23" s="228">
        <v>35.72</v>
      </c>
      <c r="DI23" s="228">
        <v>35.96</v>
      </c>
      <c r="DJ23" s="228">
        <v>-0.24</v>
      </c>
      <c r="DK23" s="228">
        <v>-0.24</v>
      </c>
      <c r="DL23" s="228">
        <v>37.090000000000003</v>
      </c>
      <c r="DM23" s="228">
        <v>36.299999999999997</v>
      </c>
      <c r="DN23" s="228">
        <v>0.79</v>
      </c>
      <c r="DO23" s="228">
        <v>0.79</v>
      </c>
      <c r="DP23" s="228">
        <v>0.48</v>
      </c>
      <c r="DQ23" s="228">
        <v>0.45</v>
      </c>
      <c r="DR23" s="228">
        <v>0.03</v>
      </c>
      <c r="DS23" s="229">
        <v>6.6699999999999995E-2</v>
      </c>
      <c r="DT23" s="231">
        <v>11000</v>
      </c>
      <c r="DU23" s="231">
        <v>10000</v>
      </c>
      <c r="DV23" s="228">
        <v>0.68</v>
      </c>
      <c r="DW23" s="228">
        <v>0.41</v>
      </c>
      <c r="DX23" s="228">
        <v>0.27</v>
      </c>
      <c r="DY23" s="229">
        <v>0.65849999999999997</v>
      </c>
      <c r="DZ23" s="229">
        <v>3.8800000000000001E-2</v>
      </c>
      <c r="EA23" s="230">
        <v>8400</v>
      </c>
      <c r="EB23" s="229">
        <v>7.6E-3</v>
      </c>
      <c r="EC23" s="229">
        <v>3.8800000000000001E-2</v>
      </c>
      <c r="ED23" s="228">
        <v>62.73</v>
      </c>
      <c r="EE23" s="229">
        <v>6.3E-3</v>
      </c>
      <c r="EF23" s="230">
        <v>44696</v>
      </c>
      <c r="EG23" s="230">
        <v>44069</v>
      </c>
      <c r="EH23" s="229">
        <v>1.4200000000000001E-2</v>
      </c>
      <c r="EI23" s="229">
        <v>0.51119999999999999</v>
      </c>
      <c r="EJ23" s="231">
        <v>12160.98</v>
      </c>
      <c r="EK23" s="231">
        <v>7316.45</v>
      </c>
      <c r="EL23" s="231">
        <v>4531.08</v>
      </c>
      <c r="EM23" s="228">
        <v>877</v>
      </c>
      <c r="EN23" s="231">
        <v>24008.51</v>
      </c>
      <c r="EO23" s="231">
        <v>17794.25</v>
      </c>
      <c r="EP23" s="231">
        <v>6214.26</v>
      </c>
      <c r="EQ23" s="229">
        <v>0.34920000000000001</v>
      </c>
      <c r="ER23" s="231">
        <v>16203</v>
      </c>
      <c r="ES23" s="231">
        <v>6835</v>
      </c>
      <c r="ET23" s="231">
        <v>22635</v>
      </c>
      <c r="EU23" s="231">
        <v>5401993</v>
      </c>
      <c r="EV23" s="231">
        <v>45673</v>
      </c>
      <c r="EW23" s="231">
        <v>43956</v>
      </c>
      <c r="EX23" s="231">
        <v>1717</v>
      </c>
      <c r="EY23" s="229">
        <v>3.9100000000000003E-2</v>
      </c>
      <c r="EZ23" s="229">
        <v>8.1600000000000006E-2</v>
      </c>
      <c r="FA23" s="227" t="s">
        <v>567</v>
      </c>
      <c r="FB23" s="161">
        <f t="shared" si="0"/>
        <v>8950</v>
      </c>
    </row>
    <row r="24" spans="1:158" ht="17.25" thickBot="1" x14ac:dyDescent="0.3">
      <c r="A24" s="226">
        <v>46093</v>
      </c>
      <c r="B24" s="227" t="s">
        <v>175</v>
      </c>
      <c r="C24" s="227" t="s">
        <v>177</v>
      </c>
      <c r="D24" s="228">
        <v>750</v>
      </c>
      <c r="E24" s="228">
        <v>866.6</v>
      </c>
      <c r="F24" s="228">
        <v>894.1</v>
      </c>
      <c r="G24" s="228">
        <v>-27.5</v>
      </c>
      <c r="H24" s="229">
        <v>-3.0800000000000001E-2</v>
      </c>
      <c r="I24" s="228">
        <v>863.1</v>
      </c>
      <c r="J24" s="228">
        <v>893.65</v>
      </c>
      <c r="K24" s="228">
        <v>-30.55</v>
      </c>
      <c r="L24" s="229">
        <v>-3.4200000000000001E-2</v>
      </c>
      <c r="M24" s="228">
        <v>866.6</v>
      </c>
      <c r="N24" s="228">
        <v>894.1</v>
      </c>
      <c r="O24" s="228">
        <v>-27.5</v>
      </c>
      <c r="P24" s="229">
        <v>-3.0800000000000001E-2</v>
      </c>
      <c r="Q24" s="228">
        <v>871.2</v>
      </c>
      <c r="R24" s="228">
        <v>901</v>
      </c>
      <c r="S24" s="228">
        <v>-29.8</v>
      </c>
      <c r="T24" s="229">
        <v>-3.3099999999999997E-2</v>
      </c>
      <c r="U24" s="228">
        <v>877</v>
      </c>
      <c r="V24" s="228">
        <v>904.6</v>
      </c>
      <c r="W24" s="228">
        <v>-27.6</v>
      </c>
      <c r="X24" s="229">
        <v>-3.0499999999999999E-2</v>
      </c>
      <c r="Y24" s="228">
        <v>3.5</v>
      </c>
      <c r="Z24" s="228">
        <v>0.45</v>
      </c>
      <c r="AA24" s="228">
        <v>3.05</v>
      </c>
      <c r="AB24" s="229">
        <v>4.1000000000000003E-3</v>
      </c>
      <c r="AC24" s="228">
        <v>3.5</v>
      </c>
      <c r="AD24" s="228">
        <v>0.45</v>
      </c>
      <c r="AE24" s="228">
        <v>3.05</v>
      </c>
      <c r="AF24" s="229">
        <v>4.1000000000000003E-3</v>
      </c>
      <c r="AG24" s="228">
        <v>8.1</v>
      </c>
      <c r="AH24" s="228">
        <v>7.35</v>
      </c>
      <c r="AI24" s="228">
        <v>0.75</v>
      </c>
      <c r="AJ24" s="229">
        <v>9.4000000000000004E-3</v>
      </c>
      <c r="AK24" s="228">
        <v>13.9</v>
      </c>
      <c r="AL24" s="228">
        <v>10.95</v>
      </c>
      <c r="AM24" s="228">
        <v>2.95</v>
      </c>
      <c r="AN24" s="229">
        <v>1.61E-2</v>
      </c>
      <c r="AO24" s="228">
        <v>875.4</v>
      </c>
      <c r="AP24" s="228">
        <v>880.33</v>
      </c>
      <c r="AQ24" s="228">
        <v>0</v>
      </c>
      <c r="AR24" s="230">
        <v>13215000</v>
      </c>
      <c r="AS24" s="230">
        <v>12489000</v>
      </c>
      <c r="AT24" s="230">
        <v>726000</v>
      </c>
      <c r="AU24" s="229">
        <v>5.8099999999999999E-2</v>
      </c>
      <c r="AV24" s="230">
        <v>10988250</v>
      </c>
      <c r="AW24" s="230">
        <v>11101500</v>
      </c>
      <c r="AX24" s="230">
        <v>-113250</v>
      </c>
      <c r="AY24" s="229">
        <v>-1.0200000000000001E-2</v>
      </c>
      <c r="AZ24" s="230">
        <v>2031000</v>
      </c>
      <c r="BA24" s="230">
        <v>1233000</v>
      </c>
      <c r="BB24" s="230">
        <v>798000</v>
      </c>
      <c r="BC24" s="229">
        <v>0.6472</v>
      </c>
      <c r="BD24" s="230">
        <v>195750</v>
      </c>
      <c r="BE24" s="230">
        <v>154500</v>
      </c>
      <c r="BF24" s="230">
        <v>41250</v>
      </c>
      <c r="BG24" s="229">
        <v>0.26700000000000002</v>
      </c>
      <c r="BH24" s="230">
        <v>31918500</v>
      </c>
      <c r="BI24" s="230">
        <v>32826750</v>
      </c>
      <c r="BJ24" s="230">
        <v>-908250</v>
      </c>
      <c r="BK24" s="229">
        <v>-2.7699999999999999E-2</v>
      </c>
      <c r="BL24" s="230">
        <v>25257000</v>
      </c>
      <c r="BM24" s="230">
        <v>33297000</v>
      </c>
      <c r="BN24" s="230">
        <v>-8040000</v>
      </c>
      <c r="BO24" s="229">
        <v>-0.24149999999999999</v>
      </c>
      <c r="BP24" s="230">
        <v>70390500</v>
      </c>
      <c r="BQ24" s="230">
        <v>78612750</v>
      </c>
      <c r="BR24" s="230">
        <v>-8222250</v>
      </c>
      <c r="BS24" s="229">
        <v>-0.1046</v>
      </c>
      <c r="BT24" s="230">
        <v>15862641</v>
      </c>
      <c r="BU24" s="230">
        <v>11694786</v>
      </c>
      <c r="BV24" s="230">
        <v>4167855</v>
      </c>
      <c r="BW24" s="229">
        <v>0.35639999999999999</v>
      </c>
      <c r="BX24" s="230">
        <v>78203250</v>
      </c>
      <c r="BY24" s="230">
        <v>75986250</v>
      </c>
      <c r="BZ24" s="230">
        <v>2217000</v>
      </c>
      <c r="CA24" s="229">
        <v>2.92E-2</v>
      </c>
      <c r="CB24" s="230">
        <v>74178000</v>
      </c>
      <c r="CC24" s="230">
        <v>73027500</v>
      </c>
      <c r="CD24" s="230">
        <v>1150500</v>
      </c>
      <c r="CE24" s="229">
        <v>1.5800000000000002E-2</v>
      </c>
      <c r="CF24" s="230">
        <v>3716250</v>
      </c>
      <c r="CG24" s="230">
        <v>2724750</v>
      </c>
      <c r="CH24" s="230">
        <v>991500</v>
      </c>
      <c r="CI24" s="229">
        <v>0.3639</v>
      </c>
      <c r="CJ24" s="230">
        <v>309000</v>
      </c>
      <c r="CK24" s="230">
        <v>234000</v>
      </c>
      <c r="CL24" s="230">
        <v>75000</v>
      </c>
      <c r="CM24" s="229">
        <v>0.32050000000000001</v>
      </c>
      <c r="CN24" s="230">
        <v>24132000</v>
      </c>
      <c r="CO24" s="230">
        <v>20127750</v>
      </c>
      <c r="CP24" s="230">
        <v>4004250</v>
      </c>
      <c r="CQ24" s="229">
        <v>0.19889999999999999</v>
      </c>
      <c r="CR24" s="230">
        <v>16580250</v>
      </c>
      <c r="CS24" s="230">
        <v>15385500</v>
      </c>
      <c r="CT24" s="230">
        <v>1194750</v>
      </c>
      <c r="CU24" s="229">
        <v>7.7700000000000005E-2</v>
      </c>
      <c r="CV24" s="230">
        <v>118915500</v>
      </c>
      <c r="CW24" s="230">
        <v>111499500</v>
      </c>
      <c r="CX24" s="230">
        <v>7416000</v>
      </c>
      <c r="CY24" s="229">
        <v>6.6500000000000004E-2</v>
      </c>
      <c r="CZ24" s="228">
        <v>36.119999999999997</v>
      </c>
      <c r="DA24" s="228">
        <v>35</v>
      </c>
      <c r="DB24" s="228">
        <v>1.1200000000000001</v>
      </c>
      <c r="DC24" s="228">
        <v>1.1200000000000001</v>
      </c>
      <c r="DD24" s="228">
        <v>32.409999999999997</v>
      </c>
      <c r="DE24" s="228">
        <v>32.15</v>
      </c>
      <c r="DF24" s="228">
        <v>3.71</v>
      </c>
      <c r="DG24" s="228">
        <v>0.26</v>
      </c>
      <c r="DH24" s="228">
        <v>36.03</v>
      </c>
      <c r="DI24" s="228">
        <v>34.47</v>
      </c>
      <c r="DJ24" s="228">
        <v>1.56</v>
      </c>
      <c r="DK24" s="228">
        <v>1.56</v>
      </c>
      <c r="DL24" s="228">
        <v>36.229999999999997</v>
      </c>
      <c r="DM24" s="228">
        <v>35.53</v>
      </c>
      <c r="DN24" s="228">
        <v>0.7</v>
      </c>
      <c r="DO24" s="228">
        <v>0.7</v>
      </c>
      <c r="DP24" s="228">
        <v>0.69</v>
      </c>
      <c r="DQ24" s="228">
        <v>0.76</v>
      </c>
      <c r="DR24" s="228">
        <v>-7.0000000000000007E-2</v>
      </c>
      <c r="DS24" s="229">
        <v>-9.2100000000000001E-2</v>
      </c>
      <c r="DT24" s="231">
        <v>1000</v>
      </c>
      <c r="DU24" s="228">
        <v>960</v>
      </c>
      <c r="DV24" s="228">
        <v>0.79</v>
      </c>
      <c r="DW24" s="228">
        <v>1.01</v>
      </c>
      <c r="DX24" s="228">
        <v>-0.22</v>
      </c>
      <c r="DY24" s="229">
        <v>-0.21779999999999999</v>
      </c>
      <c r="DZ24" s="229">
        <v>5.1499999999999997E-2</v>
      </c>
      <c r="EA24" s="230">
        <v>2958750</v>
      </c>
      <c r="EB24" s="229">
        <v>5.3E-3</v>
      </c>
      <c r="EC24" s="229">
        <v>5.1499999999999997E-2</v>
      </c>
      <c r="ED24" s="228">
        <v>4.93</v>
      </c>
      <c r="EE24" s="229">
        <v>5.5999999999999999E-3</v>
      </c>
      <c r="EF24" s="230">
        <v>10458740</v>
      </c>
      <c r="EG24" s="230">
        <v>6832137</v>
      </c>
      <c r="EH24" s="229">
        <v>0.53080000000000005</v>
      </c>
      <c r="EI24" s="229">
        <v>0.6593</v>
      </c>
      <c r="EJ24" s="231">
        <v>302400.2</v>
      </c>
      <c r="EK24" s="231">
        <v>221973.36</v>
      </c>
      <c r="EL24" s="231">
        <v>115807.43</v>
      </c>
      <c r="EM24" s="231">
        <v>11287</v>
      </c>
      <c r="EN24" s="231">
        <v>640180.99</v>
      </c>
      <c r="EO24" s="231">
        <v>732533.66</v>
      </c>
      <c r="EP24" s="231">
        <v>-92352.67</v>
      </c>
      <c r="EQ24" s="229">
        <v>-0.12609999999999999</v>
      </c>
      <c r="ER24" s="231">
        <v>238631</v>
      </c>
      <c r="ES24" s="231">
        <v>155056</v>
      </c>
      <c r="ET24" s="231">
        <v>677912</v>
      </c>
      <c r="EU24" s="231">
        <v>317526833</v>
      </c>
      <c r="EV24" s="231">
        <v>1071599</v>
      </c>
      <c r="EW24" s="231">
        <v>1028075</v>
      </c>
      <c r="EX24" s="231">
        <v>43524</v>
      </c>
      <c r="EY24" s="229">
        <v>4.2299999999999997E-2</v>
      </c>
      <c r="EZ24" s="229">
        <v>0.3745</v>
      </c>
      <c r="FA24" s="227" t="s">
        <v>567</v>
      </c>
      <c r="FB24" s="161">
        <f t="shared" si="0"/>
        <v>4025250</v>
      </c>
    </row>
    <row r="25" spans="1:158" ht="17.25" thickBot="1" x14ac:dyDescent="0.3">
      <c r="A25" s="226">
        <v>46093</v>
      </c>
      <c r="B25" s="227" t="s">
        <v>172</v>
      </c>
      <c r="C25" s="227" t="s">
        <v>179</v>
      </c>
      <c r="D25" s="228">
        <v>3600</v>
      </c>
      <c r="E25" s="228">
        <v>178.47</v>
      </c>
      <c r="F25" s="228">
        <v>182.51</v>
      </c>
      <c r="G25" s="228">
        <v>-4.04</v>
      </c>
      <c r="H25" s="229">
        <v>-2.2100000000000002E-2</v>
      </c>
      <c r="I25" s="228">
        <v>178.01</v>
      </c>
      <c r="J25" s="228">
        <v>182.47</v>
      </c>
      <c r="K25" s="228">
        <v>-4.46</v>
      </c>
      <c r="L25" s="229">
        <v>-2.4400000000000002E-2</v>
      </c>
      <c r="M25" s="228">
        <v>178.47</v>
      </c>
      <c r="N25" s="228">
        <v>182.51</v>
      </c>
      <c r="O25" s="228">
        <v>-4.04</v>
      </c>
      <c r="P25" s="229">
        <v>-2.2100000000000002E-2</v>
      </c>
      <c r="Q25" s="228">
        <v>179.63</v>
      </c>
      <c r="R25" s="228">
        <v>183.49</v>
      </c>
      <c r="S25" s="228">
        <v>-3.86</v>
      </c>
      <c r="T25" s="229">
        <v>-2.1000000000000001E-2</v>
      </c>
      <c r="U25" s="228">
        <v>180.32</v>
      </c>
      <c r="V25" s="228">
        <v>184.42</v>
      </c>
      <c r="W25" s="228">
        <v>-4.0999999999999996</v>
      </c>
      <c r="X25" s="229">
        <v>-2.2200000000000001E-2</v>
      </c>
      <c r="Y25" s="228">
        <v>0.46</v>
      </c>
      <c r="Z25" s="228">
        <v>0.04</v>
      </c>
      <c r="AA25" s="228">
        <v>0.42</v>
      </c>
      <c r="AB25" s="229">
        <v>2.5999999999999999E-3</v>
      </c>
      <c r="AC25" s="228">
        <v>0.46</v>
      </c>
      <c r="AD25" s="228">
        <v>0.04</v>
      </c>
      <c r="AE25" s="228">
        <v>0.42</v>
      </c>
      <c r="AF25" s="229">
        <v>2.5999999999999999E-3</v>
      </c>
      <c r="AG25" s="228">
        <v>1.62</v>
      </c>
      <c r="AH25" s="228">
        <v>1.02</v>
      </c>
      <c r="AI25" s="228">
        <v>0.6</v>
      </c>
      <c r="AJ25" s="229">
        <v>9.1000000000000004E-3</v>
      </c>
      <c r="AK25" s="228">
        <v>2.31</v>
      </c>
      <c r="AL25" s="228">
        <v>1.95</v>
      </c>
      <c r="AM25" s="228">
        <v>0.36</v>
      </c>
      <c r="AN25" s="229">
        <v>1.2999999999999999E-2</v>
      </c>
      <c r="AO25" s="228">
        <v>179.54</v>
      </c>
      <c r="AP25" s="228">
        <v>180.4</v>
      </c>
      <c r="AQ25" s="228">
        <v>0</v>
      </c>
      <c r="AR25" s="230">
        <v>14655600</v>
      </c>
      <c r="AS25" s="230">
        <v>17172000</v>
      </c>
      <c r="AT25" s="230">
        <v>-2516400</v>
      </c>
      <c r="AU25" s="229">
        <v>-0.14649999999999999</v>
      </c>
      <c r="AV25" s="230">
        <v>13719600</v>
      </c>
      <c r="AW25" s="230">
        <v>16092000</v>
      </c>
      <c r="AX25" s="230">
        <v>-2372400</v>
      </c>
      <c r="AY25" s="229">
        <v>-0.1474</v>
      </c>
      <c r="AZ25" s="230">
        <v>806400</v>
      </c>
      <c r="BA25" s="230">
        <v>842400</v>
      </c>
      <c r="BB25" s="230">
        <v>-36000</v>
      </c>
      <c r="BC25" s="229">
        <v>-4.2700000000000002E-2</v>
      </c>
      <c r="BD25" s="230">
        <v>129600</v>
      </c>
      <c r="BE25" s="230">
        <v>237600</v>
      </c>
      <c r="BF25" s="230">
        <v>-108000</v>
      </c>
      <c r="BG25" s="229">
        <v>-0.45450000000000002</v>
      </c>
      <c r="BH25" s="230">
        <v>17542800</v>
      </c>
      <c r="BI25" s="230">
        <v>26341200</v>
      </c>
      <c r="BJ25" s="230">
        <v>-8798400</v>
      </c>
      <c r="BK25" s="229">
        <v>-0.33400000000000002</v>
      </c>
      <c r="BL25" s="230">
        <v>9867600</v>
      </c>
      <c r="BM25" s="230">
        <v>11793600</v>
      </c>
      <c r="BN25" s="230">
        <v>-1926000</v>
      </c>
      <c r="BO25" s="229">
        <v>-0.1633</v>
      </c>
      <c r="BP25" s="230">
        <v>42066000</v>
      </c>
      <c r="BQ25" s="230">
        <v>55306800</v>
      </c>
      <c r="BR25" s="230">
        <v>-13240800</v>
      </c>
      <c r="BS25" s="229">
        <v>-0.2394</v>
      </c>
      <c r="BT25" s="230">
        <v>5580898</v>
      </c>
      <c r="BU25" s="230">
        <v>8523004</v>
      </c>
      <c r="BV25" s="230">
        <v>-2942106</v>
      </c>
      <c r="BW25" s="229">
        <v>-0.34520000000000001</v>
      </c>
      <c r="BX25" s="230">
        <v>97326000</v>
      </c>
      <c r="BY25" s="230">
        <v>95598000</v>
      </c>
      <c r="BZ25" s="230">
        <v>1728000</v>
      </c>
      <c r="CA25" s="229">
        <v>1.8100000000000002E-2</v>
      </c>
      <c r="CB25" s="230">
        <v>93650400</v>
      </c>
      <c r="CC25" s="230">
        <v>92008800</v>
      </c>
      <c r="CD25" s="230">
        <v>1641600</v>
      </c>
      <c r="CE25" s="229">
        <v>1.78E-2</v>
      </c>
      <c r="CF25" s="230">
        <v>3031200</v>
      </c>
      <c r="CG25" s="230">
        <v>2944800</v>
      </c>
      <c r="CH25" s="230">
        <v>86400</v>
      </c>
      <c r="CI25" s="229">
        <v>2.93E-2</v>
      </c>
      <c r="CJ25" s="230">
        <v>644400</v>
      </c>
      <c r="CK25" s="230">
        <v>644400</v>
      </c>
      <c r="CL25" s="228">
        <v>0</v>
      </c>
      <c r="CM25" s="229">
        <v>0</v>
      </c>
      <c r="CN25" s="230">
        <v>34704000</v>
      </c>
      <c r="CO25" s="230">
        <v>34365600</v>
      </c>
      <c r="CP25" s="230">
        <v>338400</v>
      </c>
      <c r="CQ25" s="229">
        <v>9.7999999999999997E-3</v>
      </c>
      <c r="CR25" s="230">
        <v>20905200</v>
      </c>
      <c r="CS25" s="230">
        <v>22050000</v>
      </c>
      <c r="CT25" s="230">
        <v>-1144800</v>
      </c>
      <c r="CU25" s="229">
        <v>-5.1900000000000002E-2</v>
      </c>
      <c r="CV25" s="230">
        <v>152935200</v>
      </c>
      <c r="CW25" s="230">
        <v>152013600</v>
      </c>
      <c r="CX25" s="230">
        <v>921600</v>
      </c>
      <c r="CY25" s="229">
        <v>6.1000000000000004E-3</v>
      </c>
      <c r="CZ25" s="228">
        <v>41.45</v>
      </c>
      <c r="DA25" s="228">
        <v>41.73</v>
      </c>
      <c r="DB25" s="228">
        <v>-0.28000000000000003</v>
      </c>
      <c r="DC25" s="228">
        <v>-0.28000000000000003</v>
      </c>
      <c r="DD25" s="228">
        <v>41.68</v>
      </c>
      <c r="DE25" s="228">
        <v>41.67</v>
      </c>
      <c r="DF25" s="228">
        <v>-0.23</v>
      </c>
      <c r="DG25" s="228">
        <v>0.01</v>
      </c>
      <c r="DH25" s="228">
        <v>40.770000000000003</v>
      </c>
      <c r="DI25" s="228">
        <v>40.79</v>
      </c>
      <c r="DJ25" s="228">
        <v>-0.02</v>
      </c>
      <c r="DK25" s="228">
        <v>-0.02</v>
      </c>
      <c r="DL25" s="228">
        <v>42.65</v>
      </c>
      <c r="DM25" s="228">
        <v>43.82</v>
      </c>
      <c r="DN25" s="228">
        <v>-1.17</v>
      </c>
      <c r="DO25" s="228">
        <v>-1.17</v>
      </c>
      <c r="DP25" s="228">
        <v>0.6</v>
      </c>
      <c r="DQ25" s="228">
        <v>0.64</v>
      </c>
      <c r="DR25" s="228">
        <v>-0.04</v>
      </c>
      <c r="DS25" s="229">
        <v>-6.25E-2</v>
      </c>
      <c r="DT25" s="228">
        <v>185</v>
      </c>
      <c r="DU25" s="228">
        <v>170</v>
      </c>
      <c r="DV25" s="228">
        <v>0.56000000000000005</v>
      </c>
      <c r="DW25" s="228">
        <v>0.45</v>
      </c>
      <c r="DX25" s="228">
        <v>0.11</v>
      </c>
      <c r="DY25" s="229">
        <v>0.24440000000000001</v>
      </c>
      <c r="DZ25" s="229">
        <v>3.78E-2</v>
      </c>
      <c r="EA25" s="230">
        <v>3589200</v>
      </c>
      <c r="EB25" s="229">
        <v>6.4999999999999997E-3</v>
      </c>
      <c r="EC25" s="229">
        <v>3.78E-2</v>
      </c>
      <c r="ED25" s="228">
        <v>0.86</v>
      </c>
      <c r="EE25" s="229">
        <v>4.7999999999999996E-3</v>
      </c>
      <c r="EF25" s="230">
        <v>1491220</v>
      </c>
      <c r="EG25" s="230">
        <v>3747664</v>
      </c>
      <c r="EH25" s="229">
        <v>-0.60209999999999997</v>
      </c>
      <c r="EI25" s="229">
        <v>0.26719999999999999</v>
      </c>
      <c r="EJ25" s="231">
        <v>33778.589999999997</v>
      </c>
      <c r="EK25" s="231">
        <v>17580.939999999999</v>
      </c>
      <c r="EL25" s="231">
        <v>26321.79</v>
      </c>
      <c r="EM25" s="231">
        <v>6338</v>
      </c>
      <c r="EN25" s="231">
        <v>77681.320000000007</v>
      </c>
      <c r="EO25" s="231">
        <v>104081.65</v>
      </c>
      <c r="EP25" s="231">
        <v>-26400.33</v>
      </c>
      <c r="EQ25" s="229">
        <v>-0.25369999999999998</v>
      </c>
      <c r="ER25" s="231">
        <v>65243</v>
      </c>
      <c r="ES25" s="231">
        <v>36141</v>
      </c>
      <c r="ET25" s="231">
        <v>173745</v>
      </c>
      <c r="EU25" s="231">
        <v>144289555</v>
      </c>
      <c r="EV25" s="231">
        <v>275129</v>
      </c>
      <c r="EW25" s="231">
        <v>277180</v>
      </c>
      <c r="EX25" s="231">
        <v>-2051</v>
      </c>
      <c r="EY25" s="229">
        <v>-7.4000000000000003E-3</v>
      </c>
      <c r="EZ25" s="229">
        <v>1.0599000000000001</v>
      </c>
      <c r="FA25" s="227" t="s">
        <v>567</v>
      </c>
      <c r="FB25" s="161">
        <f t="shared" si="0"/>
        <v>3675600</v>
      </c>
    </row>
    <row r="26" spans="1:158" ht="17.25" thickBot="1" x14ac:dyDescent="0.3">
      <c r="A26" s="226">
        <v>46093</v>
      </c>
      <c r="B26" s="227" t="s">
        <v>172</v>
      </c>
      <c r="C26" s="227" t="s">
        <v>180</v>
      </c>
      <c r="D26" s="228">
        <v>2925</v>
      </c>
      <c r="E26" s="228">
        <v>290.2</v>
      </c>
      <c r="F26" s="228">
        <v>290.35000000000002</v>
      </c>
      <c r="G26" s="228">
        <v>-0.15</v>
      </c>
      <c r="H26" s="229">
        <v>-5.0000000000000001E-4</v>
      </c>
      <c r="I26" s="228">
        <v>289.2</v>
      </c>
      <c r="J26" s="228">
        <v>289.3</v>
      </c>
      <c r="K26" s="228">
        <v>-0.1</v>
      </c>
      <c r="L26" s="229">
        <v>-2.9999999999999997E-4</v>
      </c>
      <c r="M26" s="228">
        <v>290.2</v>
      </c>
      <c r="N26" s="228">
        <v>290.35000000000002</v>
      </c>
      <c r="O26" s="228">
        <v>-0.15</v>
      </c>
      <c r="P26" s="229">
        <v>-5.0000000000000001E-4</v>
      </c>
      <c r="Q26" s="228">
        <v>292.25</v>
      </c>
      <c r="R26" s="228">
        <v>292.39999999999998</v>
      </c>
      <c r="S26" s="228">
        <v>-0.15</v>
      </c>
      <c r="T26" s="229">
        <v>-5.0000000000000001E-4</v>
      </c>
      <c r="U26" s="228">
        <v>293.7</v>
      </c>
      <c r="V26" s="228">
        <v>293.89999999999998</v>
      </c>
      <c r="W26" s="228">
        <v>-0.2</v>
      </c>
      <c r="X26" s="229">
        <v>-6.9999999999999999E-4</v>
      </c>
      <c r="Y26" s="228">
        <v>1</v>
      </c>
      <c r="Z26" s="228">
        <v>1.05</v>
      </c>
      <c r="AA26" s="228">
        <v>-0.05</v>
      </c>
      <c r="AB26" s="229">
        <v>3.5000000000000001E-3</v>
      </c>
      <c r="AC26" s="228">
        <v>1</v>
      </c>
      <c r="AD26" s="228">
        <v>1.05</v>
      </c>
      <c r="AE26" s="228">
        <v>-0.05</v>
      </c>
      <c r="AF26" s="229">
        <v>3.5000000000000001E-3</v>
      </c>
      <c r="AG26" s="228">
        <v>3.05</v>
      </c>
      <c r="AH26" s="228">
        <v>3.1</v>
      </c>
      <c r="AI26" s="228">
        <v>-0.05</v>
      </c>
      <c r="AJ26" s="229">
        <v>1.0500000000000001E-2</v>
      </c>
      <c r="AK26" s="228">
        <v>4.5</v>
      </c>
      <c r="AL26" s="228">
        <v>4.5999999999999996</v>
      </c>
      <c r="AM26" s="228">
        <v>-0.1</v>
      </c>
      <c r="AN26" s="229">
        <v>1.5599999999999999E-2</v>
      </c>
      <c r="AO26" s="228">
        <v>289.06</v>
      </c>
      <c r="AP26" s="228">
        <v>291.07</v>
      </c>
      <c r="AQ26" s="228">
        <v>0</v>
      </c>
      <c r="AR26" s="230">
        <v>16517475</v>
      </c>
      <c r="AS26" s="230">
        <v>15900300</v>
      </c>
      <c r="AT26" s="230">
        <v>617175</v>
      </c>
      <c r="AU26" s="229">
        <v>3.8800000000000001E-2</v>
      </c>
      <c r="AV26" s="230">
        <v>14595750</v>
      </c>
      <c r="AW26" s="230">
        <v>13460850</v>
      </c>
      <c r="AX26" s="230">
        <v>1134900</v>
      </c>
      <c r="AY26" s="229">
        <v>8.43E-2</v>
      </c>
      <c r="AZ26" s="230">
        <v>1523925</v>
      </c>
      <c r="BA26" s="230">
        <v>1790100</v>
      </c>
      <c r="BB26" s="230">
        <v>-266175</v>
      </c>
      <c r="BC26" s="229">
        <v>-0.1487</v>
      </c>
      <c r="BD26" s="230">
        <v>397800</v>
      </c>
      <c r="BE26" s="230">
        <v>649350</v>
      </c>
      <c r="BF26" s="230">
        <v>-251550</v>
      </c>
      <c r="BG26" s="229">
        <v>-0.38740000000000002</v>
      </c>
      <c r="BH26" s="230">
        <v>37337625</v>
      </c>
      <c r="BI26" s="230">
        <v>24049350</v>
      </c>
      <c r="BJ26" s="230">
        <v>13288275</v>
      </c>
      <c r="BK26" s="229">
        <v>0.55249999999999999</v>
      </c>
      <c r="BL26" s="230">
        <v>26421525</v>
      </c>
      <c r="BM26" s="230">
        <v>20384325</v>
      </c>
      <c r="BN26" s="230">
        <v>6037200</v>
      </c>
      <c r="BO26" s="229">
        <v>0.29620000000000002</v>
      </c>
      <c r="BP26" s="230">
        <v>80276625</v>
      </c>
      <c r="BQ26" s="230">
        <v>60333975</v>
      </c>
      <c r="BR26" s="230">
        <v>19942650</v>
      </c>
      <c r="BS26" s="229">
        <v>0.33050000000000002</v>
      </c>
      <c r="BT26" s="230">
        <v>8451511</v>
      </c>
      <c r="BU26" s="230">
        <v>6633861</v>
      </c>
      <c r="BV26" s="230">
        <v>1817650</v>
      </c>
      <c r="BW26" s="229">
        <v>0.27400000000000002</v>
      </c>
      <c r="BX26" s="230">
        <v>102743550</v>
      </c>
      <c r="BY26" s="230">
        <v>100734075</v>
      </c>
      <c r="BZ26" s="230">
        <v>2009475</v>
      </c>
      <c r="CA26" s="229">
        <v>1.9900000000000001E-2</v>
      </c>
      <c r="CB26" s="230">
        <v>85804875</v>
      </c>
      <c r="CC26" s="230">
        <v>84254625</v>
      </c>
      <c r="CD26" s="230">
        <v>1550250</v>
      </c>
      <c r="CE26" s="229">
        <v>1.84E-2</v>
      </c>
      <c r="CF26" s="230">
        <v>9974250</v>
      </c>
      <c r="CG26" s="230">
        <v>9535500</v>
      </c>
      <c r="CH26" s="230">
        <v>438750</v>
      </c>
      <c r="CI26" s="229">
        <v>4.5999999999999999E-2</v>
      </c>
      <c r="CJ26" s="230">
        <v>6964425</v>
      </c>
      <c r="CK26" s="230">
        <v>6943950</v>
      </c>
      <c r="CL26" s="230">
        <v>20475</v>
      </c>
      <c r="CM26" s="229">
        <v>2.8999999999999998E-3</v>
      </c>
      <c r="CN26" s="230">
        <v>41678325</v>
      </c>
      <c r="CO26" s="230">
        <v>40496625</v>
      </c>
      <c r="CP26" s="230">
        <v>1181700</v>
      </c>
      <c r="CQ26" s="229">
        <v>2.92E-2</v>
      </c>
      <c r="CR26" s="230">
        <v>35913150</v>
      </c>
      <c r="CS26" s="230">
        <v>36387000</v>
      </c>
      <c r="CT26" s="230">
        <v>-473850</v>
      </c>
      <c r="CU26" s="229">
        <v>-1.2999999999999999E-2</v>
      </c>
      <c r="CV26" s="230">
        <v>180335025</v>
      </c>
      <c r="CW26" s="230">
        <v>177617700</v>
      </c>
      <c r="CX26" s="230">
        <v>2717325</v>
      </c>
      <c r="CY26" s="229">
        <v>1.5299999999999999E-2</v>
      </c>
      <c r="CZ26" s="228">
        <v>35.47</v>
      </c>
      <c r="DA26" s="228">
        <v>36.119999999999997</v>
      </c>
      <c r="DB26" s="228">
        <v>-0.65</v>
      </c>
      <c r="DC26" s="228">
        <v>-0.65</v>
      </c>
      <c r="DD26" s="228">
        <v>34.46</v>
      </c>
      <c r="DE26" s="228">
        <v>34.549999999999997</v>
      </c>
      <c r="DF26" s="228">
        <v>1.01</v>
      </c>
      <c r="DG26" s="228">
        <v>-0.09</v>
      </c>
      <c r="DH26" s="228">
        <v>34.6</v>
      </c>
      <c r="DI26" s="228">
        <v>35.15</v>
      </c>
      <c r="DJ26" s="228">
        <v>-0.55000000000000004</v>
      </c>
      <c r="DK26" s="228">
        <v>-0.55000000000000004</v>
      </c>
      <c r="DL26" s="228">
        <v>36.700000000000003</v>
      </c>
      <c r="DM26" s="228">
        <v>37.26</v>
      </c>
      <c r="DN26" s="228">
        <v>-0.56000000000000005</v>
      </c>
      <c r="DO26" s="228">
        <v>-0.56000000000000005</v>
      </c>
      <c r="DP26" s="228">
        <v>0.86</v>
      </c>
      <c r="DQ26" s="228">
        <v>0.9</v>
      </c>
      <c r="DR26" s="228">
        <v>-0.04</v>
      </c>
      <c r="DS26" s="229">
        <v>-4.4400000000000002E-2</v>
      </c>
      <c r="DT26" s="228">
        <v>300</v>
      </c>
      <c r="DU26" s="228">
        <v>300</v>
      </c>
      <c r="DV26" s="228">
        <v>0.71</v>
      </c>
      <c r="DW26" s="228">
        <v>0.85</v>
      </c>
      <c r="DX26" s="228">
        <v>-0.14000000000000001</v>
      </c>
      <c r="DY26" s="229">
        <v>-0.16470000000000001</v>
      </c>
      <c r="DZ26" s="229">
        <v>0.16489999999999999</v>
      </c>
      <c r="EA26" s="230">
        <v>16479450</v>
      </c>
      <c r="EB26" s="229">
        <v>7.1000000000000004E-3</v>
      </c>
      <c r="EC26" s="229">
        <v>0.16489999999999999</v>
      </c>
      <c r="ED26" s="228">
        <v>2.0099999999999998</v>
      </c>
      <c r="EE26" s="229">
        <v>7.0000000000000001E-3</v>
      </c>
      <c r="EF26" s="230">
        <v>3470273</v>
      </c>
      <c r="EG26" s="230">
        <v>2965722</v>
      </c>
      <c r="EH26" s="229">
        <v>0.1701</v>
      </c>
      <c r="EI26" s="229">
        <v>0.41060000000000002</v>
      </c>
      <c r="EJ26" s="231">
        <v>115079.67</v>
      </c>
      <c r="EK26" s="231">
        <v>76496.14</v>
      </c>
      <c r="EL26" s="231">
        <v>47792.7</v>
      </c>
      <c r="EM26" s="231">
        <v>9683</v>
      </c>
      <c r="EN26" s="231">
        <v>239368.51</v>
      </c>
      <c r="EO26" s="231">
        <v>180995.36</v>
      </c>
      <c r="EP26" s="231">
        <v>58373.15</v>
      </c>
      <c r="EQ26" s="229">
        <v>0.32250000000000001</v>
      </c>
      <c r="ER26" s="231">
        <v>131967</v>
      </c>
      <c r="ES26" s="231">
        <v>105030</v>
      </c>
      <c r="ET26" s="231">
        <v>298610</v>
      </c>
      <c r="EU26" s="231">
        <v>279476623</v>
      </c>
      <c r="EV26" s="231">
        <v>535607</v>
      </c>
      <c r="EW26" s="231">
        <v>527793</v>
      </c>
      <c r="EX26" s="231">
        <v>7814</v>
      </c>
      <c r="EY26" s="229">
        <v>1.4800000000000001E-2</v>
      </c>
      <c r="EZ26" s="229">
        <v>0.64529999999999998</v>
      </c>
      <c r="FA26" s="227" t="s">
        <v>567</v>
      </c>
      <c r="FB26" s="161">
        <f t="shared" si="0"/>
        <v>16938675</v>
      </c>
    </row>
    <row r="27" spans="1:158" ht="17.25" thickBot="1" x14ac:dyDescent="0.3">
      <c r="A27" s="226">
        <v>46093</v>
      </c>
      <c r="B27" s="227" t="s">
        <v>172</v>
      </c>
      <c r="C27" s="227" t="s">
        <v>602</v>
      </c>
      <c r="D27" s="228">
        <v>5200</v>
      </c>
      <c r="E27" s="228">
        <v>154.91999999999999</v>
      </c>
      <c r="F27" s="228">
        <v>154.61000000000001</v>
      </c>
      <c r="G27" s="228">
        <v>0.31</v>
      </c>
      <c r="H27" s="229">
        <v>2E-3</v>
      </c>
      <c r="I27" s="228">
        <v>154.78</v>
      </c>
      <c r="J27" s="228">
        <v>154.30000000000001</v>
      </c>
      <c r="K27" s="228">
        <v>0.48</v>
      </c>
      <c r="L27" s="229">
        <v>3.0999999999999999E-3</v>
      </c>
      <c r="M27" s="228">
        <v>154.91999999999999</v>
      </c>
      <c r="N27" s="228">
        <v>154.61000000000001</v>
      </c>
      <c r="O27" s="228">
        <v>0.31</v>
      </c>
      <c r="P27" s="229">
        <v>2E-3</v>
      </c>
      <c r="Q27" s="228">
        <v>156.05000000000001</v>
      </c>
      <c r="R27" s="228">
        <v>155.30000000000001</v>
      </c>
      <c r="S27" s="228">
        <v>0.75</v>
      </c>
      <c r="T27" s="229">
        <v>4.7999999999999996E-3</v>
      </c>
      <c r="U27" s="228">
        <v>157.94999999999999</v>
      </c>
      <c r="V27" s="228">
        <v>156.55000000000001</v>
      </c>
      <c r="W27" s="228">
        <v>1.4</v>
      </c>
      <c r="X27" s="229">
        <v>8.8999999999999999E-3</v>
      </c>
      <c r="Y27" s="228">
        <v>0.14000000000000001</v>
      </c>
      <c r="Z27" s="228">
        <v>0.31</v>
      </c>
      <c r="AA27" s="228">
        <v>-0.17</v>
      </c>
      <c r="AB27" s="229">
        <v>8.9999999999999998E-4</v>
      </c>
      <c r="AC27" s="228">
        <v>0.14000000000000001</v>
      </c>
      <c r="AD27" s="228">
        <v>0.31</v>
      </c>
      <c r="AE27" s="228">
        <v>-0.17</v>
      </c>
      <c r="AF27" s="229">
        <v>8.9999999999999998E-4</v>
      </c>
      <c r="AG27" s="228">
        <v>1.27</v>
      </c>
      <c r="AH27" s="228">
        <v>1</v>
      </c>
      <c r="AI27" s="228">
        <v>0.27</v>
      </c>
      <c r="AJ27" s="229">
        <v>8.2000000000000007E-3</v>
      </c>
      <c r="AK27" s="228">
        <v>3.17</v>
      </c>
      <c r="AL27" s="228">
        <v>2.25</v>
      </c>
      <c r="AM27" s="228">
        <v>0.92</v>
      </c>
      <c r="AN27" s="229">
        <v>2.0500000000000001E-2</v>
      </c>
      <c r="AO27" s="228">
        <v>153.54</v>
      </c>
      <c r="AP27" s="228">
        <v>154.44</v>
      </c>
      <c r="AQ27" s="228">
        <v>0</v>
      </c>
      <c r="AR27" s="230">
        <v>10592400</v>
      </c>
      <c r="AS27" s="230">
        <v>12958400</v>
      </c>
      <c r="AT27" s="230">
        <v>-2366000</v>
      </c>
      <c r="AU27" s="229">
        <v>-0.18260000000000001</v>
      </c>
      <c r="AV27" s="230">
        <v>9640800</v>
      </c>
      <c r="AW27" s="230">
        <v>12162800</v>
      </c>
      <c r="AX27" s="230">
        <v>-2522000</v>
      </c>
      <c r="AY27" s="229">
        <v>-0.2074</v>
      </c>
      <c r="AZ27" s="230">
        <v>847600</v>
      </c>
      <c r="BA27" s="230">
        <v>702000</v>
      </c>
      <c r="BB27" s="230">
        <v>145600</v>
      </c>
      <c r="BC27" s="229">
        <v>0.2074</v>
      </c>
      <c r="BD27" s="230">
        <v>104000</v>
      </c>
      <c r="BE27" s="230">
        <v>93600</v>
      </c>
      <c r="BF27" s="230">
        <v>10400</v>
      </c>
      <c r="BG27" s="229">
        <v>0.1111</v>
      </c>
      <c r="BH27" s="230">
        <v>12974000</v>
      </c>
      <c r="BI27" s="230">
        <v>9094800</v>
      </c>
      <c r="BJ27" s="230">
        <v>3879200</v>
      </c>
      <c r="BK27" s="229">
        <v>0.42649999999999999</v>
      </c>
      <c r="BL27" s="230">
        <v>6957600</v>
      </c>
      <c r="BM27" s="230">
        <v>5995600</v>
      </c>
      <c r="BN27" s="230">
        <v>962000</v>
      </c>
      <c r="BO27" s="229">
        <v>0.1605</v>
      </c>
      <c r="BP27" s="230">
        <v>30524000</v>
      </c>
      <c r="BQ27" s="230">
        <v>28048800</v>
      </c>
      <c r="BR27" s="230">
        <v>2475200</v>
      </c>
      <c r="BS27" s="229">
        <v>8.8200000000000001E-2</v>
      </c>
      <c r="BT27" s="230">
        <v>6692572</v>
      </c>
      <c r="BU27" s="230">
        <v>6346183</v>
      </c>
      <c r="BV27" s="230">
        <v>346389</v>
      </c>
      <c r="BW27" s="229">
        <v>5.4600000000000003E-2</v>
      </c>
      <c r="BX27" s="230">
        <v>56092400</v>
      </c>
      <c r="BY27" s="230">
        <v>56669600</v>
      </c>
      <c r="BZ27" s="230">
        <v>-577200</v>
      </c>
      <c r="CA27" s="229">
        <v>-1.0200000000000001E-2</v>
      </c>
      <c r="CB27" s="230">
        <v>53492400</v>
      </c>
      <c r="CC27" s="230">
        <v>54142400</v>
      </c>
      <c r="CD27" s="230">
        <v>-650000</v>
      </c>
      <c r="CE27" s="229">
        <v>-1.2E-2</v>
      </c>
      <c r="CF27" s="230">
        <v>2262000</v>
      </c>
      <c r="CG27" s="230">
        <v>2189200</v>
      </c>
      <c r="CH27" s="230">
        <v>72800</v>
      </c>
      <c r="CI27" s="229">
        <v>3.3300000000000003E-2</v>
      </c>
      <c r="CJ27" s="230">
        <v>338000</v>
      </c>
      <c r="CK27" s="230">
        <v>338000</v>
      </c>
      <c r="CL27" s="228">
        <v>0</v>
      </c>
      <c r="CM27" s="229">
        <v>0</v>
      </c>
      <c r="CN27" s="230">
        <v>26504400</v>
      </c>
      <c r="CO27" s="230">
        <v>25942800</v>
      </c>
      <c r="CP27" s="230">
        <v>561600</v>
      </c>
      <c r="CQ27" s="229">
        <v>2.1600000000000001E-2</v>
      </c>
      <c r="CR27" s="230">
        <v>20540000</v>
      </c>
      <c r="CS27" s="230">
        <v>20862400</v>
      </c>
      <c r="CT27" s="230">
        <v>-322400</v>
      </c>
      <c r="CU27" s="229">
        <v>-1.55E-2</v>
      </c>
      <c r="CV27" s="230">
        <v>103136800</v>
      </c>
      <c r="CW27" s="230">
        <v>103474800</v>
      </c>
      <c r="CX27" s="230">
        <v>-338000</v>
      </c>
      <c r="CY27" s="229">
        <v>-3.3E-3</v>
      </c>
      <c r="CZ27" s="228">
        <v>42.87</v>
      </c>
      <c r="DA27" s="228">
        <v>43.1</v>
      </c>
      <c r="DB27" s="228">
        <v>-0.23</v>
      </c>
      <c r="DC27" s="228">
        <v>-0.23</v>
      </c>
      <c r="DD27" s="228">
        <v>41.02</v>
      </c>
      <c r="DE27" s="228">
        <v>41.12</v>
      </c>
      <c r="DF27" s="228">
        <v>1.85</v>
      </c>
      <c r="DG27" s="228">
        <v>-0.1</v>
      </c>
      <c r="DH27" s="228">
        <v>41.66</v>
      </c>
      <c r="DI27" s="228">
        <v>42.74</v>
      </c>
      <c r="DJ27" s="228">
        <v>-1.08</v>
      </c>
      <c r="DK27" s="228">
        <v>-1.08</v>
      </c>
      <c r="DL27" s="228">
        <v>45.14</v>
      </c>
      <c r="DM27" s="228">
        <v>43.63</v>
      </c>
      <c r="DN27" s="228">
        <v>1.51</v>
      </c>
      <c r="DO27" s="228">
        <v>1.51</v>
      </c>
      <c r="DP27" s="228">
        <v>0.77</v>
      </c>
      <c r="DQ27" s="228">
        <v>0.8</v>
      </c>
      <c r="DR27" s="228">
        <v>-0.03</v>
      </c>
      <c r="DS27" s="229">
        <v>-3.7499999999999999E-2</v>
      </c>
      <c r="DT27" s="228">
        <v>190</v>
      </c>
      <c r="DU27" s="228">
        <v>150</v>
      </c>
      <c r="DV27" s="228">
        <v>0.54</v>
      </c>
      <c r="DW27" s="228">
        <v>0.66</v>
      </c>
      <c r="DX27" s="228">
        <v>-0.12</v>
      </c>
      <c r="DY27" s="229">
        <v>-0.18179999999999999</v>
      </c>
      <c r="DZ27" s="229">
        <v>4.6399999999999997E-2</v>
      </c>
      <c r="EA27" s="230">
        <v>2527200</v>
      </c>
      <c r="EB27" s="229">
        <v>7.3000000000000001E-3</v>
      </c>
      <c r="EC27" s="229">
        <v>4.6399999999999997E-2</v>
      </c>
      <c r="ED27" s="228">
        <v>0.9</v>
      </c>
      <c r="EE27" s="229">
        <v>5.8999999999999999E-3</v>
      </c>
      <c r="EF27" s="230">
        <v>1790374</v>
      </c>
      <c r="EG27" s="230">
        <v>2192588</v>
      </c>
      <c r="EH27" s="229">
        <v>-0.18340000000000001</v>
      </c>
      <c r="EI27" s="229">
        <v>0.26750000000000002</v>
      </c>
      <c r="EJ27" s="231">
        <v>21481.29</v>
      </c>
      <c r="EK27" s="231">
        <v>10582.59</v>
      </c>
      <c r="EL27" s="231">
        <v>16273.37</v>
      </c>
      <c r="EM27" s="231">
        <v>2995</v>
      </c>
      <c r="EN27" s="231">
        <v>48337.25</v>
      </c>
      <c r="EO27" s="231">
        <v>44941.91</v>
      </c>
      <c r="EP27" s="231">
        <v>3395.34</v>
      </c>
      <c r="EQ27" s="229">
        <v>7.5499999999999998E-2</v>
      </c>
      <c r="ER27" s="231">
        <v>45200</v>
      </c>
      <c r="ES27" s="231">
        <v>32629</v>
      </c>
      <c r="ET27" s="231">
        <v>86934</v>
      </c>
      <c r="EU27" s="231">
        <v>181770921</v>
      </c>
      <c r="EV27" s="231">
        <v>164764</v>
      </c>
      <c r="EW27" s="231">
        <v>165155</v>
      </c>
      <c r="EX27" s="228">
        <v>-391</v>
      </c>
      <c r="EY27" s="229">
        <v>-2.3999999999999998E-3</v>
      </c>
      <c r="EZ27" s="229">
        <v>0.56740000000000002</v>
      </c>
      <c r="FA27" s="227" t="s">
        <v>556</v>
      </c>
      <c r="FB27" s="161">
        <f t="shared" si="0"/>
        <v>2600000</v>
      </c>
    </row>
    <row r="28" spans="1:158" ht="17.25" thickBot="1" x14ac:dyDescent="0.3">
      <c r="A28" s="226">
        <v>46093</v>
      </c>
      <c r="B28" s="227" t="s">
        <v>181</v>
      </c>
      <c r="C28" s="227" t="s">
        <v>182</v>
      </c>
      <c r="D28" s="228">
        <v>30</v>
      </c>
      <c r="E28" s="231">
        <v>55369.8</v>
      </c>
      <c r="F28" s="231">
        <v>55929.8</v>
      </c>
      <c r="G28" s="228">
        <v>-560</v>
      </c>
      <c r="H28" s="229">
        <v>-0.01</v>
      </c>
      <c r="I28" s="231">
        <v>55100.95</v>
      </c>
      <c r="J28" s="231">
        <v>55735.75</v>
      </c>
      <c r="K28" s="228">
        <v>-634.79999999999995</v>
      </c>
      <c r="L28" s="229">
        <v>-1.14E-2</v>
      </c>
      <c r="M28" s="231">
        <v>55369.8</v>
      </c>
      <c r="N28" s="231">
        <v>55929.8</v>
      </c>
      <c r="O28" s="228">
        <v>-560</v>
      </c>
      <c r="P28" s="229">
        <v>-0.01</v>
      </c>
      <c r="Q28" s="231">
        <v>55751.199999999997</v>
      </c>
      <c r="R28" s="231">
        <v>56325</v>
      </c>
      <c r="S28" s="228">
        <v>-573.79999999999995</v>
      </c>
      <c r="T28" s="229">
        <v>-1.0200000000000001E-2</v>
      </c>
      <c r="U28" s="231">
        <v>55909.2</v>
      </c>
      <c r="V28" s="231">
        <v>56465</v>
      </c>
      <c r="W28" s="228">
        <v>-555.79999999999995</v>
      </c>
      <c r="X28" s="229">
        <v>-9.7999999999999997E-3</v>
      </c>
      <c r="Y28" s="228">
        <v>268.85000000000002</v>
      </c>
      <c r="Z28" s="228">
        <v>194.05</v>
      </c>
      <c r="AA28" s="228">
        <v>74.8</v>
      </c>
      <c r="AB28" s="229">
        <v>4.8999999999999998E-3</v>
      </c>
      <c r="AC28" s="228">
        <v>268.85000000000002</v>
      </c>
      <c r="AD28" s="228">
        <v>194.05</v>
      </c>
      <c r="AE28" s="228">
        <v>74.8</v>
      </c>
      <c r="AF28" s="229">
        <v>4.8999999999999998E-3</v>
      </c>
      <c r="AG28" s="228">
        <v>650.25</v>
      </c>
      <c r="AH28" s="228">
        <v>589.25</v>
      </c>
      <c r="AI28" s="228">
        <v>61</v>
      </c>
      <c r="AJ28" s="229">
        <v>1.18E-2</v>
      </c>
      <c r="AK28" s="228">
        <v>808.25</v>
      </c>
      <c r="AL28" s="228">
        <v>729.25</v>
      </c>
      <c r="AM28" s="228">
        <v>79</v>
      </c>
      <c r="AN28" s="229">
        <v>1.47E-2</v>
      </c>
      <c r="AO28" s="231">
        <v>55415.55</v>
      </c>
      <c r="AP28" s="231">
        <v>55781.34</v>
      </c>
      <c r="AQ28" s="228">
        <v>0</v>
      </c>
      <c r="AR28" s="230">
        <v>1721160</v>
      </c>
      <c r="AS28" s="230">
        <v>1763820</v>
      </c>
      <c r="AT28" s="230">
        <v>-42660</v>
      </c>
      <c r="AU28" s="229">
        <v>-2.4199999999999999E-2</v>
      </c>
      <c r="AV28" s="230">
        <v>1354320</v>
      </c>
      <c r="AW28" s="230">
        <v>1379910</v>
      </c>
      <c r="AX28" s="230">
        <v>-25590</v>
      </c>
      <c r="AY28" s="229">
        <v>-1.8499999999999999E-2</v>
      </c>
      <c r="AZ28" s="230">
        <v>261870</v>
      </c>
      <c r="BA28" s="230">
        <v>321120</v>
      </c>
      <c r="BB28" s="230">
        <v>-59250</v>
      </c>
      <c r="BC28" s="229">
        <v>-0.1845</v>
      </c>
      <c r="BD28" s="230">
        <v>104970</v>
      </c>
      <c r="BE28" s="230">
        <v>62790</v>
      </c>
      <c r="BF28" s="230">
        <v>42180</v>
      </c>
      <c r="BG28" s="229">
        <v>0.67179999999999995</v>
      </c>
      <c r="BH28" s="230">
        <v>43614810</v>
      </c>
      <c r="BI28" s="230">
        <v>40000980</v>
      </c>
      <c r="BJ28" s="230">
        <v>3613830</v>
      </c>
      <c r="BK28" s="229">
        <v>9.0300000000000005E-2</v>
      </c>
      <c r="BL28" s="230">
        <v>31610970</v>
      </c>
      <c r="BM28" s="230">
        <v>34642410</v>
      </c>
      <c r="BN28" s="230">
        <v>-3031440</v>
      </c>
      <c r="BO28" s="229">
        <v>-8.7499999999999994E-2</v>
      </c>
      <c r="BP28" s="230">
        <v>76946940</v>
      </c>
      <c r="BQ28" s="230">
        <v>76407210</v>
      </c>
      <c r="BR28" s="230">
        <v>539730</v>
      </c>
      <c r="BS28" s="229">
        <v>7.1000000000000004E-3</v>
      </c>
      <c r="BT28" s="228">
        <v>0</v>
      </c>
      <c r="BU28" s="228">
        <v>0</v>
      </c>
      <c r="BV28" s="228">
        <v>0</v>
      </c>
      <c r="BW28" s="229">
        <v>0</v>
      </c>
      <c r="BX28" s="230">
        <v>3071940</v>
      </c>
      <c r="BY28" s="230">
        <v>3108240</v>
      </c>
      <c r="BZ28" s="230">
        <v>-36300</v>
      </c>
      <c r="CA28" s="229">
        <v>-1.17E-2</v>
      </c>
      <c r="CB28" s="230">
        <v>2175660</v>
      </c>
      <c r="CC28" s="230">
        <v>2268510</v>
      </c>
      <c r="CD28" s="230">
        <v>-92850</v>
      </c>
      <c r="CE28" s="229">
        <v>-4.0899999999999999E-2</v>
      </c>
      <c r="CF28" s="230">
        <v>565020</v>
      </c>
      <c r="CG28" s="230">
        <v>517080</v>
      </c>
      <c r="CH28" s="230">
        <v>47940</v>
      </c>
      <c r="CI28" s="229">
        <v>9.2700000000000005E-2</v>
      </c>
      <c r="CJ28" s="230">
        <v>331260</v>
      </c>
      <c r="CK28" s="230">
        <v>322650</v>
      </c>
      <c r="CL28" s="230">
        <v>8610</v>
      </c>
      <c r="CM28" s="229">
        <v>2.6700000000000002E-2</v>
      </c>
      <c r="CN28" s="230">
        <v>19741040</v>
      </c>
      <c r="CO28" s="230">
        <v>19364220</v>
      </c>
      <c r="CP28" s="230">
        <v>376820</v>
      </c>
      <c r="CQ28" s="229">
        <v>1.95E-2</v>
      </c>
      <c r="CR28" s="230">
        <v>15649530</v>
      </c>
      <c r="CS28" s="230">
        <v>14863785</v>
      </c>
      <c r="CT28" s="230">
        <v>785745</v>
      </c>
      <c r="CU28" s="229">
        <v>5.2900000000000003E-2</v>
      </c>
      <c r="CV28" s="230">
        <v>38462510</v>
      </c>
      <c r="CW28" s="230">
        <v>37336245</v>
      </c>
      <c r="CX28" s="230">
        <v>1126265</v>
      </c>
      <c r="CY28" s="229">
        <v>3.0200000000000001E-2</v>
      </c>
      <c r="CZ28" s="228">
        <v>23.62</v>
      </c>
      <c r="DA28" s="228">
        <v>22.59</v>
      </c>
      <c r="DB28" s="228">
        <v>1.03</v>
      </c>
      <c r="DC28" s="228">
        <v>1.03</v>
      </c>
      <c r="DD28" s="228">
        <v>16.91</v>
      </c>
      <c r="DE28" s="228">
        <v>16.88</v>
      </c>
      <c r="DF28" s="228">
        <v>6.71</v>
      </c>
      <c r="DG28" s="228">
        <v>0.03</v>
      </c>
      <c r="DH28" s="228">
        <v>22.07</v>
      </c>
      <c r="DI28" s="228">
        <v>21.3</v>
      </c>
      <c r="DJ28" s="228">
        <v>0.77</v>
      </c>
      <c r="DK28" s="228">
        <v>0.77</v>
      </c>
      <c r="DL28" s="228">
        <v>25.75</v>
      </c>
      <c r="DM28" s="228">
        <v>24.09</v>
      </c>
      <c r="DN28" s="228">
        <v>1.66</v>
      </c>
      <c r="DO28" s="228">
        <v>1.66</v>
      </c>
      <c r="DP28" s="228">
        <v>0.79</v>
      </c>
      <c r="DQ28" s="228">
        <v>0.77</v>
      </c>
      <c r="DR28" s="228">
        <v>0.02</v>
      </c>
      <c r="DS28" s="229">
        <v>2.5999999999999999E-2</v>
      </c>
      <c r="DT28" s="231">
        <v>61000</v>
      </c>
      <c r="DU28" s="231">
        <v>59000</v>
      </c>
      <c r="DV28" s="228">
        <v>0.72</v>
      </c>
      <c r="DW28" s="228">
        <v>0.87</v>
      </c>
      <c r="DX28" s="228">
        <v>-0.15</v>
      </c>
      <c r="DY28" s="229">
        <v>-0.1724</v>
      </c>
      <c r="DZ28" s="229">
        <v>0.2918</v>
      </c>
      <c r="EA28" s="230">
        <v>839730</v>
      </c>
      <c r="EB28" s="229">
        <v>6.8999999999999999E-3</v>
      </c>
      <c r="EC28" s="229">
        <v>0.2918</v>
      </c>
      <c r="ED28" s="228">
        <v>365.79</v>
      </c>
      <c r="EE28" s="229">
        <v>6.6E-3</v>
      </c>
      <c r="EF28" s="228">
        <v>0</v>
      </c>
      <c r="EG28" s="228">
        <v>0</v>
      </c>
      <c r="EH28" s="229">
        <v>0</v>
      </c>
      <c r="EI28" s="229">
        <v>0</v>
      </c>
      <c r="EJ28" s="231">
        <v>25636213.059999999</v>
      </c>
      <c r="EK28" s="231">
        <v>17322689.440000001</v>
      </c>
      <c r="EL28" s="231">
        <v>955287.91</v>
      </c>
      <c r="EM28" s="228">
        <v>0</v>
      </c>
      <c r="EN28" s="231">
        <v>43914190.409999996</v>
      </c>
      <c r="EO28" s="231">
        <v>44225290.350000001</v>
      </c>
      <c r="EP28" s="231">
        <v>-311099.94</v>
      </c>
      <c r="EQ28" s="229">
        <v>-7.0000000000000001E-3</v>
      </c>
      <c r="ER28" s="231">
        <v>11864259</v>
      </c>
      <c r="ES28" s="231">
        <v>8821364</v>
      </c>
      <c r="ET28" s="231">
        <v>1704869</v>
      </c>
      <c r="EU28" s="228">
        <v>0</v>
      </c>
      <c r="EV28" s="231">
        <v>22390491</v>
      </c>
      <c r="EW28" s="231">
        <v>21858069</v>
      </c>
      <c r="EX28" s="231">
        <v>532422</v>
      </c>
      <c r="EY28" s="229">
        <v>2.4400000000000002E-2</v>
      </c>
      <c r="EZ28" s="229">
        <v>0</v>
      </c>
      <c r="FA28" s="227" t="s">
        <v>568</v>
      </c>
      <c r="FB28" s="161">
        <f t="shared" si="0"/>
        <v>896280</v>
      </c>
    </row>
    <row r="29" spans="1:158" ht="17.25" thickBot="1" x14ac:dyDescent="0.3">
      <c r="A29" s="226">
        <v>46093</v>
      </c>
      <c r="B29" s="227" t="s">
        <v>184</v>
      </c>
      <c r="C29" s="227" t="s">
        <v>670</v>
      </c>
      <c r="D29" s="228">
        <v>350</v>
      </c>
      <c r="E29" s="231">
        <v>1352.1</v>
      </c>
      <c r="F29" s="231">
        <v>1358.1</v>
      </c>
      <c r="G29" s="228">
        <v>-6</v>
      </c>
      <c r="H29" s="229">
        <v>-4.4000000000000003E-3</v>
      </c>
      <c r="I29" s="231">
        <v>1349.4</v>
      </c>
      <c r="J29" s="231">
        <v>1360</v>
      </c>
      <c r="K29" s="228">
        <v>-10.6</v>
      </c>
      <c r="L29" s="229">
        <v>-7.7999999999999996E-3</v>
      </c>
      <c r="M29" s="231">
        <v>1352.1</v>
      </c>
      <c r="N29" s="231">
        <v>1358.1</v>
      </c>
      <c r="O29" s="228">
        <v>-6</v>
      </c>
      <c r="P29" s="229">
        <v>-4.4000000000000003E-3</v>
      </c>
      <c r="Q29" s="231">
        <v>1341</v>
      </c>
      <c r="R29" s="231">
        <v>1347</v>
      </c>
      <c r="S29" s="228">
        <v>-6</v>
      </c>
      <c r="T29" s="229">
        <v>-4.4999999999999997E-3</v>
      </c>
      <c r="U29" s="231">
        <v>1336.2</v>
      </c>
      <c r="V29" s="231">
        <v>1343.2</v>
      </c>
      <c r="W29" s="228">
        <v>-7</v>
      </c>
      <c r="X29" s="229">
        <v>-5.1999999999999998E-3</v>
      </c>
      <c r="Y29" s="228">
        <v>2.7</v>
      </c>
      <c r="Z29" s="228">
        <v>-1.9</v>
      </c>
      <c r="AA29" s="228">
        <v>4.5999999999999996</v>
      </c>
      <c r="AB29" s="229">
        <v>2E-3</v>
      </c>
      <c r="AC29" s="228">
        <v>2.7</v>
      </c>
      <c r="AD29" s="228">
        <v>-1.9</v>
      </c>
      <c r="AE29" s="228">
        <v>4.5999999999999996</v>
      </c>
      <c r="AF29" s="229">
        <v>2E-3</v>
      </c>
      <c r="AG29" s="228">
        <v>-8.4</v>
      </c>
      <c r="AH29" s="228">
        <v>-13</v>
      </c>
      <c r="AI29" s="228">
        <v>4.5999999999999996</v>
      </c>
      <c r="AJ29" s="229">
        <v>-6.1999999999999998E-3</v>
      </c>
      <c r="AK29" s="228">
        <v>-13.2</v>
      </c>
      <c r="AL29" s="228">
        <v>-16.8</v>
      </c>
      <c r="AM29" s="228">
        <v>3.6</v>
      </c>
      <c r="AN29" s="229">
        <v>-9.7999999999999997E-3</v>
      </c>
      <c r="AO29" s="231">
        <v>1343.04</v>
      </c>
      <c r="AP29" s="231">
        <v>1332.32</v>
      </c>
      <c r="AQ29" s="228">
        <v>0</v>
      </c>
      <c r="AR29" s="230">
        <v>1000650</v>
      </c>
      <c r="AS29" s="230">
        <v>2331350</v>
      </c>
      <c r="AT29" s="230">
        <v>-1330700</v>
      </c>
      <c r="AU29" s="229">
        <v>-0.57079999999999997</v>
      </c>
      <c r="AV29" s="230">
        <v>868700</v>
      </c>
      <c r="AW29" s="230">
        <v>1946350</v>
      </c>
      <c r="AX29" s="230">
        <v>-1077650</v>
      </c>
      <c r="AY29" s="229">
        <v>-0.55369999999999997</v>
      </c>
      <c r="AZ29" s="230">
        <v>121100</v>
      </c>
      <c r="BA29" s="230">
        <v>343350</v>
      </c>
      <c r="BB29" s="230">
        <v>-222250</v>
      </c>
      <c r="BC29" s="229">
        <v>-0.64729999999999999</v>
      </c>
      <c r="BD29" s="230">
        <v>10850</v>
      </c>
      <c r="BE29" s="230">
        <v>41650</v>
      </c>
      <c r="BF29" s="230">
        <v>-30800</v>
      </c>
      <c r="BG29" s="229">
        <v>-0.73950000000000005</v>
      </c>
      <c r="BH29" s="230">
        <v>3351250</v>
      </c>
      <c r="BI29" s="230">
        <v>6723850</v>
      </c>
      <c r="BJ29" s="230">
        <v>-3372600</v>
      </c>
      <c r="BK29" s="229">
        <v>-0.50160000000000005</v>
      </c>
      <c r="BL29" s="230">
        <v>1352050</v>
      </c>
      <c r="BM29" s="230">
        <v>2551500</v>
      </c>
      <c r="BN29" s="230">
        <v>-1199450</v>
      </c>
      <c r="BO29" s="229">
        <v>-0.47010000000000002</v>
      </c>
      <c r="BP29" s="230">
        <v>5703950</v>
      </c>
      <c r="BQ29" s="230">
        <v>11606700</v>
      </c>
      <c r="BR29" s="230">
        <v>-5902750</v>
      </c>
      <c r="BS29" s="229">
        <v>-0.50860000000000005</v>
      </c>
      <c r="BT29" s="230">
        <v>1353789</v>
      </c>
      <c r="BU29" s="230">
        <v>2180389</v>
      </c>
      <c r="BV29" s="230">
        <v>-826600</v>
      </c>
      <c r="BW29" s="229">
        <v>-0.37909999999999999</v>
      </c>
      <c r="BX29" s="230">
        <v>5502350</v>
      </c>
      <c r="BY29" s="230">
        <v>5488350</v>
      </c>
      <c r="BZ29" s="230">
        <v>14000</v>
      </c>
      <c r="CA29" s="229">
        <v>2.5999999999999999E-3</v>
      </c>
      <c r="CB29" s="230">
        <v>4735500</v>
      </c>
      <c r="CC29" s="230">
        <v>4743200</v>
      </c>
      <c r="CD29" s="230">
        <v>-7700</v>
      </c>
      <c r="CE29" s="229">
        <v>-1.6000000000000001E-3</v>
      </c>
      <c r="CF29" s="230">
        <v>698600</v>
      </c>
      <c r="CG29" s="230">
        <v>681450</v>
      </c>
      <c r="CH29" s="230">
        <v>17150</v>
      </c>
      <c r="CI29" s="229">
        <v>2.52E-2</v>
      </c>
      <c r="CJ29" s="230">
        <v>68250</v>
      </c>
      <c r="CK29" s="230">
        <v>63700</v>
      </c>
      <c r="CL29" s="230">
        <v>4550</v>
      </c>
      <c r="CM29" s="229">
        <v>7.1400000000000005E-2</v>
      </c>
      <c r="CN29" s="230">
        <v>4126850</v>
      </c>
      <c r="CO29" s="230">
        <v>4175500</v>
      </c>
      <c r="CP29" s="230">
        <v>-48650</v>
      </c>
      <c r="CQ29" s="229">
        <v>-1.17E-2</v>
      </c>
      <c r="CR29" s="230">
        <v>2543100</v>
      </c>
      <c r="CS29" s="230">
        <v>2600150</v>
      </c>
      <c r="CT29" s="230">
        <v>-57050</v>
      </c>
      <c r="CU29" s="229">
        <v>-2.1899999999999999E-2</v>
      </c>
      <c r="CV29" s="230">
        <v>12172300</v>
      </c>
      <c r="CW29" s="230">
        <v>12264000</v>
      </c>
      <c r="CX29" s="230">
        <v>-91700</v>
      </c>
      <c r="CY29" s="229">
        <v>-7.4999999999999997E-3</v>
      </c>
      <c r="CZ29" s="228">
        <v>45.8</v>
      </c>
      <c r="DA29" s="228">
        <v>45.5</v>
      </c>
      <c r="DB29" s="228">
        <v>0.3</v>
      </c>
      <c r="DC29" s="228">
        <v>0.3</v>
      </c>
      <c r="DD29" s="228">
        <v>51.69</v>
      </c>
      <c r="DE29" s="228">
        <v>51.82</v>
      </c>
      <c r="DF29" s="228">
        <v>-5.89</v>
      </c>
      <c r="DG29" s="228">
        <v>-0.13</v>
      </c>
      <c r="DH29" s="228">
        <v>44.91</v>
      </c>
      <c r="DI29" s="228">
        <v>45.36</v>
      </c>
      <c r="DJ29" s="228">
        <v>-0.45</v>
      </c>
      <c r="DK29" s="228">
        <v>-0.45</v>
      </c>
      <c r="DL29" s="228">
        <v>48.01</v>
      </c>
      <c r="DM29" s="228">
        <v>45.87</v>
      </c>
      <c r="DN29" s="228">
        <v>2.14</v>
      </c>
      <c r="DO29" s="228">
        <v>2.14</v>
      </c>
      <c r="DP29" s="228">
        <v>0.62</v>
      </c>
      <c r="DQ29" s="228">
        <v>0.62</v>
      </c>
      <c r="DR29" s="228">
        <v>0</v>
      </c>
      <c r="DS29" s="229">
        <v>0</v>
      </c>
      <c r="DT29" s="231">
        <v>1400</v>
      </c>
      <c r="DU29" s="231">
        <v>1300</v>
      </c>
      <c r="DV29" s="228">
        <v>0.4</v>
      </c>
      <c r="DW29" s="228">
        <v>0.38</v>
      </c>
      <c r="DX29" s="228">
        <v>0.02</v>
      </c>
      <c r="DY29" s="229">
        <v>5.2600000000000001E-2</v>
      </c>
      <c r="DZ29" s="229">
        <v>0.1394</v>
      </c>
      <c r="EA29" s="230">
        <v>745150</v>
      </c>
      <c r="EB29" s="229">
        <v>-8.2000000000000007E-3</v>
      </c>
      <c r="EC29" s="229">
        <v>0.1394</v>
      </c>
      <c r="ED29" s="228">
        <v>-10.72</v>
      </c>
      <c r="EE29" s="229">
        <v>-8.0000000000000002E-3</v>
      </c>
      <c r="EF29" s="230">
        <v>384005</v>
      </c>
      <c r="EG29" s="230">
        <v>648770</v>
      </c>
      <c r="EH29" s="229">
        <v>-0.40810000000000002</v>
      </c>
      <c r="EI29" s="229">
        <v>0.28370000000000001</v>
      </c>
      <c r="EJ29" s="231">
        <v>48475.72</v>
      </c>
      <c r="EK29" s="231">
        <v>17510.96</v>
      </c>
      <c r="EL29" s="231">
        <v>13424.19</v>
      </c>
      <c r="EM29" s="231">
        <v>9187</v>
      </c>
      <c r="EN29" s="231">
        <v>79410.87</v>
      </c>
      <c r="EO29" s="231">
        <v>165061.82</v>
      </c>
      <c r="EP29" s="231">
        <v>-85650.95</v>
      </c>
      <c r="EQ29" s="229">
        <v>-0.51890000000000003</v>
      </c>
      <c r="ER29" s="231">
        <v>58186</v>
      </c>
      <c r="ES29" s="231">
        <v>32511</v>
      </c>
      <c r="ET29" s="231">
        <v>74309</v>
      </c>
      <c r="EU29" s="231">
        <v>13786716</v>
      </c>
      <c r="EV29" s="231">
        <v>165006</v>
      </c>
      <c r="EW29" s="231">
        <v>166404</v>
      </c>
      <c r="EX29" s="231">
        <v>-1398</v>
      </c>
      <c r="EY29" s="229">
        <v>-8.3999999999999995E-3</v>
      </c>
      <c r="EZ29" s="229">
        <v>0.88290000000000002</v>
      </c>
      <c r="FA29" s="227" t="s">
        <v>567</v>
      </c>
      <c r="FB29" s="161">
        <f t="shared" si="0"/>
        <v>766850</v>
      </c>
    </row>
    <row r="30" spans="1:158" ht="17.25" thickBot="1" x14ac:dyDescent="0.3">
      <c r="A30" s="226">
        <v>46093</v>
      </c>
      <c r="B30" s="227" t="s">
        <v>184</v>
      </c>
      <c r="C30" s="227" t="s">
        <v>185</v>
      </c>
      <c r="D30" s="228">
        <v>1425</v>
      </c>
      <c r="E30" s="228">
        <v>454.4</v>
      </c>
      <c r="F30" s="228">
        <v>455.8</v>
      </c>
      <c r="G30" s="228">
        <v>-1.4</v>
      </c>
      <c r="H30" s="229">
        <v>-3.0999999999999999E-3</v>
      </c>
      <c r="I30" s="228">
        <v>453.55</v>
      </c>
      <c r="J30" s="228">
        <v>454.1</v>
      </c>
      <c r="K30" s="228">
        <v>-0.55000000000000004</v>
      </c>
      <c r="L30" s="229">
        <v>-1.1999999999999999E-3</v>
      </c>
      <c r="M30" s="228">
        <v>454.4</v>
      </c>
      <c r="N30" s="228">
        <v>455.8</v>
      </c>
      <c r="O30" s="228">
        <v>-1.4</v>
      </c>
      <c r="P30" s="229">
        <v>-3.0999999999999999E-3</v>
      </c>
      <c r="Q30" s="228">
        <v>457.1</v>
      </c>
      <c r="R30" s="228">
        <v>458.65</v>
      </c>
      <c r="S30" s="228">
        <v>-1.55</v>
      </c>
      <c r="T30" s="229">
        <v>-3.3999999999999998E-3</v>
      </c>
      <c r="U30" s="228">
        <v>459.15</v>
      </c>
      <c r="V30" s="228">
        <v>461.7</v>
      </c>
      <c r="W30" s="228">
        <v>-2.5499999999999998</v>
      </c>
      <c r="X30" s="229">
        <v>-5.4999999999999997E-3</v>
      </c>
      <c r="Y30" s="228">
        <v>0.85</v>
      </c>
      <c r="Z30" s="228">
        <v>1.7</v>
      </c>
      <c r="AA30" s="228">
        <v>-0.85</v>
      </c>
      <c r="AB30" s="229">
        <v>1.9E-3</v>
      </c>
      <c r="AC30" s="228">
        <v>0.85</v>
      </c>
      <c r="AD30" s="228">
        <v>1.7</v>
      </c>
      <c r="AE30" s="228">
        <v>-0.85</v>
      </c>
      <c r="AF30" s="229">
        <v>1.9E-3</v>
      </c>
      <c r="AG30" s="228">
        <v>3.55</v>
      </c>
      <c r="AH30" s="228">
        <v>4.55</v>
      </c>
      <c r="AI30" s="228">
        <v>-1</v>
      </c>
      <c r="AJ30" s="229">
        <v>7.7999999999999996E-3</v>
      </c>
      <c r="AK30" s="228">
        <v>5.6</v>
      </c>
      <c r="AL30" s="228">
        <v>7.6</v>
      </c>
      <c r="AM30" s="228">
        <v>-2</v>
      </c>
      <c r="AN30" s="229">
        <v>1.23E-2</v>
      </c>
      <c r="AO30" s="228">
        <v>452.78</v>
      </c>
      <c r="AP30" s="228">
        <v>455.69</v>
      </c>
      <c r="AQ30" s="228">
        <v>0</v>
      </c>
      <c r="AR30" s="230">
        <v>17400675</v>
      </c>
      <c r="AS30" s="230">
        <v>17523225</v>
      </c>
      <c r="AT30" s="230">
        <v>-122550</v>
      </c>
      <c r="AU30" s="229">
        <v>-7.0000000000000001E-3</v>
      </c>
      <c r="AV30" s="230">
        <v>13949325</v>
      </c>
      <c r="AW30" s="230">
        <v>15492600</v>
      </c>
      <c r="AX30" s="230">
        <v>-1543275</v>
      </c>
      <c r="AY30" s="229">
        <v>-9.9599999999999994E-2</v>
      </c>
      <c r="AZ30" s="230">
        <v>1293900</v>
      </c>
      <c r="BA30" s="230">
        <v>1600275</v>
      </c>
      <c r="BB30" s="230">
        <v>-306375</v>
      </c>
      <c r="BC30" s="229">
        <v>-0.1915</v>
      </c>
      <c r="BD30" s="230">
        <v>2157450</v>
      </c>
      <c r="BE30" s="230">
        <v>430350</v>
      </c>
      <c r="BF30" s="230">
        <v>1727100</v>
      </c>
      <c r="BG30" s="229">
        <v>4.0132000000000003</v>
      </c>
      <c r="BH30" s="230">
        <v>56166375</v>
      </c>
      <c r="BI30" s="230">
        <v>57461700</v>
      </c>
      <c r="BJ30" s="230">
        <v>-1295325</v>
      </c>
      <c r="BK30" s="229">
        <v>-2.2499999999999999E-2</v>
      </c>
      <c r="BL30" s="230">
        <v>31140525</v>
      </c>
      <c r="BM30" s="230">
        <v>36226350</v>
      </c>
      <c r="BN30" s="230">
        <v>-5085825</v>
      </c>
      <c r="BO30" s="229">
        <v>-0.1404</v>
      </c>
      <c r="BP30" s="230">
        <v>104707575</v>
      </c>
      <c r="BQ30" s="230">
        <v>111211275</v>
      </c>
      <c r="BR30" s="230">
        <v>-6503700</v>
      </c>
      <c r="BS30" s="229">
        <v>-5.8500000000000003E-2</v>
      </c>
      <c r="BT30" s="230">
        <v>14505666</v>
      </c>
      <c r="BU30" s="230">
        <v>16905746</v>
      </c>
      <c r="BV30" s="230">
        <v>-2400080</v>
      </c>
      <c r="BW30" s="229">
        <v>-0.14199999999999999</v>
      </c>
      <c r="BX30" s="230">
        <v>108775950</v>
      </c>
      <c r="BY30" s="230">
        <v>108861450</v>
      </c>
      <c r="BZ30" s="230">
        <v>-85500</v>
      </c>
      <c r="CA30" s="229">
        <v>-8.0000000000000004E-4</v>
      </c>
      <c r="CB30" s="230">
        <v>99323925</v>
      </c>
      <c r="CC30" s="230">
        <v>99889650</v>
      </c>
      <c r="CD30" s="230">
        <v>-565725</v>
      </c>
      <c r="CE30" s="229">
        <v>-5.7000000000000002E-3</v>
      </c>
      <c r="CF30" s="230">
        <v>6552150</v>
      </c>
      <c r="CG30" s="230">
        <v>6234375</v>
      </c>
      <c r="CH30" s="230">
        <v>317775</v>
      </c>
      <c r="CI30" s="229">
        <v>5.0999999999999997E-2</v>
      </c>
      <c r="CJ30" s="230">
        <v>2899875</v>
      </c>
      <c r="CK30" s="230">
        <v>2737425</v>
      </c>
      <c r="CL30" s="230">
        <v>162450</v>
      </c>
      <c r="CM30" s="229">
        <v>5.9299999999999999E-2</v>
      </c>
      <c r="CN30" s="230">
        <v>51704700</v>
      </c>
      <c r="CO30" s="230">
        <v>48487050</v>
      </c>
      <c r="CP30" s="230">
        <v>3217650</v>
      </c>
      <c r="CQ30" s="229">
        <v>6.6400000000000001E-2</v>
      </c>
      <c r="CR30" s="230">
        <v>29967750</v>
      </c>
      <c r="CS30" s="230">
        <v>29960625</v>
      </c>
      <c r="CT30" s="230">
        <v>7125</v>
      </c>
      <c r="CU30" s="229">
        <v>2.0000000000000001E-4</v>
      </c>
      <c r="CV30" s="230">
        <v>190448400</v>
      </c>
      <c r="CW30" s="230">
        <v>187309125</v>
      </c>
      <c r="CX30" s="230">
        <v>3139275</v>
      </c>
      <c r="CY30" s="229">
        <v>1.6799999999999999E-2</v>
      </c>
      <c r="CZ30" s="228">
        <v>34.69</v>
      </c>
      <c r="DA30" s="228">
        <v>35.299999999999997</v>
      </c>
      <c r="DB30" s="228">
        <v>-0.61</v>
      </c>
      <c r="DC30" s="228">
        <v>-0.61</v>
      </c>
      <c r="DD30" s="228">
        <v>36.9</v>
      </c>
      <c r="DE30" s="228">
        <v>36.99</v>
      </c>
      <c r="DF30" s="228">
        <v>-2.21</v>
      </c>
      <c r="DG30" s="228">
        <v>-0.09</v>
      </c>
      <c r="DH30" s="228">
        <v>34.729999999999997</v>
      </c>
      <c r="DI30" s="228">
        <v>35.44</v>
      </c>
      <c r="DJ30" s="228">
        <v>-0.71</v>
      </c>
      <c r="DK30" s="228">
        <v>-0.71</v>
      </c>
      <c r="DL30" s="228">
        <v>34.6</v>
      </c>
      <c r="DM30" s="228">
        <v>35.06</v>
      </c>
      <c r="DN30" s="228">
        <v>-0.46</v>
      </c>
      <c r="DO30" s="228">
        <v>-0.46</v>
      </c>
      <c r="DP30" s="228">
        <v>0.57999999999999996</v>
      </c>
      <c r="DQ30" s="228">
        <v>0.62</v>
      </c>
      <c r="DR30" s="228">
        <v>-0.04</v>
      </c>
      <c r="DS30" s="229">
        <v>-6.4500000000000002E-2</v>
      </c>
      <c r="DT30" s="228">
        <v>500</v>
      </c>
      <c r="DU30" s="228">
        <v>450</v>
      </c>
      <c r="DV30" s="228">
        <v>0.55000000000000004</v>
      </c>
      <c r="DW30" s="228">
        <v>0.63</v>
      </c>
      <c r="DX30" s="228">
        <v>-0.08</v>
      </c>
      <c r="DY30" s="229">
        <v>-0.127</v>
      </c>
      <c r="DZ30" s="229">
        <v>8.6900000000000005E-2</v>
      </c>
      <c r="EA30" s="230">
        <v>8971800</v>
      </c>
      <c r="EB30" s="229">
        <v>5.8999999999999999E-3</v>
      </c>
      <c r="EC30" s="229">
        <v>8.6900000000000005E-2</v>
      </c>
      <c r="ED30" s="228">
        <v>2.91</v>
      </c>
      <c r="EE30" s="229">
        <v>6.4000000000000003E-3</v>
      </c>
      <c r="EF30" s="230">
        <v>6863573</v>
      </c>
      <c r="EG30" s="230">
        <v>7848871</v>
      </c>
      <c r="EH30" s="229">
        <v>-0.1255</v>
      </c>
      <c r="EI30" s="229">
        <v>0.47320000000000001</v>
      </c>
      <c r="EJ30" s="231">
        <v>272011.40999999997</v>
      </c>
      <c r="EK30" s="231">
        <v>138315.78</v>
      </c>
      <c r="EL30" s="231">
        <v>78947.839999999997</v>
      </c>
      <c r="EM30" s="231">
        <v>20893</v>
      </c>
      <c r="EN30" s="231">
        <v>489275.03</v>
      </c>
      <c r="EO30" s="231">
        <v>524460.67000000004</v>
      </c>
      <c r="EP30" s="231">
        <v>-35185.64</v>
      </c>
      <c r="EQ30" s="229">
        <v>-6.7100000000000007E-2</v>
      </c>
      <c r="ER30" s="231">
        <v>246124</v>
      </c>
      <c r="ES30" s="231">
        <v>130263</v>
      </c>
      <c r="ET30" s="231">
        <v>494593</v>
      </c>
      <c r="EU30" s="231">
        <v>535778534</v>
      </c>
      <c r="EV30" s="231">
        <v>870979</v>
      </c>
      <c r="EW30" s="231">
        <v>856695</v>
      </c>
      <c r="EX30" s="231">
        <v>14284</v>
      </c>
      <c r="EY30" s="229">
        <v>1.67E-2</v>
      </c>
      <c r="EZ30" s="229">
        <v>0.35549999999999998</v>
      </c>
      <c r="FA30" s="227" t="s">
        <v>568</v>
      </c>
      <c r="FB30" s="161">
        <f t="shared" si="0"/>
        <v>9452025</v>
      </c>
    </row>
    <row r="31" spans="1:158" ht="17.25" thickBot="1" x14ac:dyDescent="0.3">
      <c r="A31" s="226">
        <v>46093</v>
      </c>
      <c r="B31" s="227" t="s">
        <v>162</v>
      </c>
      <c r="C31" s="227" t="s">
        <v>187</v>
      </c>
      <c r="D31" s="228">
        <v>500</v>
      </c>
      <c r="E31" s="231">
        <v>1784.1</v>
      </c>
      <c r="F31" s="231">
        <v>1803.7</v>
      </c>
      <c r="G31" s="228">
        <v>-19.600000000000001</v>
      </c>
      <c r="H31" s="229">
        <v>-1.09E-2</v>
      </c>
      <c r="I31" s="231">
        <v>1779.6</v>
      </c>
      <c r="J31" s="231">
        <v>1797.1</v>
      </c>
      <c r="K31" s="228">
        <v>-17.5</v>
      </c>
      <c r="L31" s="229">
        <v>-9.7000000000000003E-3</v>
      </c>
      <c r="M31" s="231">
        <v>1784.1</v>
      </c>
      <c r="N31" s="231">
        <v>1803.7</v>
      </c>
      <c r="O31" s="228">
        <v>-19.600000000000001</v>
      </c>
      <c r="P31" s="229">
        <v>-1.09E-2</v>
      </c>
      <c r="Q31" s="231">
        <v>1791.7</v>
      </c>
      <c r="R31" s="231">
        <v>1812.6</v>
      </c>
      <c r="S31" s="228">
        <v>-20.9</v>
      </c>
      <c r="T31" s="229">
        <v>-1.15E-2</v>
      </c>
      <c r="U31" s="231">
        <v>1800</v>
      </c>
      <c r="V31" s="231">
        <v>1818.5</v>
      </c>
      <c r="W31" s="228">
        <v>-18.5</v>
      </c>
      <c r="X31" s="229">
        <v>-1.0200000000000001E-2</v>
      </c>
      <c r="Y31" s="228">
        <v>4.5</v>
      </c>
      <c r="Z31" s="228">
        <v>6.6</v>
      </c>
      <c r="AA31" s="228">
        <v>-2.1</v>
      </c>
      <c r="AB31" s="229">
        <v>2.5000000000000001E-3</v>
      </c>
      <c r="AC31" s="228">
        <v>4.5</v>
      </c>
      <c r="AD31" s="228">
        <v>6.6</v>
      </c>
      <c r="AE31" s="228">
        <v>-2.1</v>
      </c>
      <c r="AF31" s="229">
        <v>2.5000000000000001E-3</v>
      </c>
      <c r="AG31" s="228">
        <v>12.1</v>
      </c>
      <c r="AH31" s="228">
        <v>15.5</v>
      </c>
      <c r="AI31" s="228">
        <v>-3.4</v>
      </c>
      <c r="AJ31" s="229">
        <v>6.7999999999999996E-3</v>
      </c>
      <c r="AK31" s="228">
        <v>20.399999999999999</v>
      </c>
      <c r="AL31" s="228">
        <v>21.4</v>
      </c>
      <c r="AM31" s="228">
        <v>-1</v>
      </c>
      <c r="AN31" s="229">
        <v>1.15E-2</v>
      </c>
      <c r="AO31" s="231">
        <v>1759.38</v>
      </c>
      <c r="AP31" s="231">
        <v>1773.22</v>
      </c>
      <c r="AQ31" s="228">
        <v>0</v>
      </c>
      <c r="AR31" s="230">
        <v>3597500</v>
      </c>
      <c r="AS31" s="230">
        <v>2004000</v>
      </c>
      <c r="AT31" s="230">
        <v>1593500</v>
      </c>
      <c r="AU31" s="229">
        <v>0.79520000000000002</v>
      </c>
      <c r="AV31" s="230">
        <v>3460000</v>
      </c>
      <c r="AW31" s="230">
        <v>1924500</v>
      </c>
      <c r="AX31" s="230">
        <v>1535500</v>
      </c>
      <c r="AY31" s="229">
        <v>0.79790000000000005</v>
      </c>
      <c r="AZ31" s="230">
        <v>114500</v>
      </c>
      <c r="BA31" s="230">
        <v>62500</v>
      </c>
      <c r="BB31" s="230">
        <v>52000</v>
      </c>
      <c r="BC31" s="229">
        <v>0.83199999999999996</v>
      </c>
      <c r="BD31" s="230">
        <v>23000</v>
      </c>
      <c r="BE31" s="230">
        <v>17000</v>
      </c>
      <c r="BF31" s="230">
        <v>6000</v>
      </c>
      <c r="BG31" s="229">
        <v>0.35289999999999999</v>
      </c>
      <c r="BH31" s="230">
        <v>9129500</v>
      </c>
      <c r="BI31" s="230">
        <v>3782000</v>
      </c>
      <c r="BJ31" s="230">
        <v>5347500</v>
      </c>
      <c r="BK31" s="229">
        <v>1.4138999999999999</v>
      </c>
      <c r="BL31" s="230">
        <v>6877000</v>
      </c>
      <c r="BM31" s="230">
        <v>3585500</v>
      </c>
      <c r="BN31" s="230">
        <v>3291500</v>
      </c>
      <c r="BO31" s="229">
        <v>0.91800000000000004</v>
      </c>
      <c r="BP31" s="230">
        <v>19604000</v>
      </c>
      <c r="BQ31" s="230">
        <v>9371500</v>
      </c>
      <c r="BR31" s="230">
        <v>10232500</v>
      </c>
      <c r="BS31" s="229">
        <v>1.0919000000000001</v>
      </c>
      <c r="BT31" s="230">
        <v>1323620</v>
      </c>
      <c r="BU31" s="230">
        <v>854759</v>
      </c>
      <c r="BV31" s="230">
        <v>468861</v>
      </c>
      <c r="BW31" s="229">
        <v>0.54849999999999999</v>
      </c>
      <c r="BX31" s="230">
        <v>6673000</v>
      </c>
      <c r="BY31" s="230">
        <v>6519500</v>
      </c>
      <c r="BZ31" s="230">
        <v>153500</v>
      </c>
      <c r="CA31" s="229">
        <v>2.35E-2</v>
      </c>
      <c r="CB31" s="230">
        <v>6508500</v>
      </c>
      <c r="CC31" s="230">
        <v>6362000</v>
      </c>
      <c r="CD31" s="230">
        <v>146500</v>
      </c>
      <c r="CE31" s="229">
        <v>2.3E-2</v>
      </c>
      <c r="CF31" s="230">
        <v>141500</v>
      </c>
      <c r="CG31" s="230">
        <v>134500</v>
      </c>
      <c r="CH31" s="230">
        <v>7000</v>
      </c>
      <c r="CI31" s="229">
        <v>5.1999999999999998E-2</v>
      </c>
      <c r="CJ31" s="230">
        <v>23000</v>
      </c>
      <c r="CK31" s="230">
        <v>23000</v>
      </c>
      <c r="CL31" s="228">
        <v>0</v>
      </c>
      <c r="CM31" s="229">
        <v>0</v>
      </c>
      <c r="CN31" s="230">
        <v>4644500</v>
      </c>
      <c r="CO31" s="230">
        <v>4550000</v>
      </c>
      <c r="CP31" s="230">
        <v>94500</v>
      </c>
      <c r="CQ31" s="229">
        <v>2.0799999999999999E-2</v>
      </c>
      <c r="CR31" s="230">
        <v>2818000</v>
      </c>
      <c r="CS31" s="230">
        <v>2837500</v>
      </c>
      <c r="CT31" s="230">
        <v>-19500</v>
      </c>
      <c r="CU31" s="229">
        <v>-6.8999999999999999E-3</v>
      </c>
      <c r="CV31" s="230">
        <v>14135500</v>
      </c>
      <c r="CW31" s="230">
        <v>13907000</v>
      </c>
      <c r="CX31" s="230">
        <v>228500</v>
      </c>
      <c r="CY31" s="229">
        <v>1.6400000000000001E-2</v>
      </c>
      <c r="CZ31" s="228">
        <v>40.92</v>
      </c>
      <c r="DA31" s="228">
        <v>39.44</v>
      </c>
      <c r="DB31" s="228">
        <v>1.48</v>
      </c>
      <c r="DC31" s="228">
        <v>1.48</v>
      </c>
      <c r="DD31" s="228">
        <v>37.549999999999997</v>
      </c>
      <c r="DE31" s="228">
        <v>37.619999999999997</v>
      </c>
      <c r="DF31" s="228">
        <v>3.37</v>
      </c>
      <c r="DG31" s="228">
        <v>-7.0000000000000007E-2</v>
      </c>
      <c r="DH31" s="228">
        <v>40.58</v>
      </c>
      <c r="DI31" s="228">
        <v>38.799999999999997</v>
      </c>
      <c r="DJ31" s="228">
        <v>1.78</v>
      </c>
      <c r="DK31" s="228">
        <v>1.78</v>
      </c>
      <c r="DL31" s="228">
        <v>41.36</v>
      </c>
      <c r="DM31" s="228">
        <v>40.119999999999997</v>
      </c>
      <c r="DN31" s="228">
        <v>1.24</v>
      </c>
      <c r="DO31" s="228">
        <v>1.24</v>
      </c>
      <c r="DP31" s="228">
        <v>0.61</v>
      </c>
      <c r="DQ31" s="228">
        <v>0.62</v>
      </c>
      <c r="DR31" s="228">
        <v>-0.01</v>
      </c>
      <c r="DS31" s="229">
        <v>-1.61E-2</v>
      </c>
      <c r="DT31" s="231">
        <v>2120</v>
      </c>
      <c r="DU31" s="231">
        <v>1700</v>
      </c>
      <c r="DV31" s="228">
        <v>0.75</v>
      </c>
      <c r="DW31" s="228">
        <v>0.95</v>
      </c>
      <c r="DX31" s="228">
        <v>-0.2</v>
      </c>
      <c r="DY31" s="229">
        <v>-0.21049999999999999</v>
      </c>
      <c r="DZ31" s="229">
        <v>2.47E-2</v>
      </c>
      <c r="EA31" s="230">
        <v>157500</v>
      </c>
      <c r="EB31" s="229">
        <v>4.3E-3</v>
      </c>
      <c r="EC31" s="229">
        <v>2.47E-2</v>
      </c>
      <c r="ED31" s="228">
        <v>13.84</v>
      </c>
      <c r="EE31" s="229">
        <v>7.9000000000000008E-3</v>
      </c>
      <c r="EF31" s="230">
        <v>448785</v>
      </c>
      <c r="EG31" s="230">
        <v>392175</v>
      </c>
      <c r="EH31" s="229">
        <v>0.14430000000000001</v>
      </c>
      <c r="EI31" s="229">
        <v>0.33910000000000001</v>
      </c>
      <c r="EJ31" s="231">
        <v>180242.79</v>
      </c>
      <c r="EK31" s="231">
        <v>119496.66</v>
      </c>
      <c r="EL31" s="231">
        <v>63312.78</v>
      </c>
      <c r="EM31" s="231">
        <v>5985</v>
      </c>
      <c r="EN31" s="231">
        <v>363052.23</v>
      </c>
      <c r="EO31" s="231">
        <v>175448.84</v>
      </c>
      <c r="EP31" s="231">
        <v>187603.39</v>
      </c>
      <c r="EQ31" s="229">
        <v>1.0692999999999999</v>
      </c>
      <c r="ER31" s="231">
        <v>90156</v>
      </c>
      <c r="ES31" s="231">
        <v>49020</v>
      </c>
      <c r="ET31" s="231">
        <v>119067</v>
      </c>
      <c r="EU31" s="231">
        <v>40107751</v>
      </c>
      <c r="EV31" s="231">
        <v>258244</v>
      </c>
      <c r="EW31" s="231">
        <v>256002</v>
      </c>
      <c r="EX31" s="231">
        <v>2242</v>
      </c>
      <c r="EY31" s="229">
        <v>8.8000000000000005E-3</v>
      </c>
      <c r="EZ31" s="229">
        <v>0.35239999999999999</v>
      </c>
      <c r="FA31" s="227" t="s">
        <v>567</v>
      </c>
      <c r="FB31" s="161">
        <f t="shared" si="0"/>
        <v>164500</v>
      </c>
    </row>
    <row r="32" spans="1:158" ht="17.25" thickBot="1" x14ac:dyDescent="0.3">
      <c r="A32" s="226">
        <v>46093</v>
      </c>
      <c r="B32" s="227" t="s">
        <v>188</v>
      </c>
      <c r="C32" s="227" t="s">
        <v>189</v>
      </c>
      <c r="D32" s="228">
        <v>475</v>
      </c>
      <c r="E32" s="231">
        <v>1807.3</v>
      </c>
      <c r="F32" s="231">
        <v>1811.3</v>
      </c>
      <c r="G32" s="228">
        <v>-4</v>
      </c>
      <c r="H32" s="229">
        <v>-2.2000000000000001E-3</v>
      </c>
      <c r="I32" s="231">
        <v>1801.3</v>
      </c>
      <c r="J32" s="231">
        <v>1807</v>
      </c>
      <c r="K32" s="228">
        <v>-5.7</v>
      </c>
      <c r="L32" s="229">
        <v>-3.2000000000000002E-3</v>
      </c>
      <c r="M32" s="231">
        <v>1807.3</v>
      </c>
      <c r="N32" s="231">
        <v>1811.3</v>
      </c>
      <c r="O32" s="228">
        <v>-4</v>
      </c>
      <c r="P32" s="229">
        <v>-2.2000000000000001E-3</v>
      </c>
      <c r="Q32" s="231">
        <v>1818.3</v>
      </c>
      <c r="R32" s="231">
        <v>1824</v>
      </c>
      <c r="S32" s="228">
        <v>-5.7</v>
      </c>
      <c r="T32" s="229">
        <v>-3.0999999999999999E-3</v>
      </c>
      <c r="U32" s="231">
        <v>1826.9</v>
      </c>
      <c r="V32" s="231">
        <v>1831.4</v>
      </c>
      <c r="W32" s="228">
        <v>-4.5</v>
      </c>
      <c r="X32" s="229">
        <v>-2.5000000000000001E-3</v>
      </c>
      <c r="Y32" s="228">
        <v>6</v>
      </c>
      <c r="Z32" s="228">
        <v>4.3</v>
      </c>
      <c r="AA32" s="228">
        <v>1.7</v>
      </c>
      <c r="AB32" s="229">
        <v>3.3E-3</v>
      </c>
      <c r="AC32" s="228">
        <v>6</v>
      </c>
      <c r="AD32" s="228">
        <v>4.3</v>
      </c>
      <c r="AE32" s="228">
        <v>1.7</v>
      </c>
      <c r="AF32" s="229">
        <v>3.3E-3</v>
      </c>
      <c r="AG32" s="228">
        <v>17</v>
      </c>
      <c r="AH32" s="228">
        <v>17</v>
      </c>
      <c r="AI32" s="228">
        <v>0</v>
      </c>
      <c r="AJ32" s="229">
        <v>9.4000000000000004E-3</v>
      </c>
      <c r="AK32" s="228">
        <v>25.6</v>
      </c>
      <c r="AL32" s="228">
        <v>24.4</v>
      </c>
      <c r="AM32" s="228">
        <v>1.2</v>
      </c>
      <c r="AN32" s="229">
        <v>1.4200000000000001E-2</v>
      </c>
      <c r="AO32" s="231">
        <v>1809.71</v>
      </c>
      <c r="AP32" s="231">
        <v>1819.26</v>
      </c>
      <c r="AQ32" s="228">
        <v>0</v>
      </c>
      <c r="AR32" s="230">
        <v>6688000</v>
      </c>
      <c r="AS32" s="230">
        <v>8639775</v>
      </c>
      <c r="AT32" s="230">
        <v>-1951775</v>
      </c>
      <c r="AU32" s="229">
        <v>-0.22589999999999999</v>
      </c>
      <c r="AV32" s="230">
        <v>5732775</v>
      </c>
      <c r="AW32" s="230">
        <v>5689550</v>
      </c>
      <c r="AX32" s="230">
        <v>43225</v>
      </c>
      <c r="AY32" s="229">
        <v>7.6E-3</v>
      </c>
      <c r="AZ32" s="230">
        <v>912475</v>
      </c>
      <c r="BA32" s="230">
        <v>2676150</v>
      </c>
      <c r="BB32" s="230">
        <v>-1763675</v>
      </c>
      <c r="BC32" s="229">
        <v>-0.65900000000000003</v>
      </c>
      <c r="BD32" s="230">
        <v>42750</v>
      </c>
      <c r="BE32" s="230">
        <v>274075</v>
      </c>
      <c r="BF32" s="230">
        <v>-231325</v>
      </c>
      <c r="BG32" s="229">
        <v>-0.84399999999999997</v>
      </c>
      <c r="BH32" s="230">
        <v>21410150</v>
      </c>
      <c r="BI32" s="230">
        <v>31673950</v>
      </c>
      <c r="BJ32" s="230">
        <v>-10263800</v>
      </c>
      <c r="BK32" s="229">
        <v>-0.32400000000000001</v>
      </c>
      <c r="BL32" s="230">
        <v>11103125</v>
      </c>
      <c r="BM32" s="230">
        <v>19036575</v>
      </c>
      <c r="BN32" s="230">
        <v>-7933450</v>
      </c>
      <c r="BO32" s="229">
        <v>-0.41670000000000001</v>
      </c>
      <c r="BP32" s="230">
        <v>39201275</v>
      </c>
      <c r="BQ32" s="230">
        <v>59350300</v>
      </c>
      <c r="BR32" s="230">
        <v>-20149025</v>
      </c>
      <c r="BS32" s="229">
        <v>-0.33950000000000002</v>
      </c>
      <c r="BT32" s="230">
        <v>14724278</v>
      </c>
      <c r="BU32" s="230">
        <v>10217190</v>
      </c>
      <c r="BV32" s="230">
        <v>4507088</v>
      </c>
      <c r="BW32" s="229">
        <v>0.44109999999999999</v>
      </c>
      <c r="BX32" s="230">
        <v>64362500</v>
      </c>
      <c r="BY32" s="230">
        <v>64891650</v>
      </c>
      <c r="BZ32" s="230">
        <v>-529150</v>
      </c>
      <c r="CA32" s="229">
        <v>-8.2000000000000007E-3</v>
      </c>
      <c r="CB32" s="230">
        <v>58908550</v>
      </c>
      <c r="CC32" s="230">
        <v>59973500</v>
      </c>
      <c r="CD32" s="230">
        <v>-1064950</v>
      </c>
      <c r="CE32" s="229">
        <v>-1.78E-2</v>
      </c>
      <c r="CF32" s="230">
        <v>5089625</v>
      </c>
      <c r="CG32" s="230">
        <v>4560475</v>
      </c>
      <c r="CH32" s="230">
        <v>529150</v>
      </c>
      <c r="CI32" s="229">
        <v>0.11600000000000001</v>
      </c>
      <c r="CJ32" s="230">
        <v>364325</v>
      </c>
      <c r="CK32" s="230">
        <v>357675</v>
      </c>
      <c r="CL32" s="230">
        <v>6650</v>
      </c>
      <c r="CM32" s="229">
        <v>1.8599999999999998E-2</v>
      </c>
      <c r="CN32" s="230">
        <v>22463225</v>
      </c>
      <c r="CO32" s="230">
        <v>22422850</v>
      </c>
      <c r="CP32" s="230">
        <v>40375</v>
      </c>
      <c r="CQ32" s="229">
        <v>1.8E-3</v>
      </c>
      <c r="CR32" s="230">
        <v>10259050</v>
      </c>
      <c r="CS32" s="230">
        <v>10345025</v>
      </c>
      <c r="CT32" s="230">
        <v>-85975</v>
      </c>
      <c r="CU32" s="229">
        <v>-8.3000000000000001E-3</v>
      </c>
      <c r="CV32" s="230">
        <v>97084775</v>
      </c>
      <c r="CW32" s="230">
        <v>97659525</v>
      </c>
      <c r="CX32" s="230">
        <v>-574750</v>
      </c>
      <c r="CY32" s="229">
        <v>-5.8999999999999999E-3</v>
      </c>
      <c r="CZ32" s="228">
        <v>26.41</v>
      </c>
      <c r="DA32" s="228">
        <v>26.88</v>
      </c>
      <c r="DB32" s="228">
        <v>-0.47</v>
      </c>
      <c r="DC32" s="228">
        <v>-0.47</v>
      </c>
      <c r="DD32" s="228">
        <v>23.93</v>
      </c>
      <c r="DE32" s="228">
        <v>23.99</v>
      </c>
      <c r="DF32" s="228">
        <v>2.48</v>
      </c>
      <c r="DG32" s="228">
        <v>-0.06</v>
      </c>
      <c r="DH32" s="228">
        <v>26.18</v>
      </c>
      <c r="DI32" s="228">
        <v>26.55</v>
      </c>
      <c r="DJ32" s="228">
        <v>-0.37</v>
      </c>
      <c r="DK32" s="228">
        <v>-0.37</v>
      </c>
      <c r="DL32" s="228">
        <v>26.86</v>
      </c>
      <c r="DM32" s="228">
        <v>27.42</v>
      </c>
      <c r="DN32" s="228">
        <v>-0.56000000000000005</v>
      </c>
      <c r="DO32" s="228">
        <v>-0.56000000000000005</v>
      </c>
      <c r="DP32" s="228">
        <v>0.46</v>
      </c>
      <c r="DQ32" s="228">
        <v>0.46</v>
      </c>
      <c r="DR32" s="228">
        <v>0</v>
      </c>
      <c r="DS32" s="229">
        <v>0</v>
      </c>
      <c r="DT32" s="231">
        <v>2000</v>
      </c>
      <c r="DU32" s="231">
        <v>1800</v>
      </c>
      <c r="DV32" s="228">
        <v>0.52</v>
      </c>
      <c r="DW32" s="228">
        <v>0.6</v>
      </c>
      <c r="DX32" s="228">
        <v>-0.08</v>
      </c>
      <c r="DY32" s="229">
        <v>-0.1333</v>
      </c>
      <c r="DZ32" s="229">
        <v>8.4699999999999998E-2</v>
      </c>
      <c r="EA32" s="230">
        <v>4918150</v>
      </c>
      <c r="EB32" s="229">
        <v>6.1000000000000004E-3</v>
      </c>
      <c r="EC32" s="229">
        <v>8.4699999999999998E-2</v>
      </c>
      <c r="ED32" s="228">
        <v>9.5500000000000007</v>
      </c>
      <c r="EE32" s="229">
        <v>5.3E-3</v>
      </c>
      <c r="EF32" s="230">
        <v>10102569</v>
      </c>
      <c r="EG32" s="230">
        <v>6864984</v>
      </c>
      <c r="EH32" s="229">
        <v>0.47160000000000002</v>
      </c>
      <c r="EI32" s="229">
        <v>0.68610000000000004</v>
      </c>
      <c r="EJ32" s="231">
        <v>408266.12</v>
      </c>
      <c r="EK32" s="231">
        <v>200720.89</v>
      </c>
      <c r="EL32" s="231">
        <v>121128.29</v>
      </c>
      <c r="EM32" s="231">
        <v>13346</v>
      </c>
      <c r="EN32" s="231">
        <v>730115.3</v>
      </c>
      <c r="EO32" s="231">
        <v>1113899.1100000001</v>
      </c>
      <c r="EP32" s="231">
        <v>-383783.81</v>
      </c>
      <c r="EQ32" s="229">
        <v>-0.34449999999999997</v>
      </c>
      <c r="ER32" s="231">
        <v>442722</v>
      </c>
      <c r="ES32" s="231">
        <v>188951</v>
      </c>
      <c r="ET32" s="231">
        <v>1163855</v>
      </c>
      <c r="EU32" s="231">
        <v>367085962</v>
      </c>
      <c r="EV32" s="231">
        <v>1795528</v>
      </c>
      <c r="EW32" s="231">
        <v>1809478</v>
      </c>
      <c r="EX32" s="231">
        <v>-13950</v>
      </c>
      <c r="EY32" s="229">
        <v>-7.7000000000000002E-3</v>
      </c>
      <c r="EZ32" s="229">
        <v>0.26450000000000001</v>
      </c>
      <c r="FA32" s="227" t="s">
        <v>568</v>
      </c>
      <c r="FB32" s="161">
        <f t="shared" si="0"/>
        <v>5453950</v>
      </c>
    </row>
    <row r="33" spans="1:158" ht="17.25" thickBot="1" x14ac:dyDescent="0.3">
      <c r="A33" s="226">
        <v>46093</v>
      </c>
      <c r="B33" s="227" t="s">
        <v>184</v>
      </c>
      <c r="C33" s="227" t="s">
        <v>190</v>
      </c>
      <c r="D33" s="228">
        <v>2625</v>
      </c>
      <c r="E33" s="228">
        <v>268.85000000000002</v>
      </c>
      <c r="F33" s="228">
        <v>256.05</v>
      </c>
      <c r="G33" s="228">
        <v>12.8</v>
      </c>
      <c r="H33" s="229">
        <v>0.05</v>
      </c>
      <c r="I33" s="228">
        <v>267.85000000000002</v>
      </c>
      <c r="J33" s="228">
        <v>255.75</v>
      </c>
      <c r="K33" s="228">
        <v>12.1</v>
      </c>
      <c r="L33" s="229">
        <v>4.7300000000000002E-2</v>
      </c>
      <c r="M33" s="228">
        <v>268.85000000000002</v>
      </c>
      <c r="N33" s="228">
        <v>256.05</v>
      </c>
      <c r="O33" s="228">
        <v>12.8</v>
      </c>
      <c r="P33" s="229">
        <v>0.05</v>
      </c>
      <c r="Q33" s="228">
        <v>270.45</v>
      </c>
      <c r="R33" s="228">
        <v>257.64999999999998</v>
      </c>
      <c r="S33" s="228">
        <v>12.8</v>
      </c>
      <c r="T33" s="229">
        <v>4.9700000000000001E-2</v>
      </c>
      <c r="U33" s="228">
        <v>271.45</v>
      </c>
      <c r="V33" s="228">
        <v>259.45</v>
      </c>
      <c r="W33" s="228">
        <v>12</v>
      </c>
      <c r="X33" s="229">
        <v>4.6300000000000001E-2</v>
      </c>
      <c r="Y33" s="228">
        <v>1</v>
      </c>
      <c r="Z33" s="228">
        <v>0.3</v>
      </c>
      <c r="AA33" s="228">
        <v>0.7</v>
      </c>
      <c r="AB33" s="229">
        <v>3.7000000000000002E-3</v>
      </c>
      <c r="AC33" s="228">
        <v>1</v>
      </c>
      <c r="AD33" s="228">
        <v>0.3</v>
      </c>
      <c r="AE33" s="228">
        <v>0.7</v>
      </c>
      <c r="AF33" s="229">
        <v>3.7000000000000002E-3</v>
      </c>
      <c r="AG33" s="228">
        <v>2.6</v>
      </c>
      <c r="AH33" s="228">
        <v>1.9</v>
      </c>
      <c r="AI33" s="228">
        <v>0.7</v>
      </c>
      <c r="AJ33" s="229">
        <v>9.7000000000000003E-3</v>
      </c>
      <c r="AK33" s="228">
        <v>3.6</v>
      </c>
      <c r="AL33" s="228">
        <v>3.7</v>
      </c>
      <c r="AM33" s="228">
        <v>-0.1</v>
      </c>
      <c r="AN33" s="229">
        <v>1.34E-2</v>
      </c>
      <c r="AO33" s="228">
        <v>264.91000000000003</v>
      </c>
      <c r="AP33" s="228">
        <v>265.99</v>
      </c>
      <c r="AQ33" s="228">
        <v>0</v>
      </c>
      <c r="AR33" s="230">
        <v>33649875</v>
      </c>
      <c r="AS33" s="230">
        <v>13726125</v>
      </c>
      <c r="AT33" s="230">
        <v>19923750</v>
      </c>
      <c r="AU33" s="229">
        <v>1.4515</v>
      </c>
      <c r="AV33" s="230">
        <v>31368750</v>
      </c>
      <c r="AW33" s="230">
        <v>12930750</v>
      </c>
      <c r="AX33" s="230">
        <v>18438000</v>
      </c>
      <c r="AY33" s="229">
        <v>1.4258999999999999</v>
      </c>
      <c r="AZ33" s="230">
        <v>2052750</v>
      </c>
      <c r="BA33" s="230">
        <v>729750</v>
      </c>
      <c r="BB33" s="230">
        <v>1323000</v>
      </c>
      <c r="BC33" s="229">
        <v>1.8129</v>
      </c>
      <c r="BD33" s="230">
        <v>228375</v>
      </c>
      <c r="BE33" s="230">
        <v>65625</v>
      </c>
      <c r="BF33" s="230">
        <v>162750</v>
      </c>
      <c r="BG33" s="229">
        <v>2.48</v>
      </c>
      <c r="BH33" s="230">
        <v>100259250</v>
      </c>
      <c r="BI33" s="230">
        <v>35631750</v>
      </c>
      <c r="BJ33" s="230">
        <v>64627500</v>
      </c>
      <c r="BK33" s="229">
        <v>1.8138000000000001</v>
      </c>
      <c r="BL33" s="230">
        <v>51150750</v>
      </c>
      <c r="BM33" s="230">
        <v>26987625</v>
      </c>
      <c r="BN33" s="230">
        <v>24163125</v>
      </c>
      <c r="BO33" s="229">
        <v>0.89529999999999998</v>
      </c>
      <c r="BP33" s="230">
        <v>185059875</v>
      </c>
      <c r="BQ33" s="230">
        <v>76345500</v>
      </c>
      <c r="BR33" s="230">
        <v>108714375</v>
      </c>
      <c r="BS33" s="229">
        <v>1.4239999999999999</v>
      </c>
      <c r="BT33" s="230">
        <v>18115478</v>
      </c>
      <c r="BU33" s="230">
        <v>6545443</v>
      </c>
      <c r="BV33" s="230">
        <v>11570035</v>
      </c>
      <c r="BW33" s="229">
        <v>1.7676000000000001</v>
      </c>
      <c r="BX33" s="230">
        <v>128782500</v>
      </c>
      <c r="BY33" s="230">
        <v>130063500</v>
      </c>
      <c r="BZ33" s="230">
        <v>-1281000</v>
      </c>
      <c r="CA33" s="229">
        <v>-9.7999999999999997E-3</v>
      </c>
      <c r="CB33" s="230">
        <v>111706875</v>
      </c>
      <c r="CC33" s="230">
        <v>113203125</v>
      </c>
      <c r="CD33" s="230">
        <v>-1496250</v>
      </c>
      <c r="CE33" s="229">
        <v>-1.32E-2</v>
      </c>
      <c r="CF33" s="230">
        <v>9896250</v>
      </c>
      <c r="CG33" s="230">
        <v>9712500</v>
      </c>
      <c r="CH33" s="230">
        <v>183750</v>
      </c>
      <c r="CI33" s="229">
        <v>1.89E-2</v>
      </c>
      <c r="CJ33" s="230">
        <v>7179375</v>
      </c>
      <c r="CK33" s="230">
        <v>7147875</v>
      </c>
      <c r="CL33" s="230">
        <v>31500</v>
      </c>
      <c r="CM33" s="229">
        <v>4.4000000000000003E-3</v>
      </c>
      <c r="CN33" s="230">
        <v>31416000</v>
      </c>
      <c r="CO33" s="230">
        <v>33054000</v>
      </c>
      <c r="CP33" s="230">
        <v>-1638000</v>
      </c>
      <c r="CQ33" s="229">
        <v>-4.9599999999999998E-2</v>
      </c>
      <c r="CR33" s="230">
        <v>27798750</v>
      </c>
      <c r="CS33" s="230">
        <v>26089875</v>
      </c>
      <c r="CT33" s="230">
        <v>1708875</v>
      </c>
      <c r="CU33" s="229">
        <v>6.5500000000000003E-2</v>
      </c>
      <c r="CV33" s="230">
        <v>187997250</v>
      </c>
      <c r="CW33" s="230">
        <v>189207375</v>
      </c>
      <c r="CX33" s="230">
        <v>-1210125</v>
      </c>
      <c r="CY33" s="229">
        <v>-6.4000000000000003E-3</v>
      </c>
      <c r="CZ33" s="228">
        <v>39.5</v>
      </c>
      <c r="DA33" s="228">
        <v>39.85</v>
      </c>
      <c r="DB33" s="228">
        <v>-0.35</v>
      </c>
      <c r="DC33" s="228">
        <v>-0.35</v>
      </c>
      <c r="DD33" s="228">
        <v>46.07</v>
      </c>
      <c r="DE33" s="228">
        <v>45.71</v>
      </c>
      <c r="DF33" s="228">
        <v>-6.57</v>
      </c>
      <c r="DG33" s="228">
        <v>0.36</v>
      </c>
      <c r="DH33" s="228">
        <v>38.119999999999997</v>
      </c>
      <c r="DI33" s="228">
        <v>39.159999999999997</v>
      </c>
      <c r="DJ33" s="228">
        <v>-1.04</v>
      </c>
      <c r="DK33" s="228">
        <v>-1.04</v>
      </c>
      <c r="DL33" s="228">
        <v>42.2</v>
      </c>
      <c r="DM33" s="228">
        <v>40.75</v>
      </c>
      <c r="DN33" s="228">
        <v>1.45</v>
      </c>
      <c r="DO33" s="228">
        <v>1.45</v>
      </c>
      <c r="DP33" s="228">
        <v>0.88</v>
      </c>
      <c r="DQ33" s="228">
        <v>0.79</v>
      </c>
      <c r="DR33" s="228">
        <v>0.09</v>
      </c>
      <c r="DS33" s="229">
        <v>0.1139</v>
      </c>
      <c r="DT33" s="228">
        <v>260</v>
      </c>
      <c r="DU33" s="228">
        <v>240</v>
      </c>
      <c r="DV33" s="228">
        <v>0.51</v>
      </c>
      <c r="DW33" s="228">
        <v>0.76</v>
      </c>
      <c r="DX33" s="228">
        <v>-0.25</v>
      </c>
      <c r="DY33" s="229">
        <v>-0.32890000000000003</v>
      </c>
      <c r="DZ33" s="229">
        <v>0.1326</v>
      </c>
      <c r="EA33" s="230">
        <v>16860375</v>
      </c>
      <c r="EB33" s="229">
        <v>6.0000000000000001E-3</v>
      </c>
      <c r="EC33" s="229">
        <v>0.1326</v>
      </c>
      <c r="ED33" s="228">
        <v>1.08</v>
      </c>
      <c r="EE33" s="229">
        <v>4.1000000000000003E-3</v>
      </c>
      <c r="EF33" s="230">
        <v>6640260</v>
      </c>
      <c r="EG33" s="230">
        <v>2424743</v>
      </c>
      <c r="EH33" s="229">
        <v>1.7384999999999999</v>
      </c>
      <c r="EI33" s="229">
        <v>0.36659999999999998</v>
      </c>
      <c r="EJ33" s="231">
        <v>282085.45</v>
      </c>
      <c r="EK33" s="231">
        <v>132310.82</v>
      </c>
      <c r="EL33" s="231">
        <v>89172.88</v>
      </c>
      <c r="EM33" s="231">
        <v>7207</v>
      </c>
      <c r="EN33" s="231">
        <v>503569.15</v>
      </c>
      <c r="EO33" s="231">
        <v>203268.41</v>
      </c>
      <c r="EP33" s="231">
        <v>300300.74</v>
      </c>
      <c r="EQ33" s="229">
        <v>1.4774</v>
      </c>
      <c r="ER33" s="231">
        <v>86819</v>
      </c>
      <c r="ES33" s="231">
        <v>69156</v>
      </c>
      <c r="ET33" s="231">
        <v>346577</v>
      </c>
      <c r="EU33" s="231">
        <v>192361942</v>
      </c>
      <c r="EV33" s="231">
        <v>502551</v>
      </c>
      <c r="EW33" s="231">
        <v>489597</v>
      </c>
      <c r="EX33" s="231">
        <v>12954</v>
      </c>
      <c r="EY33" s="229">
        <v>2.6499999999999999E-2</v>
      </c>
      <c r="EZ33" s="229">
        <v>0.97729999999999995</v>
      </c>
      <c r="FA33" s="227" t="s">
        <v>556</v>
      </c>
      <c r="FB33" s="161">
        <f t="shared" si="0"/>
        <v>17075625</v>
      </c>
    </row>
    <row r="34" spans="1:158" ht="17.25" thickBot="1" x14ac:dyDescent="0.3">
      <c r="A34" s="226">
        <v>46093</v>
      </c>
      <c r="B34" s="227" t="s">
        <v>170</v>
      </c>
      <c r="C34" s="227" t="s">
        <v>191</v>
      </c>
      <c r="D34" s="228">
        <v>2500</v>
      </c>
      <c r="E34" s="228">
        <v>393.4</v>
      </c>
      <c r="F34" s="228">
        <v>396.7</v>
      </c>
      <c r="G34" s="228">
        <v>-3.3</v>
      </c>
      <c r="H34" s="229">
        <v>-8.3000000000000001E-3</v>
      </c>
      <c r="I34" s="228">
        <v>392.2</v>
      </c>
      <c r="J34" s="228">
        <v>395.35</v>
      </c>
      <c r="K34" s="228">
        <v>-3.15</v>
      </c>
      <c r="L34" s="229">
        <v>-8.0000000000000002E-3</v>
      </c>
      <c r="M34" s="228">
        <v>393.4</v>
      </c>
      <c r="N34" s="228">
        <v>396.7</v>
      </c>
      <c r="O34" s="228">
        <v>-3.3</v>
      </c>
      <c r="P34" s="229">
        <v>-8.3000000000000001E-3</v>
      </c>
      <c r="Q34" s="228">
        <v>395.8</v>
      </c>
      <c r="R34" s="228">
        <v>399.4</v>
      </c>
      <c r="S34" s="228">
        <v>-3.6</v>
      </c>
      <c r="T34" s="229">
        <v>-8.9999999999999993E-3</v>
      </c>
      <c r="U34" s="228">
        <v>398.95</v>
      </c>
      <c r="V34" s="228">
        <v>401.2</v>
      </c>
      <c r="W34" s="228">
        <v>-2.25</v>
      </c>
      <c r="X34" s="229">
        <v>-5.5999999999999999E-3</v>
      </c>
      <c r="Y34" s="228">
        <v>1.2</v>
      </c>
      <c r="Z34" s="228">
        <v>1.35</v>
      </c>
      <c r="AA34" s="228">
        <v>-0.15</v>
      </c>
      <c r="AB34" s="229">
        <v>3.0999999999999999E-3</v>
      </c>
      <c r="AC34" s="228">
        <v>1.2</v>
      </c>
      <c r="AD34" s="228">
        <v>1.35</v>
      </c>
      <c r="AE34" s="228">
        <v>-0.15</v>
      </c>
      <c r="AF34" s="229">
        <v>3.0999999999999999E-3</v>
      </c>
      <c r="AG34" s="228">
        <v>3.6</v>
      </c>
      <c r="AH34" s="228">
        <v>4.05</v>
      </c>
      <c r="AI34" s="228">
        <v>-0.45</v>
      </c>
      <c r="AJ34" s="229">
        <v>9.1999999999999998E-3</v>
      </c>
      <c r="AK34" s="228">
        <v>6.75</v>
      </c>
      <c r="AL34" s="228">
        <v>5.85</v>
      </c>
      <c r="AM34" s="228">
        <v>0.9</v>
      </c>
      <c r="AN34" s="229">
        <v>1.72E-2</v>
      </c>
      <c r="AO34" s="228">
        <v>393.66</v>
      </c>
      <c r="AP34" s="228">
        <v>396.44</v>
      </c>
      <c r="AQ34" s="228">
        <v>0</v>
      </c>
      <c r="AR34" s="230">
        <v>7477500</v>
      </c>
      <c r="AS34" s="230">
        <v>9450000</v>
      </c>
      <c r="AT34" s="230">
        <v>-1972500</v>
      </c>
      <c r="AU34" s="229">
        <v>-0.2087</v>
      </c>
      <c r="AV34" s="230">
        <v>6557500</v>
      </c>
      <c r="AW34" s="230">
        <v>7992500</v>
      </c>
      <c r="AX34" s="230">
        <v>-1435000</v>
      </c>
      <c r="AY34" s="229">
        <v>-0.17949999999999999</v>
      </c>
      <c r="AZ34" s="230">
        <v>805000</v>
      </c>
      <c r="BA34" s="230">
        <v>1357500</v>
      </c>
      <c r="BB34" s="230">
        <v>-552500</v>
      </c>
      <c r="BC34" s="229">
        <v>-0.40699999999999997</v>
      </c>
      <c r="BD34" s="230">
        <v>115000</v>
      </c>
      <c r="BE34" s="230">
        <v>100000</v>
      </c>
      <c r="BF34" s="230">
        <v>15000</v>
      </c>
      <c r="BG34" s="229">
        <v>0.15</v>
      </c>
      <c r="BH34" s="230">
        <v>23447500</v>
      </c>
      <c r="BI34" s="230">
        <v>44565000</v>
      </c>
      <c r="BJ34" s="230">
        <v>-21117500</v>
      </c>
      <c r="BK34" s="229">
        <v>-0.47389999999999999</v>
      </c>
      <c r="BL34" s="230">
        <v>12482500</v>
      </c>
      <c r="BM34" s="230">
        <v>14145000</v>
      </c>
      <c r="BN34" s="230">
        <v>-1662500</v>
      </c>
      <c r="BO34" s="229">
        <v>-0.11749999999999999</v>
      </c>
      <c r="BP34" s="230">
        <v>43407500</v>
      </c>
      <c r="BQ34" s="230">
        <v>68160000</v>
      </c>
      <c r="BR34" s="230">
        <v>-24752500</v>
      </c>
      <c r="BS34" s="229">
        <v>-0.36320000000000002</v>
      </c>
      <c r="BT34" s="230">
        <v>1995209</v>
      </c>
      <c r="BU34" s="230">
        <v>4071409</v>
      </c>
      <c r="BV34" s="230">
        <v>-2076200</v>
      </c>
      <c r="BW34" s="229">
        <v>-0.50990000000000002</v>
      </c>
      <c r="BX34" s="230">
        <v>37442500</v>
      </c>
      <c r="BY34" s="230">
        <v>37615000</v>
      </c>
      <c r="BZ34" s="230">
        <v>-172500</v>
      </c>
      <c r="CA34" s="229">
        <v>-4.5999999999999999E-3</v>
      </c>
      <c r="CB34" s="230">
        <v>34722500</v>
      </c>
      <c r="CC34" s="230">
        <v>35167500</v>
      </c>
      <c r="CD34" s="230">
        <v>-445000</v>
      </c>
      <c r="CE34" s="229">
        <v>-1.2699999999999999E-2</v>
      </c>
      <c r="CF34" s="230">
        <v>2115000</v>
      </c>
      <c r="CG34" s="230">
        <v>1910000</v>
      </c>
      <c r="CH34" s="230">
        <v>205000</v>
      </c>
      <c r="CI34" s="229">
        <v>0.10730000000000001</v>
      </c>
      <c r="CJ34" s="230">
        <v>605000</v>
      </c>
      <c r="CK34" s="230">
        <v>537500</v>
      </c>
      <c r="CL34" s="230">
        <v>67500</v>
      </c>
      <c r="CM34" s="229">
        <v>0.12559999999999999</v>
      </c>
      <c r="CN34" s="230">
        <v>18300000</v>
      </c>
      <c r="CO34" s="230">
        <v>17430000</v>
      </c>
      <c r="CP34" s="230">
        <v>870000</v>
      </c>
      <c r="CQ34" s="229">
        <v>4.99E-2</v>
      </c>
      <c r="CR34" s="230">
        <v>14207500</v>
      </c>
      <c r="CS34" s="230">
        <v>13650000</v>
      </c>
      <c r="CT34" s="230">
        <v>557500</v>
      </c>
      <c r="CU34" s="229">
        <v>4.0800000000000003E-2</v>
      </c>
      <c r="CV34" s="230">
        <v>69950000</v>
      </c>
      <c r="CW34" s="230">
        <v>68695000</v>
      </c>
      <c r="CX34" s="230">
        <v>1255000</v>
      </c>
      <c r="CY34" s="229">
        <v>1.83E-2</v>
      </c>
      <c r="CZ34" s="228">
        <v>32.25</v>
      </c>
      <c r="DA34" s="228">
        <v>31.8</v>
      </c>
      <c r="DB34" s="228">
        <v>0.45</v>
      </c>
      <c r="DC34" s="228">
        <v>0.45</v>
      </c>
      <c r="DD34" s="228">
        <v>35.159999999999997</v>
      </c>
      <c r="DE34" s="228">
        <v>35.229999999999997</v>
      </c>
      <c r="DF34" s="228">
        <v>-2.91</v>
      </c>
      <c r="DG34" s="228">
        <v>-7.0000000000000007E-2</v>
      </c>
      <c r="DH34" s="228">
        <v>30.93</v>
      </c>
      <c r="DI34" s="228">
        <v>30.99</v>
      </c>
      <c r="DJ34" s="228">
        <v>-0.06</v>
      </c>
      <c r="DK34" s="228">
        <v>-0.06</v>
      </c>
      <c r="DL34" s="228">
        <v>34.729999999999997</v>
      </c>
      <c r="DM34" s="228">
        <v>34.35</v>
      </c>
      <c r="DN34" s="228">
        <v>0.38</v>
      </c>
      <c r="DO34" s="228">
        <v>0.38</v>
      </c>
      <c r="DP34" s="228">
        <v>0.78</v>
      </c>
      <c r="DQ34" s="228">
        <v>0.78</v>
      </c>
      <c r="DR34" s="228">
        <v>0</v>
      </c>
      <c r="DS34" s="229">
        <v>0</v>
      </c>
      <c r="DT34" s="228">
        <v>420</v>
      </c>
      <c r="DU34" s="228">
        <v>370</v>
      </c>
      <c r="DV34" s="228">
        <v>0.53</v>
      </c>
      <c r="DW34" s="228">
        <v>0.32</v>
      </c>
      <c r="DX34" s="228">
        <v>0.21</v>
      </c>
      <c r="DY34" s="229">
        <v>0.65629999999999999</v>
      </c>
      <c r="DZ34" s="229">
        <v>7.2599999999999998E-2</v>
      </c>
      <c r="EA34" s="230">
        <v>2447500</v>
      </c>
      <c r="EB34" s="229">
        <v>6.1000000000000004E-3</v>
      </c>
      <c r="EC34" s="229">
        <v>7.2599999999999998E-2</v>
      </c>
      <c r="ED34" s="228">
        <v>2.78</v>
      </c>
      <c r="EE34" s="229">
        <v>7.1000000000000004E-3</v>
      </c>
      <c r="EF34" s="230">
        <v>827516</v>
      </c>
      <c r="EG34" s="230">
        <v>2005915</v>
      </c>
      <c r="EH34" s="229">
        <v>-0.58750000000000002</v>
      </c>
      <c r="EI34" s="229">
        <v>0.4148</v>
      </c>
      <c r="EJ34" s="231">
        <v>97502.71</v>
      </c>
      <c r="EK34" s="231">
        <v>47788.56</v>
      </c>
      <c r="EL34" s="231">
        <v>29462.68</v>
      </c>
      <c r="EM34" s="231">
        <v>3137</v>
      </c>
      <c r="EN34" s="231">
        <v>174753.95</v>
      </c>
      <c r="EO34" s="231">
        <v>280053.32</v>
      </c>
      <c r="EP34" s="231">
        <v>-105299.37</v>
      </c>
      <c r="EQ34" s="229">
        <v>-0.376</v>
      </c>
      <c r="ER34" s="231">
        <v>74899</v>
      </c>
      <c r="ES34" s="231">
        <v>52867</v>
      </c>
      <c r="ET34" s="231">
        <v>147383</v>
      </c>
      <c r="EU34" s="231">
        <v>91057772</v>
      </c>
      <c r="EV34" s="231">
        <v>275149</v>
      </c>
      <c r="EW34" s="231">
        <v>271522</v>
      </c>
      <c r="EX34" s="231">
        <v>3627</v>
      </c>
      <c r="EY34" s="229">
        <v>1.34E-2</v>
      </c>
      <c r="EZ34" s="229">
        <v>0.76819999999999999</v>
      </c>
      <c r="FA34" s="227" t="s">
        <v>568</v>
      </c>
      <c r="FB34" s="161">
        <f t="shared" si="0"/>
        <v>2720000</v>
      </c>
    </row>
    <row r="35" spans="1:158" ht="17.25" thickBot="1" x14ac:dyDescent="0.3">
      <c r="A35" s="226">
        <v>46093</v>
      </c>
      <c r="B35" s="227" t="s">
        <v>184</v>
      </c>
      <c r="C35" s="227" t="s">
        <v>678</v>
      </c>
      <c r="D35" s="228">
        <v>325</v>
      </c>
      <c r="E35" s="231">
        <v>1945.5</v>
      </c>
      <c r="F35" s="231">
        <v>1940.8</v>
      </c>
      <c r="G35" s="228">
        <v>4.7</v>
      </c>
      <c r="H35" s="229">
        <v>2.3999999999999998E-3</v>
      </c>
      <c r="I35" s="231">
        <v>1953.5</v>
      </c>
      <c r="J35" s="231">
        <v>1941.1</v>
      </c>
      <c r="K35" s="228">
        <v>12.4</v>
      </c>
      <c r="L35" s="229">
        <v>6.4000000000000003E-3</v>
      </c>
      <c r="M35" s="231">
        <v>1945.5</v>
      </c>
      <c r="N35" s="231">
        <v>1940.8</v>
      </c>
      <c r="O35" s="228">
        <v>4.7</v>
      </c>
      <c r="P35" s="229">
        <v>2.3999999999999998E-3</v>
      </c>
      <c r="Q35" s="231">
        <v>1944.5</v>
      </c>
      <c r="R35" s="231">
        <v>1944.8</v>
      </c>
      <c r="S35" s="228">
        <v>-0.3</v>
      </c>
      <c r="T35" s="229">
        <v>-2.0000000000000001E-4</v>
      </c>
      <c r="U35" s="231">
        <v>1940</v>
      </c>
      <c r="V35" s="231">
        <v>1949</v>
      </c>
      <c r="W35" s="228">
        <v>-9</v>
      </c>
      <c r="X35" s="229">
        <v>-4.5999999999999999E-3</v>
      </c>
      <c r="Y35" s="228">
        <v>-8</v>
      </c>
      <c r="Z35" s="228">
        <v>-0.3</v>
      </c>
      <c r="AA35" s="228">
        <v>-7.7</v>
      </c>
      <c r="AB35" s="229">
        <v>-4.1000000000000003E-3</v>
      </c>
      <c r="AC35" s="228">
        <v>-8</v>
      </c>
      <c r="AD35" s="228">
        <v>-0.3</v>
      </c>
      <c r="AE35" s="228">
        <v>-7.7</v>
      </c>
      <c r="AF35" s="229">
        <v>-4.1000000000000003E-3</v>
      </c>
      <c r="AG35" s="228">
        <v>-9</v>
      </c>
      <c r="AH35" s="228">
        <v>3.7</v>
      </c>
      <c r="AI35" s="228">
        <v>-12.7</v>
      </c>
      <c r="AJ35" s="229">
        <v>-4.5999999999999999E-3</v>
      </c>
      <c r="AK35" s="228">
        <v>-13.5</v>
      </c>
      <c r="AL35" s="228">
        <v>7.9</v>
      </c>
      <c r="AM35" s="228">
        <v>-21.4</v>
      </c>
      <c r="AN35" s="229">
        <v>-6.8999999999999999E-3</v>
      </c>
      <c r="AO35" s="231">
        <v>1937.49</v>
      </c>
      <c r="AP35" s="231">
        <v>1936.68</v>
      </c>
      <c r="AQ35" s="228">
        <v>0</v>
      </c>
      <c r="AR35" s="230">
        <v>1274975</v>
      </c>
      <c r="AS35" s="230">
        <v>1414400</v>
      </c>
      <c r="AT35" s="230">
        <v>-139425</v>
      </c>
      <c r="AU35" s="229">
        <v>-9.8599999999999993E-2</v>
      </c>
      <c r="AV35" s="230">
        <v>1122225</v>
      </c>
      <c r="AW35" s="230">
        <v>1343225</v>
      </c>
      <c r="AX35" s="230">
        <v>-221000</v>
      </c>
      <c r="AY35" s="229">
        <v>-0.16450000000000001</v>
      </c>
      <c r="AZ35" s="230">
        <v>148525</v>
      </c>
      <c r="BA35" s="230">
        <v>65975</v>
      </c>
      <c r="BB35" s="230">
        <v>82550</v>
      </c>
      <c r="BC35" s="229">
        <v>1.2512000000000001</v>
      </c>
      <c r="BD35" s="230">
        <v>4225</v>
      </c>
      <c r="BE35" s="230">
        <v>5200</v>
      </c>
      <c r="BF35" s="228">
        <v>-975</v>
      </c>
      <c r="BG35" s="229">
        <v>-0.1875</v>
      </c>
      <c r="BH35" s="230">
        <v>2430350</v>
      </c>
      <c r="BI35" s="230">
        <v>8068125</v>
      </c>
      <c r="BJ35" s="230">
        <v>-5637775</v>
      </c>
      <c r="BK35" s="229">
        <v>-0.69879999999999998</v>
      </c>
      <c r="BL35" s="230">
        <v>475800</v>
      </c>
      <c r="BM35" s="230">
        <v>1554475</v>
      </c>
      <c r="BN35" s="230">
        <v>-1078675</v>
      </c>
      <c r="BO35" s="229">
        <v>-0.69389999999999996</v>
      </c>
      <c r="BP35" s="230">
        <v>4181125</v>
      </c>
      <c r="BQ35" s="230">
        <v>11037000</v>
      </c>
      <c r="BR35" s="230">
        <v>-6855875</v>
      </c>
      <c r="BS35" s="229">
        <v>-0.62119999999999997</v>
      </c>
      <c r="BT35" s="230">
        <v>659479</v>
      </c>
      <c r="BU35" s="230">
        <v>949638</v>
      </c>
      <c r="BV35" s="230">
        <v>-290159</v>
      </c>
      <c r="BW35" s="229">
        <v>-0.30549999999999999</v>
      </c>
      <c r="BX35" s="230">
        <v>2389075</v>
      </c>
      <c r="BY35" s="230">
        <v>2428725</v>
      </c>
      <c r="BZ35" s="230">
        <v>-39650</v>
      </c>
      <c r="CA35" s="229">
        <v>-1.6299999999999999E-2</v>
      </c>
      <c r="CB35" s="230">
        <v>2296775</v>
      </c>
      <c r="CC35" s="230">
        <v>2339025</v>
      </c>
      <c r="CD35" s="230">
        <v>-42250</v>
      </c>
      <c r="CE35" s="229">
        <v>-1.8100000000000002E-2</v>
      </c>
      <c r="CF35" s="230">
        <v>86450</v>
      </c>
      <c r="CG35" s="230">
        <v>85475</v>
      </c>
      <c r="CH35" s="228">
        <v>975</v>
      </c>
      <c r="CI35" s="229">
        <v>1.14E-2</v>
      </c>
      <c r="CJ35" s="230">
        <v>5850</v>
      </c>
      <c r="CK35" s="230">
        <v>4225</v>
      </c>
      <c r="CL35" s="230">
        <v>1625</v>
      </c>
      <c r="CM35" s="229">
        <v>0.3846</v>
      </c>
      <c r="CN35" s="230">
        <v>1362400</v>
      </c>
      <c r="CO35" s="230">
        <v>1289600</v>
      </c>
      <c r="CP35" s="230">
        <v>72800</v>
      </c>
      <c r="CQ35" s="229">
        <v>5.6500000000000002E-2</v>
      </c>
      <c r="CR35" s="230">
        <v>727350</v>
      </c>
      <c r="CS35" s="230">
        <v>694850</v>
      </c>
      <c r="CT35" s="230">
        <v>32500</v>
      </c>
      <c r="CU35" s="229">
        <v>4.6800000000000001E-2</v>
      </c>
      <c r="CV35" s="230">
        <v>4478825</v>
      </c>
      <c r="CW35" s="230">
        <v>4413175</v>
      </c>
      <c r="CX35" s="230">
        <v>65650</v>
      </c>
      <c r="CY35" s="229">
        <v>1.49E-2</v>
      </c>
      <c r="CZ35" s="228">
        <v>41.32</v>
      </c>
      <c r="DA35" s="228">
        <v>40.75</v>
      </c>
      <c r="DB35" s="228">
        <v>0.56999999999999995</v>
      </c>
      <c r="DC35" s="228">
        <v>0.56999999999999995</v>
      </c>
      <c r="DD35" s="228">
        <v>39.159999999999997</v>
      </c>
      <c r="DE35" s="228">
        <v>39.26</v>
      </c>
      <c r="DF35" s="228">
        <v>2.16</v>
      </c>
      <c r="DG35" s="228">
        <v>-0.1</v>
      </c>
      <c r="DH35" s="228">
        <v>41.08</v>
      </c>
      <c r="DI35" s="228">
        <v>40.76</v>
      </c>
      <c r="DJ35" s="228">
        <v>0.32</v>
      </c>
      <c r="DK35" s="228">
        <v>0.32</v>
      </c>
      <c r="DL35" s="228">
        <v>42.51</v>
      </c>
      <c r="DM35" s="228">
        <v>40.72</v>
      </c>
      <c r="DN35" s="228">
        <v>1.79</v>
      </c>
      <c r="DO35" s="228">
        <v>1.79</v>
      </c>
      <c r="DP35" s="228">
        <v>0.53</v>
      </c>
      <c r="DQ35" s="228">
        <v>0.54</v>
      </c>
      <c r="DR35" s="228">
        <v>-0.01</v>
      </c>
      <c r="DS35" s="229">
        <v>-1.8499999999999999E-2</v>
      </c>
      <c r="DT35" s="231">
        <v>2200</v>
      </c>
      <c r="DU35" s="231">
        <v>1900</v>
      </c>
      <c r="DV35" s="228">
        <v>0.2</v>
      </c>
      <c r="DW35" s="228">
        <v>0.19</v>
      </c>
      <c r="DX35" s="228">
        <v>0.01</v>
      </c>
      <c r="DY35" s="229">
        <v>5.2600000000000001E-2</v>
      </c>
      <c r="DZ35" s="229">
        <v>3.8600000000000002E-2</v>
      </c>
      <c r="EA35" s="230">
        <v>89700</v>
      </c>
      <c r="EB35" s="229">
        <v>-5.0000000000000001E-4</v>
      </c>
      <c r="EC35" s="229">
        <v>3.8600000000000002E-2</v>
      </c>
      <c r="ED35" s="228">
        <v>-0.81</v>
      </c>
      <c r="EE35" s="229">
        <v>-4.0000000000000002E-4</v>
      </c>
      <c r="EF35" s="230">
        <v>317081</v>
      </c>
      <c r="EG35" s="230">
        <v>286138</v>
      </c>
      <c r="EH35" s="229">
        <v>0.1081</v>
      </c>
      <c r="EI35" s="229">
        <v>0.48080000000000001</v>
      </c>
      <c r="EJ35" s="231">
        <v>50376.55</v>
      </c>
      <c r="EK35" s="231">
        <v>9131.85</v>
      </c>
      <c r="EL35" s="231">
        <v>24701.119999999999</v>
      </c>
      <c r="EM35" s="231">
        <v>4759</v>
      </c>
      <c r="EN35" s="231">
        <v>84209.52</v>
      </c>
      <c r="EO35" s="231">
        <v>226056.26</v>
      </c>
      <c r="EP35" s="231">
        <v>-141846.74</v>
      </c>
      <c r="EQ35" s="229">
        <v>-0.62749999999999995</v>
      </c>
      <c r="ER35" s="231">
        <v>27857</v>
      </c>
      <c r="ES35" s="231">
        <v>13561</v>
      </c>
      <c r="ET35" s="231">
        <v>46478</v>
      </c>
      <c r="EU35" s="231">
        <v>17213286</v>
      </c>
      <c r="EV35" s="231">
        <v>87897</v>
      </c>
      <c r="EW35" s="231">
        <v>86273</v>
      </c>
      <c r="EX35" s="231">
        <v>1624</v>
      </c>
      <c r="EY35" s="229">
        <v>1.8800000000000001E-2</v>
      </c>
      <c r="EZ35" s="229">
        <v>0.26019999999999999</v>
      </c>
      <c r="FA35" s="227" t="s">
        <v>556</v>
      </c>
      <c r="FB35" s="161">
        <f t="shared" si="0"/>
        <v>92300</v>
      </c>
    </row>
    <row r="36" spans="1:158" ht="17.25" thickBot="1" x14ac:dyDescent="0.3">
      <c r="A36" s="226">
        <v>46093</v>
      </c>
      <c r="B36" s="227" t="s">
        <v>162</v>
      </c>
      <c r="C36" s="227" t="s">
        <v>192</v>
      </c>
      <c r="D36" s="228">
        <v>25</v>
      </c>
      <c r="E36" s="231">
        <v>31405</v>
      </c>
      <c r="F36" s="231">
        <v>31800</v>
      </c>
      <c r="G36" s="228">
        <v>-395</v>
      </c>
      <c r="H36" s="229">
        <v>-1.24E-2</v>
      </c>
      <c r="I36" s="231">
        <v>31305</v>
      </c>
      <c r="J36" s="231">
        <v>31715</v>
      </c>
      <c r="K36" s="228">
        <v>-410</v>
      </c>
      <c r="L36" s="229">
        <v>-1.29E-2</v>
      </c>
      <c r="M36" s="231">
        <v>31405</v>
      </c>
      <c r="N36" s="231">
        <v>31800</v>
      </c>
      <c r="O36" s="228">
        <v>-395</v>
      </c>
      <c r="P36" s="229">
        <v>-1.24E-2</v>
      </c>
      <c r="Q36" s="231">
        <v>31595</v>
      </c>
      <c r="R36" s="231">
        <v>32035</v>
      </c>
      <c r="S36" s="228">
        <v>-440</v>
      </c>
      <c r="T36" s="229">
        <v>-1.37E-2</v>
      </c>
      <c r="U36" s="231">
        <v>31600</v>
      </c>
      <c r="V36" s="231">
        <v>32100</v>
      </c>
      <c r="W36" s="228">
        <v>-500</v>
      </c>
      <c r="X36" s="229">
        <v>-1.5599999999999999E-2</v>
      </c>
      <c r="Y36" s="228">
        <v>100</v>
      </c>
      <c r="Z36" s="228">
        <v>85</v>
      </c>
      <c r="AA36" s="228">
        <v>15</v>
      </c>
      <c r="AB36" s="229">
        <v>3.2000000000000002E-3</v>
      </c>
      <c r="AC36" s="228">
        <v>100</v>
      </c>
      <c r="AD36" s="228">
        <v>85</v>
      </c>
      <c r="AE36" s="228">
        <v>15</v>
      </c>
      <c r="AF36" s="229">
        <v>3.2000000000000002E-3</v>
      </c>
      <c r="AG36" s="228">
        <v>290</v>
      </c>
      <c r="AH36" s="228">
        <v>320</v>
      </c>
      <c r="AI36" s="228">
        <v>-30</v>
      </c>
      <c r="AJ36" s="229">
        <v>9.2999999999999992E-3</v>
      </c>
      <c r="AK36" s="228">
        <v>295</v>
      </c>
      <c r="AL36" s="228">
        <v>385</v>
      </c>
      <c r="AM36" s="228">
        <v>-90</v>
      </c>
      <c r="AN36" s="229">
        <v>9.4000000000000004E-3</v>
      </c>
      <c r="AO36" s="231">
        <v>31302.47</v>
      </c>
      <c r="AP36" s="231">
        <v>31443.49</v>
      </c>
      <c r="AQ36" s="228">
        <v>0</v>
      </c>
      <c r="AR36" s="230">
        <v>40400</v>
      </c>
      <c r="AS36" s="230">
        <v>34450</v>
      </c>
      <c r="AT36" s="230">
        <v>5950</v>
      </c>
      <c r="AU36" s="229">
        <v>0.17269999999999999</v>
      </c>
      <c r="AV36" s="230">
        <v>36500</v>
      </c>
      <c r="AW36" s="230">
        <v>32400</v>
      </c>
      <c r="AX36" s="230">
        <v>4100</v>
      </c>
      <c r="AY36" s="229">
        <v>0.1265</v>
      </c>
      <c r="AZ36" s="230">
        <v>3725</v>
      </c>
      <c r="BA36" s="230">
        <v>1900</v>
      </c>
      <c r="BB36" s="230">
        <v>1825</v>
      </c>
      <c r="BC36" s="229">
        <v>0.96050000000000002</v>
      </c>
      <c r="BD36" s="228">
        <v>175</v>
      </c>
      <c r="BE36" s="228">
        <v>150</v>
      </c>
      <c r="BF36" s="228">
        <v>25</v>
      </c>
      <c r="BG36" s="229">
        <v>0.16669999999999999</v>
      </c>
      <c r="BH36" s="230">
        <v>101375</v>
      </c>
      <c r="BI36" s="230">
        <v>216775</v>
      </c>
      <c r="BJ36" s="230">
        <v>-115400</v>
      </c>
      <c r="BK36" s="229">
        <v>-0.5323</v>
      </c>
      <c r="BL36" s="230">
        <v>57025</v>
      </c>
      <c r="BM36" s="230">
        <v>155650</v>
      </c>
      <c r="BN36" s="230">
        <v>-98625</v>
      </c>
      <c r="BO36" s="229">
        <v>-0.63360000000000005</v>
      </c>
      <c r="BP36" s="230">
        <v>198800</v>
      </c>
      <c r="BQ36" s="230">
        <v>406875</v>
      </c>
      <c r="BR36" s="230">
        <v>-208075</v>
      </c>
      <c r="BS36" s="229">
        <v>-0.51139999999999997</v>
      </c>
      <c r="BT36" s="230">
        <v>28194</v>
      </c>
      <c r="BU36" s="230">
        <v>19620</v>
      </c>
      <c r="BV36" s="230">
        <v>8574</v>
      </c>
      <c r="BW36" s="229">
        <v>0.437</v>
      </c>
      <c r="BX36" s="230">
        <v>219350</v>
      </c>
      <c r="BY36" s="230">
        <v>216650</v>
      </c>
      <c r="BZ36" s="230">
        <v>2700</v>
      </c>
      <c r="CA36" s="229">
        <v>1.2500000000000001E-2</v>
      </c>
      <c r="CB36" s="230">
        <v>211275</v>
      </c>
      <c r="CC36" s="230">
        <v>209125</v>
      </c>
      <c r="CD36" s="230">
        <v>2150</v>
      </c>
      <c r="CE36" s="229">
        <v>1.03E-2</v>
      </c>
      <c r="CF36" s="230">
        <v>7700</v>
      </c>
      <c r="CG36" s="230">
        <v>7150</v>
      </c>
      <c r="CH36" s="228">
        <v>550</v>
      </c>
      <c r="CI36" s="229">
        <v>7.6899999999999996E-2</v>
      </c>
      <c r="CJ36" s="228">
        <v>375</v>
      </c>
      <c r="CK36" s="228">
        <v>375</v>
      </c>
      <c r="CL36" s="228">
        <v>0</v>
      </c>
      <c r="CM36" s="229">
        <v>0</v>
      </c>
      <c r="CN36" s="230">
        <v>241475</v>
      </c>
      <c r="CO36" s="230">
        <v>231075</v>
      </c>
      <c r="CP36" s="230">
        <v>10400</v>
      </c>
      <c r="CQ36" s="229">
        <v>4.4999999999999998E-2</v>
      </c>
      <c r="CR36" s="230">
        <v>141900</v>
      </c>
      <c r="CS36" s="230">
        <v>139425</v>
      </c>
      <c r="CT36" s="230">
        <v>2475</v>
      </c>
      <c r="CU36" s="229">
        <v>1.78E-2</v>
      </c>
      <c r="CV36" s="230">
        <v>602725</v>
      </c>
      <c r="CW36" s="230">
        <v>587150</v>
      </c>
      <c r="CX36" s="230">
        <v>15575</v>
      </c>
      <c r="CY36" s="229">
        <v>2.6499999999999999E-2</v>
      </c>
      <c r="CZ36" s="228">
        <v>34.19</v>
      </c>
      <c r="DA36" s="228">
        <v>33.92</v>
      </c>
      <c r="DB36" s="228">
        <v>0.27</v>
      </c>
      <c r="DC36" s="228">
        <v>0.27</v>
      </c>
      <c r="DD36" s="228">
        <v>30.82</v>
      </c>
      <c r="DE36" s="228">
        <v>30.84</v>
      </c>
      <c r="DF36" s="228">
        <v>3.37</v>
      </c>
      <c r="DG36" s="228">
        <v>-0.02</v>
      </c>
      <c r="DH36" s="228">
        <v>33.979999999999997</v>
      </c>
      <c r="DI36" s="228">
        <v>33.950000000000003</v>
      </c>
      <c r="DJ36" s="228">
        <v>0.03</v>
      </c>
      <c r="DK36" s="228">
        <v>0.03</v>
      </c>
      <c r="DL36" s="228">
        <v>34.57</v>
      </c>
      <c r="DM36" s="228">
        <v>33.869999999999997</v>
      </c>
      <c r="DN36" s="228">
        <v>0.7</v>
      </c>
      <c r="DO36" s="228">
        <v>0.7</v>
      </c>
      <c r="DP36" s="228">
        <v>0.59</v>
      </c>
      <c r="DQ36" s="228">
        <v>0.6</v>
      </c>
      <c r="DR36" s="228">
        <v>-0.01</v>
      </c>
      <c r="DS36" s="229">
        <v>-1.67E-2</v>
      </c>
      <c r="DT36" s="231">
        <v>40000</v>
      </c>
      <c r="DU36" s="231">
        <v>30000</v>
      </c>
      <c r="DV36" s="228">
        <v>0.56000000000000005</v>
      </c>
      <c r="DW36" s="228">
        <v>0.72</v>
      </c>
      <c r="DX36" s="228">
        <v>-0.16</v>
      </c>
      <c r="DY36" s="229">
        <v>-0.22220000000000001</v>
      </c>
      <c r="DZ36" s="229">
        <v>3.6799999999999999E-2</v>
      </c>
      <c r="EA36" s="230">
        <v>7525</v>
      </c>
      <c r="EB36" s="229">
        <v>6.0000000000000001E-3</v>
      </c>
      <c r="EC36" s="229">
        <v>3.6799999999999999E-2</v>
      </c>
      <c r="ED36" s="228">
        <v>141.02000000000001</v>
      </c>
      <c r="EE36" s="229">
        <v>4.4999999999999997E-3</v>
      </c>
      <c r="EF36" s="230">
        <v>11923</v>
      </c>
      <c r="EG36" s="230">
        <v>7731</v>
      </c>
      <c r="EH36" s="229">
        <v>0.54220000000000002</v>
      </c>
      <c r="EI36" s="229">
        <v>0.4229</v>
      </c>
      <c r="EJ36" s="231">
        <v>34934.32</v>
      </c>
      <c r="EK36" s="231">
        <v>17854.919999999998</v>
      </c>
      <c r="EL36" s="231">
        <v>12652.2</v>
      </c>
      <c r="EM36" s="231">
        <v>1856</v>
      </c>
      <c r="EN36" s="231">
        <v>65441.440000000002</v>
      </c>
      <c r="EO36" s="231">
        <v>135476.54999999999</v>
      </c>
      <c r="EP36" s="231">
        <v>-70035.11</v>
      </c>
      <c r="EQ36" s="229">
        <v>-0.51700000000000002</v>
      </c>
      <c r="ER36" s="231">
        <v>87576</v>
      </c>
      <c r="ES36" s="231">
        <v>46376</v>
      </c>
      <c r="ET36" s="231">
        <v>68902</v>
      </c>
      <c r="EU36" s="231">
        <v>882048</v>
      </c>
      <c r="EV36" s="231">
        <v>202854</v>
      </c>
      <c r="EW36" s="231">
        <v>198840</v>
      </c>
      <c r="EX36" s="231">
        <v>4014</v>
      </c>
      <c r="EY36" s="229">
        <v>2.0199999999999999E-2</v>
      </c>
      <c r="EZ36" s="229">
        <v>0.68330000000000002</v>
      </c>
      <c r="FA36" s="227" t="s">
        <v>567</v>
      </c>
      <c r="FB36" s="161">
        <f t="shared" si="0"/>
        <v>8075</v>
      </c>
    </row>
    <row r="37" spans="1:158" ht="17.25" thickBot="1" x14ac:dyDescent="0.3">
      <c r="A37" s="226">
        <v>46093</v>
      </c>
      <c r="B37" s="227" t="s">
        <v>193</v>
      </c>
      <c r="C37" s="227" t="s">
        <v>194</v>
      </c>
      <c r="D37" s="228">
        <v>1975</v>
      </c>
      <c r="E37" s="228">
        <v>327.2</v>
      </c>
      <c r="F37" s="228">
        <v>325.64999999999998</v>
      </c>
      <c r="G37" s="228">
        <v>1.55</v>
      </c>
      <c r="H37" s="229">
        <v>4.7999999999999996E-3</v>
      </c>
      <c r="I37" s="228">
        <v>326.35000000000002</v>
      </c>
      <c r="J37" s="228">
        <v>325.05</v>
      </c>
      <c r="K37" s="228">
        <v>1.3</v>
      </c>
      <c r="L37" s="229">
        <v>4.0000000000000001E-3</v>
      </c>
      <c r="M37" s="228">
        <v>327.2</v>
      </c>
      <c r="N37" s="228">
        <v>325.64999999999998</v>
      </c>
      <c r="O37" s="228">
        <v>1.55</v>
      </c>
      <c r="P37" s="229">
        <v>4.7999999999999996E-3</v>
      </c>
      <c r="Q37" s="228">
        <v>328.95</v>
      </c>
      <c r="R37" s="228">
        <v>327.35000000000002</v>
      </c>
      <c r="S37" s="228">
        <v>1.6</v>
      </c>
      <c r="T37" s="229">
        <v>4.8999999999999998E-3</v>
      </c>
      <c r="U37" s="228">
        <v>330.7</v>
      </c>
      <c r="V37" s="228">
        <v>329.2</v>
      </c>
      <c r="W37" s="228">
        <v>1.5</v>
      </c>
      <c r="X37" s="229">
        <v>4.5999999999999999E-3</v>
      </c>
      <c r="Y37" s="228">
        <v>0.85</v>
      </c>
      <c r="Z37" s="228">
        <v>0.6</v>
      </c>
      <c r="AA37" s="228">
        <v>0.25</v>
      </c>
      <c r="AB37" s="229">
        <v>2.5999999999999999E-3</v>
      </c>
      <c r="AC37" s="228">
        <v>0.85</v>
      </c>
      <c r="AD37" s="228">
        <v>0.6</v>
      </c>
      <c r="AE37" s="228">
        <v>0.25</v>
      </c>
      <c r="AF37" s="229">
        <v>2.5999999999999999E-3</v>
      </c>
      <c r="AG37" s="228">
        <v>2.6</v>
      </c>
      <c r="AH37" s="228">
        <v>2.2999999999999998</v>
      </c>
      <c r="AI37" s="228">
        <v>0.3</v>
      </c>
      <c r="AJ37" s="229">
        <v>8.0000000000000002E-3</v>
      </c>
      <c r="AK37" s="228">
        <v>4.3499999999999996</v>
      </c>
      <c r="AL37" s="228">
        <v>4.1500000000000004</v>
      </c>
      <c r="AM37" s="228">
        <v>0.2</v>
      </c>
      <c r="AN37" s="229">
        <v>1.3299999999999999E-2</v>
      </c>
      <c r="AO37" s="228">
        <v>325.20999999999998</v>
      </c>
      <c r="AP37" s="228">
        <v>325.95</v>
      </c>
      <c r="AQ37" s="228">
        <v>0</v>
      </c>
      <c r="AR37" s="230">
        <v>9389150</v>
      </c>
      <c r="AS37" s="230">
        <v>9651825</v>
      </c>
      <c r="AT37" s="230">
        <v>-262675</v>
      </c>
      <c r="AU37" s="229">
        <v>-2.7199999999999998E-2</v>
      </c>
      <c r="AV37" s="230">
        <v>8735425</v>
      </c>
      <c r="AW37" s="230">
        <v>9152150</v>
      </c>
      <c r="AX37" s="230">
        <v>-416725</v>
      </c>
      <c r="AY37" s="229">
        <v>-4.5499999999999999E-2</v>
      </c>
      <c r="AZ37" s="230">
        <v>578675</v>
      </c>
      <c r="BA37" s="230">
        <v>420675</v>
      </c>
      <c r="BB37" s="230">
        <v>158000</v>
      </c>
      <c r="BC37" s="229">
        <v>0.37559999999999999</v>
      </c>
      <c r="BD37" s="230">
        <v>75050</v>
      </c>
      <c r="BE37" s="230">
        <v>79000</v>
      </c>
      <c r="BF37" s="230">
        <v>-3950</v>
      </c>
      <c r="BG37" s="229">
        <v>-0.05</v>
      </c>
      <c r="BH37" s="230">
        <v>30000250</v>
      </c>
      <c r="BI37" s="230">
        <v>25712525</v>
      </c>
      <c r="BJ37" s="230">
        <v>4287725</v>
      </c>
      <c r="BK37" s="229">
        <v>0.1668</v>
      </c>
      <c r="BL37" s="230">
        <v>29719800</v>
      </c>
      <c r="BM37" s="230">
        <v>18225300</v>
      </c>
      <c r="BN37" s="230">
        <v>11494500</v>
      </c>
      <c r="BO37" s="229">
        <v>0.63070000000000004</v>
      </c>
      <c r="BP37" s="230">
        <v>69109200</v>
      </c>
      <c r="BQ37" s="230">
        <v>53589650</v>
      </c>
      <c r="BR37" s="230">
        <v>15519550</v>
      </c>
      <c r="BS37" s="229">
        <v>0.28960000000000002</v>
      </c>
      <c r="BT37" s="230">
        <v>12023052</v>
      </c>
      <c r="BU37" s="230">
        <v>14398817</v>
      </c>
      <c r="BV37" s="230">
        <v>-2375765</v>
      </c>
      <c r="BW37" s="229">
        <v>-0.16500000000000001</v>
      </c>
      <c r="BX37" s="230">
        <v>46809475</v>
      </c>
      <c r="BY37" s="230">
        <v>46477675</v>
      </c>
      <c r="BZ37" s="230">
        <v>331800</v>
      </c>
      <c r="CA37" s="229">
        <v>7.1000000000000004E-3</v>
      </c>
      <c r="CB37" s="230">
        <v>45478325</v>
      </c>
      <c r="CC37" s="230">
        <v>45231450</v>
      </c>
      <c r="CD37" s="230">
        <v>246875</v>
      </c>
      <c r="CE37" s="229">
        <v>5.4999999999999997E-3</v>
      </c>
      <c r="CF37" s="230">
        <v>1232400</v>
      </c>
      <c r="CG37" s="230">
        <v>1129700</v>
      </c>
      <c r="CH37" s="230">
        <v>102700</v>
      </c>
      <c r="CI37" s="229">
        <v>9.0899999999999995E-2</v>
      </c>
      <c r="CJ37" s="230">
        <v>98750</v>
      </c>
      <c r="CK37" s="230">
        <v>116525</v>
      </c>
      <c r="CL37" s="230">
        <v>-17775</v>
      </c>
      <c r="CM37" s="229">
        <v>-0.1525</v>
      </c>
      <c r="CN37" s="230">
        <v>24239175</v>
      </c>
      <c r="CO37" s="230">
        <v>23913300</v>
      </c>
      <c r="CP37" s="230">
        <v>325875</v>
      </c>
      <c r="CQ37" s="229">
        <v>1.3599999999999999E-2</v>
      </c>
      <c r="CR37" s="230">
        <v>19084425</v>
      </c>
      <c r="CS37" s="230">
        <v>18110750</v>
      </c>
      <c r="CT37" s="230">
        <v>973675</v>
      </c>
      <c r="CU37" s="229">
        <v>5.3800000000000001E-2</v>
      </c>
      <c r="CV37" s="230">
        <v>90133075</v>
      </c>
      <c r="CW37" s="230">
        <v>88501725</v>
      </c>
      <c r="CX37" s="230">
        <v>1631350</v>
      </c>
      <c r="CY37" s="229">
        <v>1.84E-2</v>
      </c>
      <c r="CZ37" s="228">
        <v>43.28</v>
      </c>
      <c r="DA37" s="228">
        <v>42.56</v>
      </c>
      <c r="DB37" s="228">
        <v>0.72</v>
      </c>
      <c r="DC37" s="228">
        <v>0.72</v>
      </c>
      <c r="DD37" s="228">
        <v>33.79</v>
      </c>
      <c r="DE37" s="228">
        <v>33.869999999999997</v>
      </c>
      <c r="DF37" s="228">
        <v>9.49</v>
      </c>
      <c r="DG37" s="228">
        <v>-0.08</v>
      </c>
      <c r="DH37" s="228">
        <v>40.869999999999997</v>
      </c>
      <c r="DI37" s="228">
        <v>41.16</v>
      </c>
      <c r="DJ37" s="228">
        <v>-0.28999999999999998</v>
      </c>
      <c r="DK37" s="228">
        <v>-0.28999999999999998</v>
      </c>
      <c r="DL37" s="228">
        <v>45.71</v>
      </c>
      <c r="DM37" s="228">
        <v>44.54</v>
      </c>
      <c r="DN37" s="228">
        <v>1.17</v>
      </c>
      <c r="DO37" s="228">
        <v>1.17</v>
      </c>
      <c r="DP37" s="228">
        <v>0.79</v>
      </c>
      <c r="DQ37" s="228">
        <v>0.76</v>
      </c>
      <c r="DR37" s="228">
        <v>0.03</v>
      </c>
      <c r="DS37" s="229">
        <v>3.95E-2</v>
      </c>
      <c r="DT37" s="228">
        <v>440</v>
      </c>
      <c r="DU37" s="228">
        <v>300</v>
      </c>
      <c r="DV37" s="228">
        <v>0.99</v>
      </c>
      <c r="DW37" s="228">
        <v>0.71</v>
      </c>
      <c r="DX37" s="228">
        <v>0.28000000000000003</v>
      </c>
      <c r="DY37" s="229">
        <v>0.39439999999999997</v>
      </c>
      <c r="DZ37" s="229">
        <v>2.8400000000000002E-2</v>
      </c>
      <c r="EA37" s="230">
        <v>1246225</v>
      </c>
      <c r="EB37" s="229">
        <v>5.3E-3</v>
      </c>
      <c r="EC37" s="229">
        <v>2.8400000000000002E-2</v>
      </c>
      <c r="ED37" s="228">
        <v>0.74</v>
      </c>
      <c r="EE37" s="229">
        <v>2.3E-3</v>
      </c>
      <c r="EF37" s="230">
        <v>5721075</v>
      </c>
      <c r="EG37" s="230">
        <v>8128556</v>
      </c>
      <c r="EH37" s="229">
        <v>-0.29620000000000002</v>
      </c>
      <c r="EI37" s="229">
        <v>0.4758</v>
      </c>
      <c r="EJ37" s="231">
        <v>105239.73</v>
      </c>
      <c r="EK37" s="231">
        <v>94927</v>
      </c>
      <c r="EL37" s="231">
        <v>30541.16</v>
      </c>
      <c r="EM37" s="231">
        <v>8487</v>
      </c>
      <c r="EN37" s="231">
        <v>230707.89</v>
      </c>
      <c r="EO37" s="231">
        <v>182147.28</v>
      </c>
      <c r="EP37" s="231">
        <v>48560.61</v>
      </c>
      <c r="EQ37" s="229">
        <v>0.2666</v>
      </c>
      <c r="ER37" s="231">
        <v>88888</v>
      </c>
      <c r="ES37" s="231">
        <v>62681</v>
      </c>
      <c r="ET37" s="231">
        <v>153186</v>
      </c>
      <c r="EU37" s="231">
        <v>306020745</v>
      </c>
      <c r="EV37" s="231">
        <v>304754</v>
      </c>
      <c r="EW37" s="231">
        <v>299645</v>
      </c>
      <c r="EX37" s="231">
        <v>5109</v>
      </c>
      <c r="EY37" s="229">
        <v>1.7100000000000001E-2</v>
      </c>
      <c r="EZ37" s="229">
        <v>0.29449999999999998</v>
      </c>
      <c r="FA37" s="227" t="s">
        <v>555</v>
      </c>
      <c r="FB37" s="161">
        <f t="shared" si="0"/>
        <v>1331150</v>
      </c>
    </row>
    <row r="38" spans="1:158" ht="17.25" thickBot="1" x14ac:dyDescent="0.3">
      <c r="A38" s="226">
        <v>46093</v>
      </c>
      <c r="B38" s="227" t="s">
        <v>168</v>
      </c>
      <c r="C38" s="227" t="s">
        <v>195</v>
      </c>
      <c r="D38" s="228">
        <v>125</v>
      </c>
      <c r="E38" s="231">
        <v>5793</v>
      </c>
      <c r="F38" s="231">
        <v>5927</v>
      </c>
      <c r="G38" s="228">
        <v>-134</v>
      </c>
      <c r="H38" s="229">
        <v>-2.2599999999999999E-2</v>
      </c>
      <c r="I38" s="231">
        <v>5787</v>
      </c>
      <c r="J38" s="231">
        <v>5921.5</v>
      </c>
      <c r="K38" s="228">
        <v>-134.5</v>
      </c>
      <c r="L38" s="229">
        <v>-2.2700000000000001E-2</v>
      </c>
      <c r="M38" s="231">
        <v>5793</v>
      </c>
      <c r="N38" s="231">
        <v>5927</v>
      </c>
      <c r="O38" s="228">
        <v>-134</v>
      </c>
      <c r="P38" s="229">
        <v>-2.2599999999999999E-2</v>
      </c>
      <c r="Q38" s="231">
        <v>5834</v>
      </c>
      <c r="R38" s="231">
        <v>5960.5</v>
      </c>
      <c r="S38" s="228">
        <v>-126.5</v>
      </c>
      <c r="T38" s="229">
        <v>-2.12E-2</v>
      </c>
      <c r="U38" s="231">
        <v>5860.5</v>
      </c>
      <c r="V38" s="231">
        <v>5983</v>
      </c>
      <c r="W38" s="228">
        <v>-122.5</v>
      </c>
      <c r="X38" s="229">
        <v>-2.0500000000000001E-2</v>
      </c>
      <c r="Y38" s="228">
        <v>6</v>
      </c>
      <c r="Z38" s="228">
        <v>5.5</v>
      </c>
      <c r="AA38" s="228">
        <v>0.5</v>
      </c>
      <c r="AB38" s="229">
        <v>1E-3</v>
      </c>
      <c r="AC38" s="228">
        <v>6</v>
      </c>
      <c r="AD38" s="228">
        <v>5.5</v>
      </c>
      <c r="AE38" s="228">
        <v>0.5</v>
      </c>
      <c r="AF38" s="229">
        <v>1E-3</v>
      </c>
      <c r="AG38" s="228">
        <v>47</v>
      </c>
      <c r="AH38" s="228">
        <v>39</v>
      </c>
      <c r="AI38" s="228">
        <v>8</v>
      </c>
      <c r="AJ38" s="229">
        <v>8.0999999999999996E-3</v>
      </c>
      <c r="AK38" s="228">
        <v>73.5</v>
      </c>
      <c r="AL38" s="228">
        <v>61.5</v>
      </c>
      <c r="AM38" s="228">
        <v>12</v>
      </c>
      <c r="AN38" s="229">
        <v>1.2699999999999999E-2</v>
      </c>
      <c r="AO38" s="231">
        <v>5780.63</v>
      </c>
      <c r="AP38" s="231">
        <v>5840.18</v>
      </c>
      <c r="AQ38" s="228">
        <v>0</v>
      </c>
      <c r="AR38" s="230">
        <v>988500</v>
      </c>
      <c r="AS38" s="230">
        <v>349875</v>
      </c>
      <c r="AT38" s="230">
        <v>638625</v>
      </c>
      <c r="AU38" s="229">
        <v>1.8252999999999999</v>
      </c>
      <c r="AV38" s="230">
        <v>963875</v>
      </c>
      <c r="AW38" s="230">
        <v>339875</v>
      </c>
      <c r="AX38" s="230">
        <v>624000</v>
      </c>
      <c r="AY38" s="229">
        <v>1.8360000000000001</v>
      </c>
      <c r="AZ38" s="230">
        <v>22750</v>
      </c>
      <c r="BA38" s="230">
        <v>9625</v>
      </c>
      <c r="BB38" s="230">
        <v>13125</v>
      </c>
      <c r="BC38" s="229">
        <v>1.3635999999999999</v>
      </c>
      <c r="BD38" s="230">
        <v>1875</v>
      </c>
      <c r="BE38" s="228">
        <v>375</v>
      </c>
      <c r="BF38" s="230">
        <v>1500</v>
      </c>
      <c r="BG38" s="229">
        <v>4</v>
      </c>
      <c r="BH38" s="230">
        <v>1136625</v>
      </c>
      <c r="BI38" s="230">
        <v>482875</v>
      </c>
      <c r="BJ38" s="230">
        <v>653750</v>
      </c>
      <c r="BK38" s="229">
        <v>1.3539000000000001</v>
      </c>
      <c r="BL38" s="230">
        <v>1299250</v>
      </c>
      <c r="BM38" s="230">
        <v>858750</v>
      </c>
      <c r="BN38" s="230">
        <v>440500</v>
      </c>
      <c r="BO38" s="229">
        <v>0.51300000000000001</v>
      </c>
      <c r="BP38" s="230">
        <v>3424375</v>
      </c>
      <c r="BQ38" s="230">
        <v>1691500</v>
      </c>
      <c r="BR38" s="230">
        <v>1732875</v>
      </c>
      <c r="BS38" s="229">
        <v>1.0245</v>
      </c>
      <c r="BT38" s="230">
        <v>1005308</v>
      </c>
      <c r="BU38" s="230">
        <v>300449</v>
      </c>
      <c r="BV38" s="230">
        <v>704859</v>
      </c>
      <c r="BW38" s="229">
        <v>2.3460000000000001</v>
      </c>
      <c r="BX38" s="230">
        <v>2841875</v>
      </c>
      <c r="BY38" s="230">
        <v>3107750</v>
      </c>
      <c r="BZ38" s="230">
        <v>-265875</v>
      </c>
      <c r="CA38" s="229">
        <v>-8.5599999999999996E-2</v>
      </c>
      <c r="CB38" s="230">
        <v>2816250</v>
      </c>
      <c r="CC38" s="230">
        <v>3087750</v>
      </c>
      <c r="CD38" s="230">
        <v>-271500</v>
      </c>
      <c r="CE38" s="229">
        <v>-8.7900000000000006E-2</v>
      </c>
      <c r="CF38" s="230">
        <v>23875</v>
      </c>
      <c r="CG38" s="230">
        <v>18500</v>
      </c>
      <c r="CH38" s="230">
        <v>5375</v>
      </c>
      <c r="CI38" s="229">
        <v>0.29049999999999998</v>
      </c>
      <c r="CJ38" s="230">
        <v>1750</v>
      </c>
      <c r="CK38" s="230">
        <v>1500</v>
      </c>
      <c r="CL38" s="228">
        <v>250</v>
      </c>
      <c r="CM38" s="229">
        <v>0.16669999999999999</v>
      </c>
      <c r="CN38" s="230">
        <v>793625</v>
      </c>
      <c r="CO38" s="230">
        <v>728125</v>
      </c>
      <c r="CP38" s="230">
        <v>65500</v>
      </c>
      <c r="CQ38" s="229">
        <v>0.09</v>
      </c>
      <c r="CR38" s="230">
        <v>419500</v>
      </c>
      <c r="CS38" s="230">
        <v>400250</v>
      </c>
      <c r="CT38" s="230">
        <v>19250</v>
      </c>
      <c r="CU38" s="229">
        <v>4.8099999999999997E-2</v>
      </c>
      <c r="CV38" s="230">
        <v>4055000</v>
      </c>
      <c r="CW38" s="230">
        <v>4236125</v>
      </c>
      <c r="CX38" s="230">
        <v>-181125</v>
      </c>
      <c r="CY38" s="229">
        <v>-4.2799999999999998E-2</v>
      </c>
      <c r="CZ38" s="228">
        <v>26.31</v>
      </c>
      <c r="DA38" s="228">
        <v>23.57</v>
      </c>
      <c r="DB38" s="228">
        <v>2.74</v>
      </c>
      <c r="DC38" s="228">
        <v>2.74</v>
      </c>
      <c r="DD38" s="228">
        <v>23.99</v>
      </c>
      <c r="DE38" s="228">
        <v>23.85</v>
      </c>
      <c r="DF38" s="228">
        <v>2.3199999999999998</v>
      </c>
      <c r="DG38" s="228">
        <v>0.14000000000000001</v>
      </c>
      <c r="DH38" s="228">
        <v>24.8</v>
      </c>
      <c r="DI38" s="228">
        <v>22.32</v>
      </c>
      <c r="DJ38" s="228">
        <v>2.48</v>
      </c>
      <c r="DK38" s="228">
        <v>2.48</v>
      </c>
      <c r="DL38" s="228">
        <v>27.63</v>
      </c>
      <c r="DM38" s="228">
        <v>24.27</v>
      </c>
      <c r="DN38" s="228">
        <v>3.36</v>
      </c>
      <c r="DO38" s="228">
        <v>3.36</v>
      </c>
      <c r="DP38" s="228">
        <v>0.53</v>
      </c>
      <c r="DQ38" s="228">
        <v>0.55000000000000004</v>
      </c>
      <c r="DR38" s="228">
        <v>-0.02</v>
      </c>
      <c r="DS38" s="229">
        <v>-3.6400000000000002E-2</v>
      </c>
      <c r="DT38" s="231">
        <v>6700</v>
      </c>
      <c r="DU38" s="231">
        <v>5500</v>
      </c>
      <c r="DV38" s="228">
        <v>1.1399999999999999</v>
      </c>
      <c r="DW38" s="228">
        <v>1.78</v>
      </c>
      <c r="DX38" s="228">
        <v>-0.64</v>
      </c>
      <c r="DY38" s="229">
        <v>-0.35959999999999998</v>
      </c>
      <c r="DZ38" s="229">
        <v>8.9999999999999993E-3</v>
      </c>
      <c r="EA38" s="230">
        <v>20000</v>
      </c>
      <c r="EB38" s="229">
        <v>7.1000000000000004E-3</v>
      </c>
      <c r="EC38" s="229">
        <v>8.9999999999999993E-3</v>
      </c>
      <c r="ED38" s="228">
        <v>59.55</v>
      </c>
      <c r="EE38" s="229">
        <v>1.03E-2</v>
      </c>
      <c r="EF38" s="230">
        <v>663205</v>
      </c>
      <c r="EG38" s="230">
        <v>195738</v>
      </c>
      <c r="EH38" s="229">
        <v>2.3881999999999999</v>
      </c>
      <c r="EI38" s="229">
        <v>0.65969999999999995</v>
      </c>
      <c r="EJ38" s="231">
        <v>69121.490000000005</v>
      </c>
      <c r="EK38" s="231">
        <v>73414.58</v>
      </c>
      <c r="EL38" s="231">
        <v>57156.57</v>
      </c>
      <c r="EM38" s="231">
        <v>2322</v>
      </c>
      <c r="EN38" s="231">
        <v>199692.64</v>
      </c>
      <c r="EO38" s="231">
        <v>101356.81</v>
      </c>
      <c r="EP38" s="231">
        <v>98335.83</v>
      </c>
      <c r="EQ38" s="229">
        <v>0.97019999999999995</v>
      </c>
      <c r="ER38" s="231">
        <v>50294</v>
      </c>
      <c r="ES38" s="231">
        <v>23744</v>
      </c>
      <c r="ET38" s="231">
        <v>164641</v>
      </c>
      <c r="EU38" s="231">
        <v>16370935</v>
      </c>
      <c r="EV38" s="231">
        <v>238678</v>
      </c>
      <c r="EW38" s="231">
        <v>253596</v>
      </c>
      <c r="EX38" s="231">
        <v>-14918</v>
      </c>
      <c r="EY38" s="229">
        <v>-5.8799999999999998E-2</v>
      </c>
      <c r="EZ38" s="229">
        <v>0.2477</v>
      </c>
      <c r="FA38" s="227" t="s">
        <v>568</v>
      </c>
      <c r="FB38" s="161">
        <f t="shared" si="0"/>
        <v>25625</v>
      </c>
    </row>
    <row r="39" spans="1:158" ht="17.25" thickBot="1" x14ac:dyDescent="0.3">
      <c r="A39" s="226">
        <v>46093</v>
      </c>
      <c r="B39" s="227" t="s">
        <v>175</v>
      </c>
      <c r="C39" s="227" t="s">
        <v>584</v>
      </c>
      <c r="D39" s="228">
        <v>375</v>
      </c>
      <c r="E39" s="231">
        <v>2851.7</v>
      </c>
      <c r="F39" s="231">
        <v>2836.5</v>
      </c>
      <c r="G39" s="228">
        <v>15.2</v>
      </c>
      <c r="H39" s="229">
        <v>5.4000000000000003E-3</v>
      </c>
      <c r="I39" s="231">
        <v>2850.6</v>
      </c>
      <c r="J39" s="231">
        <v>2837.4</v>
      </c>
      <c r="K39" s="228">
        <v>13.2</v>
      </c>
      <c r="L39" s="229">
        <v>4.7000000000000002E-3</v>
      </c>
      <c r="M39" s="231">
        <v>2851.7</v>
      </c>
      <c r="N39" s="231">
        <v>2836.5</v>
      </c>
      <c r="O39" s="228">
        <v>15.2</v>
      </c>
      <c r="P39" s="229">
        <v>5.4000000000000003E-3</v>
      </c>
      <c r="Q39" s="231">
        <v>2864</v>
      </c>
      <c r="R39" s="231">
        <v>2849.3</v>
      </c>
      <c r="S39" s="228">
        <v>14.7</v>
      </c>
      <c r="T39" s="229">
        <v>5.1999999999999998E-3</v>
      </c>
      <c r="U39" s="231">
        <v>2869.8</v>
      </c>
      <c r="V39" s="231">
        <v>2859.8</v>
      </c>
      <c r="W39" s="228">
        <v>10</v>
      </c>
      <c r="X39" s="229">
        <v>3.5000000000000001E-3</v>
      </c>
      <c r="Y39" s="228">
        <v>1.1000000000000001</v>
      </c>
      <c r="Z39" s="228">
        <v>-0.9</v>
      </c>
      <c r="AA39" s="228">
        <v>2</v>
      </c>
      <c r="AB39" s="229">
        <v>4.0000000000000002E-4</v>
      </c>
      <c r="AC39" s="228">
        <v>1.1000000000000001</v>
      </c>
      <c r="AD39" s="228">
        <v>-0.9</v>
      </c>
      <c r="AE39" s="228">
        <v>2</v>
      </c>
      <c r="AF39" s="229">
        <v>4.0000000000000002E-4</v>
      </c>
      <c r="AG39" s="228">
        <v>13.4</v>
      </c>
      <c r="AH39" s="228">
        <v>11.9</v>
      </c>
      <c r="AI39" s="228">
        <v>1.5</v>
      </c>
      <c r="AJ39" s="229">
        <v>4.7000000000000002E-3</v>
      </c>
      <c r="AK39" s="228">
        <v>19.2</v>
      </c>
      <c r="AL39" s="228">
        <v>22.4</v>
      </c>
      <c r="AM39" s="228">
        <v>-3.2</v>
      </c>
      <c r="AN39" s="229">
        <v>6.7000000000000002E-3</v>
      </c>
      <c r="AO39" s="231">
        <v>2833.85</v>
      </c>
      <c r="AP39" s="231">
        <v>2848.93</v>
      </c>
      <c r="AQ39" s="228">
        <v>0</v>
      </c>
      <c r="AR39" s="230">
        <v>3027000</v>
      </c>
      <c r="AS39" s="230">
        <v>2835000</v>
      </c>
      <c r="AT39" s="230">
        <v>192000</v>
      </c>
      <c r="AU39" s="229">
        <v>6.7699999999999996E-2</v>
      </c>
      <c r="AV39" s="230">
        <v>2731500</v>
      </c>
      <c r="AW39" s="230">
        <v>2610000</v>
      </c>
      <c r="AX39" s="230">
        <v>121500</v>
      </c>
      <c r="AY39" s="229">
        <v>4.6600000000000003E-2</v>
      </c>
      <c r="AZ39" s="230">
        <v>261000</v>
      </c>
      <c r="BA39" s="230">
        <v>189750</v>
      </c>
      <c r="BB39" s="230">
        <v>71250</v>
      </c>
      <c r="BC39" s="229">
        <v>0.3755</v>
      </c>
      <c r="BD39" s="230">
        <v>34500</v>
      </c>
      <c r="BE39" s="230">
        <v>35250</v>
      </c>
      <c r="BF39" s="228">
        <v>-750</v>
      </c>
      <c r="BG39" s="229">
        <v>-2.1299999999999999E-2</v>
      </c>
      <c r="BH39" s="230">
        <v>11668125</v>
      </c>
      <c r="BI39" s="230">
        <v>10967250</v>
      </c>
      <c r="BJ39" s="230">
        <v>700875</v>
      </c>
      <c r="BK39" s="229">
        <v>6.3899999999999998E-2</v>
      </c>
      <c r="BL39" s="230">
        <v>10471875</v>
      </c>
      <c r="BM39" s="230">
        <v>10175625</v>
      </c>
      <c r="BN39" s="230">
        <v>296250</v>
      </c>
      <c r="BO39" s="229">
        <v>2.9100000000000001E-2</v>
      </c>
      <c r="BP39" s="230">
        <v>25167000</v>
      </c>
      <c r="BQ39" s="230">
        <v>23977875</v>
      </c>
      <c r="BR39" s="230">
        <v>1189125</v>
      </c>
      <c r="BS39" s="229">
        <v>4.9599999999999998E-2</v>
      </c>
      <c r="BT39" s="230">
        <v>2988021</v>
      </c>
      <c r="BU39" s="230">
        <v>2802847</v>
      </c>
      <c r="BV39" s="230">
        <v>185174</v>
      </c>
      <c r="BW39" s="229">
        <v>6.6100000000000006E-2</v>
      </c>
      <c r="BX39" s="230">
        <v>8143875</v>
      </c>
      <c r="BY39" s="230">
        <v>8067750</v>
      </c>
      <c r="BZ39" s="230">
        <v>76125</v>
      </c>
      <c r="CA39" s="229">
        <v>9.4000000000000004E-3</v>
      </c>
      <c r="CB39" s="230">
        <v>7430250</v>
      </c>
      <c r="CC39" s="230">
        <v>7368375</v>
      </c>
      <c r="CD39" s="230">
        <v>61875</v>
      </c>
      <c r="CE39" s="229">
        <v>8.3999999999999995E-3</v>
      </c>
      <c r="CF39" s="230">
        <v>633000</v>
      </c>
      <c r="CG39" s="230">
        <v>610125</v>
      </c>
      <c r="CH39" s="230">
        <v>22875</v>
      </c>
      <c r="CI39" s="229">
        <v>3.7499999999999999E-2</v>
      </c>
      <c r="CJ39" s="230">
        <v>80625</v>
      </c>
      <c r="CK39" s="230">
        <v>89250</v>
      </c>
      <c r="CL39" s="230">
        <v>-8625</v>
      </c>
      <c r="CM39" s="229">
        <v>-9.6600000000000005E-2</v>
      </c>
      <c r="CN39" s="230">
        <v>6856125</v>
      </c>
      <c r="CO39" s="230">
        <v>6732000</v>
      </c>
      <c r="CP39" s="230">
        <v>124125</v>
      </c>
      <c r="CQ39" s="229">
        <v>1.84E-2</v>
      </c>
      <c r="CR39" s="230">
        <v>5772000</v>
      </c>
      <c r="CS39" s="230">
        <v>5650500</v>
      </c>
      <c r="CT39" s="230">
        <v>121500</v>
      </c>
      <c r="CU39" s="229">
        <v>2.1499999999999998E-2</v>
      </c>
      <c r="CV39" s="230">
        <v>20772000</v>
      </c>
      <c r="CW39" s="230">
        <v>20450250</v>
      </c>
      <c r="CX39" s="230">
        <v>321750</v>
      </c>
      <c r="CY39" s="229">
        <v>1.5699999999999999E-2</v>
      </c>
      <c r="CZ39" s="228">
        <v>43.5</v>
      </c>
      <c r="DA39" s="228">
        <v>43.6</v>
      </c>
      <c r="DB39" s="228">
        <v>-0.1</v>
      </c>
      <c r="DC39" s="228">
        <v>-0.1</v>
      </c>
      <c r="DD39" s="228">
        <v>58.7</v>
      </c>
      <c r="DE39" s="228">
        <v>58.85</v>
      </c>
      <c r="DF39" s="228">
        <v>-15.2</v>
      </c>
      <c r="DG39" s="228">
        <v>-0.15</v>
      </c>
      <c r="DH39" s="228">
        <v>41.35</v>
      </c>
      <c r="DI39" s="228">
        <v>41.72</v>
      </c>
      <c r="DJ39" s="228">
        <v>-0.37</v>
      </c>
      <c r="DK39" s="228">
        <v>-0.37</v>
      </c>
      <c r="DL39" s="228">
        <v>45.9</v>
      </c>
      <c r="DM39" s="228">
        <v>45.62</v>
      </c>
      <c r="DN39" s="228">
        <v>0.28000000000000003</v>
      </c>
      <c r="DO39" s="228">
        <v>0.28000000000000003</v>
      </c>
      <c r="DP39" s="228">
        <v>0.84</v>
      </c>
      <c r="DQ39" s="228">
        <v>0.84</v>
      </c>
      <c r="DR39" s="228">
        <v>0</v>
      </c>
      <c r="DS39" s="229">
        <v>0</v>
      </c>
      <c r="DT39" s="231">
        <v>3000</v>
      </c>
      <c r="DU39" s="231">
        <v>2700</v>
      </c>
      <c r="DV39" s="228">
        <v>0.9</v>
      </c>
      <c r="DW39" s="228">
        <v>0.93</v>
      </c>
      <c r="DX39" s="228">
        <v>-0.03</v>
      </c>
      <c r="DY39" s="229">
        <v>-3.2300000000000002E-2</v>
      </c>
      <c r="DZ39" s="229">
        <v>8.7599999999999997E-2</v>
      </c>
      <c r="EA39" s="230">
        <v>699375</v>
      </c>
      <c r="EB39" s="229">
        <v>4.3E-3</v>
      </c>
      <c r="EC39" s="229">
        <v>8.7599999999999997E-2</v>
      </c>
      <c r="ED39" s="228">
        <v>15.08</v>
      </c>
      <c r="EE39" s="229">
        <v>5.3E-3</v>
      </c>
      <c r="EF39" s="230">
        <v>614906</v>
      </c>
      <c r="EG39" s="230">
        <v>971143</v>
      </c>
      <c r="EH39" s="229">
        <v>-0.36680000000000001</v>
      </c>
      <c r="EI39" s="229">
        <v>0.20580000000000001</v>
      </c>
      <c r="EJ39" s="231">
        <v>351807.8</v>
      </c>
      <c r="EK39" s="231">
        <v>286520.90000000002</v>
      </c>
      <c r="EL39" s="231">
        <v>85832.25</v>
      </c>
      <c r="EM39" s="231">
        <v>11382</v>
      </c>
      <c r="EN39" s="231">
        <v>724160.95</v>
      </c>
      <c r="EO39" s="231">
        <v>697756.58</v>
      </c>
      <c r="EP39" s="231">
        <v>26404.37</v>
      </c>
      <c r="EQ39" s="229">
        <v>3.78E-2</v>
      </c>
      <c r="ER39" s="231">
        <v>204541</v>
      </c>
      <c r="ES39" s="231">
        <v>152643</v>
      </c>
      <c r="ET39" s="231">
        <v>232331</v>
      </c>
      <c r="EU39" s="231">
        <v>61094861</v>
      </c>
      <c r="EV39" s="231">
        <v>589516</v>
      </c>
      <c r="EW39" s="231">
        <v>579530</v>
      </c>
      <c r="EX39" s="231">
        <v>9986</v>
      </c>
      <c r="EY39" s="229">
        <v>1.72E-2</v>
      </c>
      <c r="EZ39" s="229">
        <v>0.34</v>
      </c>
      <c r="FA39" s="227" t="s">
        <v>555</v>
      </c>
      <c r="FB39" s="161">
        <f t="shared" si="0"/>
        <v>713625</v>
      </c>
    </row>
    <row r="40" spans="1:158" ht="17.25" thickBot="1" x14ac:dyDescent="0.3">
      <c r="A40" s="226">
        <v>46093</v>
      </c>
      <c r="B40" s="227" t="s">
        <v>175</v>
      </c>
      <c r="C40" s="227" t="s">
        <v>611</v>
      </c>
      <c r="D40" s="228">
        <v>750</v>
      </c>
      <c r="E40" s="228">
        <v>663.9</v>
      </c>
      <c r="F40" s="228">
        <v>676.4</v>
      </c>
      <c r="G40" s="228">
        <v>-12.5</v>
      </c>
      <c r="H40" s="229">
        <v>-1.8499999999999999E-2</v>
      </c>
      <c r="I40" s="228">
        <v>663.75</v>
      </c>
      <c r="J40" s="228">
        <v>676.2</v>
      </c>
      <c r="K40" s="228">
        <v>-12.45</v>
      </c>
      <c r="L40" s="229">
        <v>-1.84E-2</v>
      </c>
      <c r="M40" s="228">
        <v>663.9</v>
      </c>
      <c r="N40" s="228">
        <v>676.4</v>
      </c>
      <c r="O40" s="228">
        <v>-12.5</v>
      </c>
      <c r="P40" s="229">
        <v>-1.8499999999999999E-2</v>
      </c>
      <c r="Q40" s="228">
        <v>667.55</v>
      </c>
      <c r="R40" s="228">
        <v>679.6</v>
      </c>
      <c r="S40" s="228">
        <v>-12.05</v>
      </c>
      <c r="T40" s="229">
        <v>-1.77E-2</v>
      </c>
      <c r="U40" s="228">
        <v>669.85</v>
      </c>
      <c r="V40" s="228">
        <v>682.35</v>
      </c>
      <c r="W40" s="228">
        <v>-12.5</v>
      </c>
      <c r="X40" s="229">
        <v>-1.83E-2</v>
      </c>
      <c r="Y40" s="228">
        <v>0.15</v>
      </c>
      <c r="Z40" s="228">
        <v>0.2</v>
      </c>
      <c r="AA40" s="228">
        <v>-0.05</v>
      </c>
      <c r="AB40" s="229">
        <v>2.0000000000000001E-4</v>
      </c>
      <c r="AC40" s="228">
        <v>0.15</v>
      </c>
      <c r="AD40" s="228">
        <v>0.2</v>
      </c>
      <c r="AE40" s="228">
        <v>-0.05</v>
      </c>
      <c r="AF40" s="229">
        <v>2.0000000000000001E-4</v>
      </c>
      <c r="AG40" s="228">
        <v>3.8</v>
      </c>
      <c r="AH40" s="228">
        <v>3.4</v>
      </c>
      <c r="AI40" s="228">
        <v>0.4</v>
      </c>
      <c r="AJ40" s="229">
        <v>5.7000000000000002E-3</v>
      </c>
      <c r="AK40" s="228">
        <v>6.1</v>
      </c>
      <c r="AL40" s="228">
        <v>6.15</v>
      </c>
      <c r="AM40" s="228">
        <v>-0.05</v>
      </c>
      <c r="AN40" s="229">
        <v>9.1999999999999998E-3</v>
      </c>
      <c r="AO40" s="228">
        <v>663.37</v>
      </c>
      <c r="AP40" s="228">
        <v>665.95</v>
      </c>
      <c r="AQ40" s="228">
        <v>0</v>
      </c>
      <c r="AR40" s="230">
        <v>1689750</v>
      </c>
      <c r="AS40" s="230">
        <v>2118000</v>
      </c>
      <c r="AT40" s="230">
        <v>-428250</v>
      </c>
      <c r="AU40" s="229">
        <v>-0.20219999999999999</v>
      </c>
      <c r="AV40" s="230">
        <v>1535250</v>
      </c>
      <c r="AW40" s="230">
        <v>1986750</v>
      </c>
      <c r="AX40" s="230">
        <v>-451500</v>
      </c>
      <c r="AY40" s="229">
        <v>-0.2273</v>
      </c>
      <c r="AZ40" s="230">
        <v>146250</v>
      </c>
      <c r="BA40" s="230">
        <v>123750</v>
      </c>
      <c r="BB40" s="230">
        <v>22500</v>
      </c>
      <c r="BC40" s="229">
        <v>0.18179999999999999</v>
      </c>
      <c r="BD40" s="230">
        <v>8250</v>
      </c>
      <c r="BE40" s="230">
        <v>7500</v>
      </c>
      <c r="BF40" s="228">
        <v>750</v>
      </c>
      <c r="BG40" s="229">
        <v>0.1</v>
      </c>
      <c r="BH40" s="230">
        <v>2056500</v>
      </c>
      <c r="BI40" s="230">
        <v>2325000</v>
      </c>
      <c r="BJ40" s="230">
        <v>-268500</v>
      </c>
      <c r="BK40" s="229">
        <v>-0.11550000000000001</v>
      </c>
      <c r="BL40" s="230">
        <v>1592250</v>
      </c>
      <c r="BM40" s="230">
        <v>1146750</v>
      </c>
      <c r="BN40" s="230">
        <v>445500</v>
      </c>
      <c r="BO40" s="229">
        <v>0.38850000000000001</v>
      </c>
      <c r="BP40" s="230">
        <v>5338500</v>
      </c>
      <c r="BQ40" s="230">
        <v>5589750</v>
      </c>
      <c r="BR40" s="230">
        <v>-251250</v>
      </c>
      <c r="BS40" s="229">
        <v>-4.4900000000000002E-2</v>
      </c>
      <c r="BT40" s="230">
        <v>1721199</v>
      </c>
      <c r="BU40" s="230">
        <v>2361108</v>
      </c>
      <c r="BV40" s="230">
        <v>-639909</v>
      </c>
      <c r="BW40" s="229">
        <v>-0.27100000000000002</v>
      </c>
      <c r="BX40" s="230">
        <v>6522750</v>
      </c>
      <c r="BY40" s="230">
        <v>6768000</v>
      </c>
      <c r="BZ40" s="230">
        <v>-245250</v>
      </c>
      <c r="CA40" s="229">
        <v>-3.6200000000000003E-2</v>
      </c>
      <c r="CB40" s="230">
        <v>6041250</v>
      </c>
      <c r="CC40" s="230">
        <v>6321000</v>
      </c>
      <c r="CD40" s="230">
        <v>-279750</v>
      </c>
      <c r="CE40" s="229">
        <v>-4.4299999999999999E-2</v>
      </c>
      <c r="CF40" s="230">
        <v>446250</v>
      </c>
      <c r="CG40" s="230">
        <v>411750</v>
      </c>
      <c r="CH40" s="230">
        <v>34500</v>
      </c>
      <c r="CI40" s="229">
        <v>8.3799999999999999E-2</v>
      </c>
      <c r="CJ40" s="230">
        <v>35250</v>
      </c>
      <c r="CK40" s="230">
        <v>35250</v>
      </c>
      <c r="CL40" s="228">
        <v>0</v>
      </c>
      <c r="CM40" s="229">
        <v>0</v>
      </c>
      <c r="CN40" s="230">
        <v>3639750</v>
      </c>
      <c r="CO40" s="230">
        <v>3287250</v>
      </c>
      <c r="CP40" s="230">
        <v>352500</v>
      </c>
      <c r="CQ40" s="229">
        <v>0.1072</v>
      </c>
      <c r="CR40" s="230">
        <v>2906250</v>
      </c>
      <c r="CS40" s="230">
        <v>2868000</v>
      </c>
      <c r="CT40" s="230">
        <v>38250</v>
      </c>
      <c r="CU40" s="229">
        <v>1.3299999999999999E-2</v>
      </c>
      <c r="CV40" s="230">
        <v>13068750</v>
      </c>
      <c r="CW40" s="230">
        <v>12923250</v>
      </c>
      <c r="CX40" s="230">
        <v>145500</v>
      </c>
      <c r="CY40" s="229">
        <v>1.1299999999999999E-2</v>
      </c>
      <c r="CZ40" s="228">
        <v>35.840000000000003</v>
      </c>
      <c r="DA40" s="228">
        <v>35.89</v>
      </c>
      <c r="DB40" s="228">
        <v>-0.05</v>
      </c>
      <c r="DC40" s="228">
        <v>-0.05</v>
      </c>
      <c r="DD40" s="228">
        <v>40.04</v>
      </c>
      <c r="DE40" s="228">
        <v>40.06</v>
      </c>
      <c r="DF40" s="228">
        <v>-4.2</v>
      </c>
      <c r="DG40" s="228">
        <v>-0.02</v>
      </c>
      <c r="DH40" s="228">
        <v>34.56</v>
      </c>
      <c r="DI40" s="228">
        <v>34.619999999999997</v>
      </c>
      <c r="DJ40" s="228">
        <v>-0.06</v>
      </c>
      <c r="DK40" s="228">
        <v>-0.06</v>
      </c>
      <c r="DL40" s="228">
        <v>37.5</v>
      </c>
      <c r="DM40" s="228">
        <v>38.46</v>
      </c>
      <c r="DN40" s="228">
        <v>-0.96</v>
      </c>
      <c r="DO40" s="228">
        <v>-0.96</v>
      </c>
      <c r="DP40" s="228">
        <v>0.8</v>
      </c>
      <c r="DQ40" s="228">
        <v>0.87</v>
      </c>
      <c r="DR40" s="228">
        <v>-7.0000000000000007E-2</v>
      </c>
      <c r="DS40" s="229">
        <v>-8.0500000000000002E-2</v>
      </c>
      <c r="DT40" s="228">
        <v>700</v>
      </c>
      <c r="DU40" s="228">
        <v>660</v>
      </c>
      <c r="DV40" s="228">
        <v>0.77</v>
      </c>
      <c r="DW40" s="228">
        <v>0.49</v>
      </c>
      <c r="DX40" s="228">
        <v>0.28000000000000003</v>
      </c>
      <c r="DY40" s="229">
        <v>0.57140000000000002</v>
      </c>
      <c r="DZ40" s="229">
        <v>7.3800000000000004E-2</v>
      </c>
      <c r="EA40" s="230">
        <v>447000</v>
      </c>
      <c r="EB40" s="229">
        <v>5.4999999999999997E-3</v>
      </c>
      <c r="EC40" s="229">
        <v>7.3800000000000004E-2</v>
      </c>
      <c r="ED40" s="228">
        <v>2.58</v>
      </c>
      <c r="EE40" s="229">
        <v>3.8999999999999998E-3</v>
      </c>
      <c r="EF40" s="230">
        <v>885169</v>
      </c>
      <c r="EG40" s="230">
        <v>1589018</v>
      </c>
      <c r="EH40" s="229">
        <v>-0.44290000000000002</v>
      </c>
      <c r="EI40" s="229">
        <v>0.51429999999999998</v>
      </c>
      <c r="EJ40" s="231">
        <v>14474.22</v>
      </c>
      <c r="EK40" s="231">
        <v>10615.44</v>
      </c>
      <c r="EL40" s="231">
        <v>11213.48</v>
      </c>
      <c r="EM40" s="231">
        <v>3327</v>
      </c>
      <c r="EN40" s="231">
        <v>36303.14</v>
      </c>
      <c r="EO40" s="231">
        <v>38550.92</v>
      </c>
      <c r="EP40" s="231">
        <v>-2247.7800000000002</v>
      </c>
      <c r="EQ40" s="229">
        <v>-5.8299999999999998E-2</v>
      </c>
      <c r="ER40" s="231">
        <v>25780</v>
      </c>
      <c r="ES40" s="231">
        <v>19411</v>
      </c>
      <c r="ET40" s="231">
        <v>43323</v>
      </c>
      <c r="EU40" s="231">
        <v>37122288</v>
      </c>
      <c r="EV40" s="231">
        <v>88513</v>
      </c>
      <c r="EW40" s="231">
        <v>88308</v>
      </c>
      <c r="EX40" s="228">
        <v>205</v>
      </c>
      <c r="EY40" s="229">
        <v>2.3E-3</v>
      </c>
      <c r="EZ40" s="229">
        <v>0.35199999999999998</v>
      </c>
      <c r="FA40" s="227" t="s">
        <v>568</v>
      </c>
      <c r="FB40" s="161">
        <f t="shared" si="0"/>
        <v>481500</v>
      </c>
    </row>
    <row r="41" spans="1:158" ht="17.25" thickBot="1" x14ac:dyDescent="0.3">
      <c r="A41" s="226">
        <v>46093</v>
      </c>
      <c r="B41" s="227" t="s">
        <v>172</v>
      </c>
      <c r="C41" s="227" t="s">
        <v>196</v>
      </c>
      <c r="D41" s="228">
        <v>6750</v>
      </c>
      <c r="E41" s="228">
        <v>140.59</v>
      </c>
      <c r="F41" s="228">
        <v>139.68</v>
      </c>
      <c r="G41" s="228">
        <v>0.91</v>
      </c>
      <c r="H41" s="229">
        <v>6.4999999999999997E-3</v>
      </c>
      <c r="I41" s="228">
        <v>140.34</v>
      </c>
      <c r="J41" s="228">
        <v>139.41</v>
      </c>
      <c r="K41" s="228">
        <v>0.93</v>
      </c>
      <c r="L41" s="229">
        <v>6.7000000000000002E-3</v>
      </c>
      <c r="M41" s="228">
        <v>140.59</v>
      </c>
      <c r="N41" s="228">
        <v>139.68</v>
      </c>
      <c r="O41" s="228">
        <v>0.91</v>
      </c>
      <c r="P41" s="229">
        <v>6.4999999999999997E-3</v>
      </c>
      <c r="Q41" s="228">
        <v>141.5</v>
      </c>
      <c r="R41" s="228">
        <v>140.63</v>
      </c>
      <c r="S41" s="228">
        <v>0.87</v>
      </c>
      <c r="T41" s="229">
        <v>6.1999999999999998E-3</v>
      </c>
      <c r="U41" s="228">
        <v>142.36000000000001</v>
      </c>
      <c r="V41" s="228">
        <v>141.44999999999999</v>
      </c>
      <c r="W41" s="228">
        <v>0.91</v>
      </c>
      <c r="X41" s="229">
        <v>6.4000000000000003E-3</v>
      </c>
      <c r="Y41" s="228">
        <v>0.25</v>
      </c>
      <c r="Z41" s="228">
        <v>0.27</v>
      </c>
      <c r="AA41" s="228">
        <v>-0.02</v>
      </c>
      <c r="AB41" s="229">
        <v>1.8E-3</v>
      </c>
      <c r="AC41" s="228">
        <v>0.25</v>
      </c>
      <c r="AD41" s="228">
        <v>0.27</v>
      </c>
      <c r="AE41" s="228">
        <v>-0.02</v>
      </c>
      <c r="AF41" s="229">
        <v>1.8E-3</v>
      </c>
      <c r="AG41" s="228">
        <v>1.1599999999999999</v>
      </c>
      <c r="AH41" s="228">
        <v>1.22</v>
      </c>
      <c r="AI41" s="228">
        <v>-0.06</v>
      </c>
      <c r="AJ41" s="229">
        <v>8.3000000000000001E-3</v>
      </c>
      <c r="AK41" s="228">
        <v>2.02</v>
      </c>
      <c r="AL41" s="228">
        <v>2.04</v>
      </c>
      <c r="AM41" s="228">
        <v>-0.02</v>
      </c>
      <c r="AN41" s="229">
        <v>1.44E-2</v>
      </c>
      <c r="AO41" s="228">
        <v>140.07</v>
      </c>
      <c r="AP41" s="228">
        <v>140.88</v>
      </c>
      <c r="AQ41" s="228">
        <v>0</v>
      </c>
      <c r="AR41" s="230">
        <v>50760000</v>
      </c>
      <c r="AS41" s="230">
        <v>29349000</v>
      </c>
      <c r="AT41" s="230">
        <v>21411000</v>
      </c>
      <c r="AU41" s="229">
        <v>0.72950000000000004</v>
      </c>
      <c r="AV41" s="230">
        <v>45927000</v>
      </c>
      <c r="AW41" s="230">
        <v>25596000</v>
      </c>
      <c r="AX41" s="230">
        <v>20331000</v>
      </c>
      <c r="AY41" s="229">
        <v>0.79430000000000001</v>
      </c>
      <c r="AZ41" s="230">
        <v>4266000</v>
      </c>
      <c r="BA41" s="230">
        <v>3132000</v>
      </c>
      <c r="BB41" s="230">
        <v>1134000</v>
      </c>
      <c r="BC41" s="229">
        <v>0.36209999999999998</v>
      </c>
      <c r="BD41" s="230">
        <v>567000</v>
      </c>
      <c r="BE41" s="230">
        <v>621000</v>
      </c>
      <c r="BF41" s="230">
        <v>-54000</v>
      </c>
      <c r="BG41" s="229">
        <v>-8.6999999999999994E-2</v>
      </c>
      <c r="BH41" s="230">
        <v>87831000</v>
      </c>
      <c r="BI41" s="230">
        <v>47270250</v>
      </c>
      <c r="BJ41" s="230">
        <v>40560750</v>
      </c>
      <c r="BK41" s="229">
        <v>0.85809999999999997</v>
      </c>
      <c r="BL41" s="230">
        <v>49153500</v>
      </c>
      <c r="BM41" s="230">
        <v>28012500</v>
      </c>
      <c r="BN41" s="230">
        <v>21141000</v>
      </c>
      <c r="BO41" s="229">
        <v>0.75470000000000004</v>
      </c>
      <c r="BP41" s="230">
        <v>187744500</v>
      </c>
      <c r="BQ41" s="230">
        <v>104631750</v>
      </c>
      <c r="BR41" s="230">
        <v>83112750</v>
      </c>
      <c r="BS41" s="229">
        <v>0.79430000000000001</v>
      </c>
      <c r="BT41" s="230">
        <v>22563981</v>
      </c>
      <c r="BU41" s="230">
        <v>13899915</v>
      </c>
      <c r="BV41" s="230">
        <v>8664066</v>
      </c>
      <c r="BW41" s="229">
        <v>0.62329999999999997</v>
      </c>
      <c r="BX41" s="230">
        <v>185024250</v>
      </c>
      <c r="BY41" s="230">
        <v>184113000</v>
      </c>
      <c r="BZ41" s="230">
        <v>911250</v>
      </c>
      <c r="CA41" s="229">
        <v>4.8999999999999998E-3</v>
      </c>
      <c r="CB41" s="230">
        <v>170565750</v>
      </c>
      <c r="CC41" s="230">
        <v>170592750</v>
      </c>
      <c r="CD41" s="230">
        <v>-27000</v>
      </c>
      <c r="CE41" s="229">
        <v>-2.0000000000000001E-4</v>
      </c>
      <c r="CF41" s="230">
        <v>12244500</v>
      </c>
      <c r="CG41" s="230">
        <v>11319750</v>
      </c>
      <c r="CH41" s="230">
        <v>924750</v>
      </c>
      <c r="CI41" s="229">
        <v>8.1699999999999995E-2</v>
      </c>
      <c r="CJ41" s="230">
        <v>2214000</v>
      </c>
      <c r="CK41" s="230">
        <v>2200500</v>
      </c>
      <c r="CL41" s="230">
        <v>13500</v>
      </c>
      <c r="CM41" s="229">
        <v>6.1000000000000004E-3</v>
      </c>
      <c r="CN41" s="230">
        <v>108675000</v>
      </c>
      <c r="CO41" s="230">
        <v>107169750</v>
      </c>
      <c r="CP41" s="230">
        <v>1505250</v>
      </c>
      <c r="CQ41" s="229">
        <v>1.4E-2</v>
      </c>
      <c r="CR41" s="230">
        <v>81958500</v>
      </c>
      <c r="CS41" s="230">
        <v>77247000</v>
      </c>
      <c r="CT41" s="230">
        <v>4711500</v>
      </c>
      <c r="CU41" s="229">
        <v>6.0999999999999999E-2</v>
      </c>
      <c r="CV41" s="230">
        <v>375657750</v>
      </c>
      <c r="CW41" s="230">
        <v>368529750</v>
      </c>
      <c r="CX41" s="230">
        <v>7128000</v>
      </c>
      <c r="CY41" s="229">
        <v>1.9300000000000001E-2</v>
      </c>
      <c r="CZ41" s="228">
        <v>39.17</v>
      </c>
      <c r="DA41" s="228">
        <v>38.950000000000003</v>
      </c>
      <c r="DB41" s="228">
        <v>0.22</v>
      </c>
      <c r="DC41" s="228">
        <v>0.22</v>
      </c>
      <c r="DD41" s="228">
        <v>36.270000000000003</v>
      </c>
      <c r="DE41" s="228">
        <v>36.35</v>
      </c>
      <c r="DF41" s="228">
        <v>2.9</v>
      </c>
      <c r="DG41" s="228">
        <v>-0.08</v>
      </c>
      <c r="DH41" s="228">
        <v>38.67</v>
      </c>
      <c r="DI41" s="228">
        <v>38.72</v>
      </c>
      <c r="DJ41" s="228">
        <v>-0.05</v>
      </c>
      <c r="DK41" s="228">
        <v>-0.05</v>
      </c>
      <c r="DL41" s="228">
        <v>40.07</v>
      </c>
      <c r="DM41" s="228">
        <v>39.36</v>
      </c>
      <c r="DN41" s="228">
        <v>0.71</v>
      </c>
      <c r="DO41" s="228">
        <v>0.71</v>
      </c>
      <c r="DP41" s="228">
        <v>0.75</v>
      </c>
      <c r="DQ41" s="228">
        <v>0.72</v>
      </c>
      <c r="DR41" s="228">
        <v>0.03</v>
      </c>
      <c r="DS41" s="229">
        <v>4.1700000000000001E-2</v>
      </c>
      <c r="DT41" s="228">
        <v>160</v>
      </c>
      <c r="DU41" s="228">
        <v>140</v>
      </c>
      <c r="DV41" s="228">
        <v>0.56000000000000005</v>
      </c>
      <c r="DW41" s="228">
        <v>0.59</v>
      </c>
      <c r="DX41" s="228">
        <v>-0.03</v>
      </c>
      <c r="DY41" s="229">
        <v>-5.0799999999999998E-2</v>
      </c>
      <c r="DZ41" s="229">
        <v>7.8100000000000003E-2</v>
      </c>
      <c r="EA41" s="230">
        <v>13520250</v>
      </c>
      <c r="EB41" s="229">
        <v>6.4999999999999997E-3</v>
      </c>
      <c r="EC41" s="229">
        <v>7.8100000000000003E-2</v>
      </c>
      <c r="ED41" s="228">
        <v>0.81</v>
      </c>
      <c r="EE41" s="229">
        <v>5.7999999999999996E-3</v>
      </c>
      <c r="EF41" s="230">
        <v>9144557</v>
      </c>
      <c r="EG41" s="230">
        <v>5772389</v>
      </c>
      <c r="EH41" s="229">
        <v>0.58420000000000005</v>
      </c>
      <c r="EI41" s="229">
        <v>0.40529999999999999</v>
      </c>
      <c r="EJ41" s="231">
        <v>132724.63</v>
      </c>
      <c r="EK41" s="231">
        <v>69255.88</v>
      </c>
      <c r="EL41" s="231">
        <v>71140.42</v>
      </c>
      <c r="EM41" s="231">
        <v>7402</v>
      </c>
      <c r="EN41" s="231">
        <v>273120.93</v>
      </c>
      <c r="EO41" s="231">
        <v>153188.87</v>
      </c>
      <c r="EP41" s="231">
        <v>119932.06</v>
      </c>
      <c r="EQ41" s="229">
        <v>0.78290000000000004</v>
      </c>
      <c r="ER41" s="231">
        <v>168492</v>
      </c>
      <c r="ES41" s="231">
        <v>119511</v>
      </c>
      <c r="ET41" s="231">
        <v>260276</v>
      </c>
      <c r="EU41" s="231">
        <v>504315430</v>
      </c>
      <c r="EV41" s="231">
        <v>548280</v>
      </c>
      <c r="EW41" s="231">
        <v>537011</v>
      </c>
      <c r="EX41" s="231">
        <v>11269</v>
      </c>
      <c r="EY41" s="229">
        <v>2.1000000000000001E-2</v>
      </c>
      <c r="EZ41" s="229">
        <v>0.74490000000000001</v>
      </c>
      <c r="FA41" s="227" t="s">
        <v>555</v>
      </c>
      <c r="FB41" s="161">
        <f t="shared" si="0"/>
        <v>14458500</v>
      </c>
    </row>
    <row r="42" spans="1:158" ht="17.25" thickBot="1" x14ac:dyDescent="0.3">
      <c r="A42" s="226">
        <v>46093</v>
      </c>
      <c r="B42" s="227" t="s">
        <v>175</v>
      </c>
      <c r="C42" s="227" t="s">
        <v>597</v>
      </c>
      <c r="D42" s="228">
        <v>475</v>
      </c>
      <c r="E42" s="231">
        <v>1208.7</v>
      </c>
      <c r="F42" s="231">
        <v>1218.8</v>
      </c>
      <c r="G42" s="228">
        <v>-10.1</v>
      </c>
      <c r="H42" s="229">
        <v>-8.3000000000000001E-3</v>
      </c>
      <c r="I42" s="231">
        <v>1210.8</v>
      </c>
      <c r="J42" s="231">
        <v>1219.4000000000001</v>
      </c>
      <c r="K42" s="228">
        <v>-8.6</v>
      </c>
      <c r="L42" s="229">
        <v>-7.1000000000000004E-3</v>
      </c>
      <c r="M42" s="231">
        <v>1208.7</v>
      </c>
      <c r="N42" s="231">
        <v>1218.8</v>
      </c>
      <c r="O42" s="228">
        <v>-10.1</v>
      </c>
      <c r="P42" s="229">
        <v>-8.3000000000000001E-3</v>
      </c>
      <c r="Q42" s="231">
        <v>1207</v>
      </c>
      <c r="R42" s="231">
        <v>1217.4000000000001</v>
      </c>
      <c r="S42" s="228">
        <v>-10.4</v>
      </c>
      <c r="T42" s="229">
        <v>-8.5000000000000006E-3</v>
      </c>
      <c r="U42" s="231">
        <v>1207.2</v>
      </c>
      <c r="V42" s="231">
        <v>1218.5999999999999</v>
      </c>
      <c r="W42" s="228">
        <v>-11.4</v>
      </c>
      <c r="X42" s="229">
        <v>-9.4000000000000004E-3</v>
      </c>
      <c r="Y42" s="228">
        <v>-2.1</v>
      </c>
      <c r="Z42" s="228">
        <v>-0.6</v>
      </c>
      <c r="AA42" s="228">
        <v>-1.5</v>
      </c>
      <c r="AB42" s="229">
        <v>-1.6999999999999999E-3</v>
      </c>
      <c r="AC42" s="228">
        <v>-2.1</v>
      </c>
      <c r="AD42" s="228">
        <v>-0.6</v>
      </c>
      <c r="AE42" s="228">
        <v>-1.5</v>
      </c>
      <c r="AF42" s="229">
        <v>-1.6999999999999999E-3</v>
      </c>
      <c r="AG42" s="228">
        <v>-3.8</v>
      </c>
      <c r="AH42" s="228">
        <v>-2</v>
      </c>
      <c r="AI42" s="228">
        <v>-1.8</v>
      </c>
      <c r="AJ42" s="229">
        <v>-3.0999999999999999E-3</v>
      </c>
      <c r="AK42" s="228">
        <v>-3.6</v>
      </c>
      <c r="AL42" s="228">
        <v>-0.8</v>
      </c>
      <c r="AM42" s="228">
        <v>-2.8</v>
      </c>
      <c r="AN42" s="229">
        <v>-3.0000000000000001E-3</v>
      </c>
      <c r="AO42" s="231">
        <v>1203.0899999999999</v>
      </c>
      <c r="AP42" s="231">
        <v>1199.8399999999999</v>
      </c>
      <c r="AQ42" s="228">
        <v>0</v>
      </c>
      <c r="AR42" s="230">
        <v>2187850</v>
      </c>
      <c r="AS42" s="230">
        <v>1556100</v>
      </c>
      <c r="AT42" s="230">
        <v>631750</v>
      </c>
      <c r="AU42" s="229">
        <v>0.40600000000000003</v>
      </c>
      <c r="AV42" s="230">
        <v>1599325</v>
      </c>
      <c r="AW42" s="230">
        <v>1202225</v>
      </c>
      <c r="AX42" s="230">
        <v>397100</v>
      </c>
      <c r="AY42" s="229">
        <v>0.33029999999999998</v>
      </c>
      <c r="AZ42" s="230">
        <v>512050</v>
      </c>
      <c r="BA42" s="230">
        <v>308275</v>
      </c>
      <c r="BB42" s="230">
        <v>203775</v>
      </c>
      <c r="BC42" s="229">
        <v>0.66100000000000003</v>
      </c>
      <c r="BD42" s="230">
        <v>76475</v>
      </c>
      <c r="BE42" s="230">
        <v>45600</v>
      </c>
      <c r="BF42" s="230">
        <v>30875</v>
      </c>
      <c r="BG42" s="229">
        <v>0.67710000000000004</v>
      </c>
      <c r="BH42" s="230">
        <v>6336025</v>
      </c>
      <c r="BI42" s="230">
        <v>5447775</v>
      </c>
      <c r="BJ42" s="230">
        <v>888250</v>
      </c>
      <c r="BK42" s="229">
        <v>0.16300000000000001</v>
      </c>
      <c r="BL42" s="230">
        <v>2682325</v>
      </c>
      <c r="BM42" s="230">
        <v>2838125</v>
      </c>
      <c r="BN42" s="230">
        <v>-155800</v>
      </c>
      <c r="BO42" s="229">
        <v>-5.4899999999999997E-2</v>
      </c>
      <c r="BP42" s="230">
        <v>11206200</v>
      </c>
      <c r="BQ42" s="230">
        <v>9842000</v>
      </c>
      <c r="BR42" s="230">
        <v>1364200</v>
      </c>
      <c r="BS42" s="229">
        <v>0.1386</v>
      </c>
      <c r="BT42" s="230">
        <v>1620635</v>
      </c>
      <c r="BU42" s="230">
        <v>1531624</v>
      </c>
      <c r="BV42" s="230">
        <v>89011</v>
      </c>
      <c r="BW42" s="229">
        <v>5.8099999999999999E-2</v>
      </c>
      <c r="BX42" s="230">
        <v>12138150</v>
      </c>
      <c r="BY42" s="230">
        <v>11520175</v>
      </c>
      <c r="BZ42" s="230">
        <v>617975</v>
      </c>
      <c r="CA42" s="229">
        <v>5.3600000000000002E-2</v>
      </c>
      <c r="CB42" s="230">
        <v>10213450</v>
      </c>
      <c r="CC42" s="230">
        <v>9836775</v>
      </c>
      <c r="CD42" s="230">
        <v>376675</v>
      </c>
      <c r="CE42" s="229">
        <v>3.8300000000000001E-2</v>
      </c>
      <c r="CF42" s="230">
        <v>1728525</v>
      </c>
      <c r="CG42" s="230">
        <v>1524275</v>
      </c>
      <c r="CH42" s="230">
        <v>204250</v>
      </c>
      <c r="CI42" s="229">
        <v>0.13400000000000001</v>
      </c>
      <c r="CJ42" s="230">
        <v>196175</v>
      </c>
      <c r="CK42" s="230">
        <v>159125</v>
      </c>
      <c r="CL42" s="230">
        <v>37050</v>
      </c>
      <c r="CM42" s="229">
        <v>0.23280000000000001</v>
      </c>
      <c r="CN42" s="230">
        <v>6944025</v>
      </c>
      <c r="CO42" s="230">
        <v>6644300</v>
      </c>
      <c r="CP42" s="230">
        <v>299725</v>
      </c>
      <c r="CQ42" s="229">
        <v>4.5100000000000001E-2</v>
      </c>
      <c r="CR42" s="230">
        <v>5006025</v>
      </c>
      <c r="CS42" s="230">
        <v>5035950</v>
      </c>
      <c r="CT42" s="230">
        <v>-29925</v>
      </c>
      <c r="CU42" s="229">
        <v>-5.8999999999999999E-3</v>
      </c>
      <c r="CV42" s="230">
        <v>24088200</v>
      </c>
      <c r="CW42" s="230">
        <v>23200425</v>
      </c>
      <c r="CX42" s="230">
        <v>887775</v>
      </c>
      <c r="CY42" s="229">
        <v>3.8300000000000001E-2</v>
      </c>
      <c r="CZ42" s="228">
        <v>38.409999999999997</v>
      </c>
      <c r="DA42" s="228">
        <v>38.49</v>
      </c>
      <c r="DB42" s="228">
        <v>-0.08</v>
      </c>
      <c r="DC42" s="228">
        <v>-0.08</v>
      </c>
      <c r="DD42" s="228">
        <v>44.92</v>
      </c>
      <c r="DE42" s="228">
        <v>45.02</v>
      </c>
      <c r="DF42" s="228">
        <v>-6.51</v>
      </c>
      <c r="DG42" s="228">
        <v>-0.1</v>
      </c>
      <c r="DH42" s="228">
        <v>38.130000000000003</v>
      </c>
      <c r="DI42" s="228">
        <v>38.33</v>
      </c>
      <c r="DJ42" s="228">
        <v>-0.2</v>
      </c>
      <c r="DK42" s="228">
        <v>-0.2</v>
      </c>
      <c r="DL42" s="228">
        <v>39.090000000000003</v>
      </c>
      <c r="DM42" s="228">
        <v>38.82</v>
      </c>
      <c r="DN42" s="228">
        <v>0.27</v>
      </c>
      <c r="DO42" s="228">
        <v>0.27</v>
      </c>
      <c r="DP42" s="228">
        <v>0.72</v>
      </c>
      <c r="DQ42" s="228">
        <v>0.76</v>
      </c>
      <c r="DR42" s="228">
        <v>-0.04</v>
      </c>
      <c r="DS42" s="229">
        <v>-5.2600000000000001E-2</v>
      </c>
      <c r="DT42" s="231">
        <v>1400</v>
      </c>
      <c r="DU42" s="231">
        <v>1300</v>
      </c>
      <c r="DV42" s="228">
        <v>0.42</v>
      </c>
      <c r="DW42" s="228">
        <v>0.52</v>
      </c>
      <c r="DX42" s="228">
        <v>-0.1</v>
      </c>
      <c r="DY42" s="229">
        <v>-0.1923</v>
      </c>
      <c r="DZ42" s="229">
        <v>0.15859999999999999</v>
      </c>
      <c r="EA42" s="230">
        <v>1683400</v>
      </c>
      <c r="EB42" s="229">
        <v>-1.4E-3</v>
      </c>
      <c r="EC42" s="229">
        <v>0.15859999999999999</v>
      </c>
      <c r="ED42" s="228">
        <v>-3.25</v>
      </c>
      <c r="EE42" s="229">
        <v>-2.7000000000000001E-3</v>
      </c>
      <c r="EF42" s="230">
        <v>530639</v>
      </c>
      <c r="EG42" s="230">
        <v>572391</v>
      </c>
      <c r="EH42" s="229">
        <v>-7.2900000000000006E-2</v>
      </c>
      <c r="EI42" s="229">
        <v>0.32740000000000002</v>
      </c>
      <c r="EJ42" s="231">
        <v>82024.11</v>
      </c>
      <c r="EK42" s="231">
        <v>32689.67</v>
      </c>
      <c r="EL42" s="231">
        <v>26303</v>
      </c>
      <c r="EM42" s="231">
        <v>4331</v>
      </c>
      <c r="EN42" s="231">
        <v>141016.78</v>
      </c>
      <c r="EO42" s="231">
        <v>127133.71</v>
      </c>
      <c r="EP42" s="231">
        <v>13883.07</v>
      </c>
      <c r="EQ42" s="229">
        <v>0.10920000000000001</v>
      </c>
      <c r="ER42" s="231">
        <v>93807</v>
      </c>
      <c r="ES42" s="231">
        <v>64637</v>
      </c>
      <c r="ET42" s="231">
        <v>146681</v>
      </c>
      <c r="EU42" s="231">
        <v>26647500</v>
      </c>
      <c r="EV42" s="231">
        <v>305125</v>
      </c>
      <c r="EW42" s="231">
        <v>295620</v>
      </c>
      <c r="EX42" s="231">
        <v>9505</v>
      </c>
      <c r="EY42" s="229">
        <v>3.2199999999999999E-2</v>
      </c>
      <c r="EZ42" s="229">
        <v>0.90400000000000003</v>
      </c>
      <c r="FA42" s="227" t="s">
        <v>567</v>
      </c>
      <c r="FB42" s="161">
        <f t="shared" si="0"/>
        <v>1924700</v>
      </c>
    </row>
    <row r="43" spans="1:158" ht="17.25" thickBot="1" x14ac:dyDescent="0.3">
      <c r="A43" s="226">
        <v>46093</v>
      </c>
      <c r="B43" s="227" t="s">
        <v>161</v>
      </c>
      <c r="C43" s="227" t="s">
        <v>612</v>
      </c>
      <c r="D43" s="228">
        <v>850</v>
      </c>
      <c r="E43" s="228">
        <v>740</v>
      </c>
      <c r="F43" s="228">
        <v>727.6</v>
      </c>
      <c r="G43" s="228">
        <v>12.4</v>
      </c>
      <c r="H43" s="229">
        <v>1.7000000000000001E-2</v>
      </c>
      <c r="I43" s="228">
        <v>737.3</v>
      </c>
      <c r="J43" s="228">
        <v>726.3</v>
      </c>
      <c r="K43" s="228">
        <v>11</v>
      </c>
      <c r="L43" s="229">
        <v>1.5100000000000001E-2</v>
      </c>
      <c r="M43" s="228">
        <v>740</v>
      </c>
      <c r="N43" s="228">
        <v>727.6</v>
      </c>
      <c r="O43" s="228">
        <v>12.4</v>
      </c>
      <c r="P43" s="229">
        <v>1.7000000000000001E-2</v>
      </c>
      <c r="Q43" s="228">
        <v>744.1</v>
      </c>
      <c r="R43" s="228">
        <v>731.7</v>
      </c>
      <c r="S43" s="228">
        <v>12.4</v>
      </c>
      <c r="T43" s="229">
        <v>1.6899999999999998E-2</v>
      </c>
      <c r="U43" s="228">
        <v>744</v>
      </c>
      <c r="V43" s="228">
        <v>734.55</v>
      </c>
      <c r="W43" s="228">
        <v>9.4499999999999993</v>
      </c>
      <c r="X43" s="229">
        <v>1.29E-2</v>
      </c>
      <c r="Y43" s="228">
        <v>2.7</v>
      </c>
      <c r="Z43" s="228">
        <v>1.3</v>
      </c>
      <c r="AA43" s="228">
        <v>1.4</v>
      </c>
      <c r="AB43" s="229">
        <v>3.7000000000000002E-3</v>
      </c>
      <c r="AC43" s="228">
        <v>2.7</v>
      </c>
      <c r="AD43" s="228">
        <v>1.3</v>
      </c>
      <c r="AE43" s="228">
        <v>1.4</v>
      </c>
      <c r="AF43" s="229">
        <v>3.7000000000000002E-3</v>
      </c>
      <c r="AG43" s="228">
        <v>6.8</v>
      </c>
      <c r="AH43" s="228">
        <v>5.4</v>
      </c>
      <c r="AI43" s="228">
        <v>1.4</v>
      </c>
      <c r="AJ43" s="229">
        <v>9.1999999999999998E-3</v>
      </c>
      <c r="AK43" s="228">
        <v>6.7</v>
      </c>
      <c r="AL43" s="228">
        <v>8.25</v>
      </c>
      <c r="AM43" s="228">
        <v>-1.55</v>
      </c>
      <c r="AN43" s="229">
        <v>9.1000000000000004E-3</v>
      </c>
      <c r="AO43" s="228">
        <v>729.2</v>
      </c>
      <c r="AP43" s="228">
        <v>730.33</v>
      </c>
      <c r="AQ43" s="228">
        <v>0</v>
      </c>
      <c r="AR43" s="230">
        <v>4805900</v>
      </c>
      <c r="AS43" s="230">
        <v>3236800</v>
      </c>
      <c r="AT43" s="230">
        <v>1569100</v>
      </c>
      <c r="AU43" s="229">
        <v>0.48480000000000001</v>
      </c>
      <c r="AV43" s="230">
        <v>4526250</v>
      </c>
      <c r="AW43" s="230">
        <v>3043000</v>
      </c>
      <c r="AX43" s="230">
        <v>1483250</v>
      </c>
      <c r="AY43" s="229">
        <v>0.4874</v>
      </c>
      <c r="AZ43" s="230">
        <v>263500</v>
      </c>
      <c r="BA43" s="230">
        <v>181050</v>
      </c>
      <c r="BB43" s="230">
        <v>82450</v>
      </c>
      <c r="BC43" s="229">
        <v>0.45540000000000003</v>
      </c>
      <c r="BD43" s="230">
        <v>16150</v>
      </c>
      <c r="BE43" s="230">
        <v>12750</v>
      </c>
      <c r="BF43" s="230">
        <v>3400</v>
      </c>
      <c r="BG43" s="229">
        <v>0.26669999999999999</v>
      </c>
      <c r="BH43" s="230">
        <v>16489150</v>
      </c>
      <c r="BI43" s="230">
        <v>10568050</v>
      </c>
      <c r="BJ43" s="230">
        <v>5921100</v>
      </c>
      <c r="BK43" s="229">
        <v>0.56030000000000002</v>
      </c>
      <c r="BL43" s="230">
        <v>5384750</v>
      </c>
      <c r="BM43" s="230">
        <v>4097000</v>
      </c>
      <c r="BN43" s="230">
        <v>1287750</v>
      </c>
      <c r="BO43" s="229">
        <v>0.31430000000000002</v>
      </c>
      <c r="BP43" s="230">
        <v>26679800</v>
      </c>
      <c r="BQ43" s="230">
        <v>17901850</v>
      </c>
      <c r="BR43" s="230">
        <v>8777950</v>
      </c>
      <c r="BS43" s="229">
        <v>0.49030000000000001</v>
      </c>
      <c r="BT43" s="230">
        <v>3817325</v>
      </c>
      <c r="BU43" s="230">
        <v>2883149</v>
      </c>
      <c r="BV43" s="230">
        <v>934176</v>
      </c>
      <c r="BW43" s="229">
        <v>0.32400000000000001</v>
      </c>
      <c r="BX43" s="230">
        <v>17304300</v>
      </c>
      <c r="BY43" s="230">
        <v>16762000</v>
      </c>
      <c r="BZ43" s="230">
        <v>542300</v>
      </c>
      <c r="CA43" s="229">
        <v>3.2399999999999998E-2</v>
      </c>
      <c r="CB43" s="230">
        <v>17028050</v>
      </c>
      <c r="CC43" s="230">
        <v>16510400</v>
      </c>
      <c r="CD43" s="230">
        <v>517650</v>
      </c>
      <c r="CE43" s="229">
        <v>3.1399999999999997E-2</v>
      </c>
      <c r="CF43" s="230">
        <v>257550</v>
      </c>
      <c r="CG43" s="230">
        <v>233750</v>
      </c>
      <c r="CH43" s="230">
        <v>23800</v>
      </c>
      <c r="CI43" s="229">
        <v>0.1018</v>
      </c>
      <c r="CJ43" s="230">
        <v>18700</v>
      </c>
      <c r="CK43" s="230">
        <v>17850</v>
      </c>
      <c r="CL43" s="228">
        <v>850</v>
      </c>
      <c r="CM43" s="229">
        <v>4.7600000000000003E-2</v>
      </c>
      <c r="CN43" s="230">
        <v>5119550</v>
      </c>
      <c r="CO43" s="230">
        <v>4383450</v>
      </c>
      <c r="CP43" s="230">
        <v>736100</v>
      </c>
      <c r="CQ43" s="229">
        <v>0.16789999999999999</v>
      </c>
      <c r="CR43" s="230">
        <v>3377050</v>
      </c>
      <c r="CS43" s="230">
        <v>3018350</v>
      </c>
      <c r="CT43" s="230">
        <v>358700</v>
      </c>
      <c r="CU43" s="229">
        <v>0.1188</v>
      </c>
      <c r="CV43" s="230">
        <v>25800900</v>
      </c>
      <c r="CW43" s="230">
        <v>24163800</v>
      </c>
      <c r="CX43" s="230">
        <v>1637100</v>
      </c>
      <c r="CY43" s="229">
        <v>6.7799999999999999E-2</v>
      </c>
      <c r="CZ43" s="228">
        <v>39.57</v>
      </c>
      <c r="DA43" s="228">
        <v>38.26</v>
      </c>
      <c r="DB43" s="228">
        <v>1.31</v>
      </c>
      <c r="DC43" s="228">
        <v>1.31</v>
      </c>
      <c r="DD43" s="228">
        <v>41.82</v>
      </c>
      <c r="DE43" s="228">
        <v>41.86</v>
      </c>
      <c r="DF43" s="228">
        <v>-2.25</v>
      </c>
      <c r="DG43" s="228">
        <v>-0.04</v>
      </c>
      <c r="DH43" s="228">
        <v>38.92</v>
      </c>
      <c r="DI43" s="228">
        <v>38.049999999999997</v>
      </c>
      <c r="DJ43" s="228">
        <v>0.87</v>
      </c>
      <c r="DK43" s="228">
        <v>0.87</v>
      </c>
      <c r="DL43" s="228">
        <v>41.53</v>
      </c>
      <c r="DM43" s="228">
        <v>38.799999999999997</v>
      </c>
      <c r="DN43" s="228">
        <v>2.73</v>
      </c>
      <c r="DO43" s="228">
        <v>2.73</v>
      </c>
      <c r="DP43" s="228">
        <v>0.66</v>
      </c>
      <c r="DQ43" s="228">
        <v>0.69</v>
      </c>
      <c r="DR43" s="228">
        <v>-0.03</v>
      </c>
      <c r="DS43" s="229">
        <v>-4.3499999999999997E-2</v>
      </c>
      <c r="DT43" s="228">
        <v>800</v>
      </c>
      <c r="DU43" s="228">
        <v>650</v>
      </c>
      <c r="DV43" s="228">
        <v>0.33</v>
      </c>
      <c r="DW43" s="228">
        <v>0.39</v>
      </c>
      <c r="DX43" s="228">
        <v>-0.06</v>
      </c>
      <c r="DY43" s="229">
        <v>-0.15379999999999999</v>
      </c>
      <c r="DZ43" s="229">
        <v>1.6E-2</v>
      </c>
      <c r="EA43" s="230">
        <v>251600</v>
      </c>
      <c r="EB43" s="229">
        <v>5.4999999999999997E-3</v>
      </c>
      <c r="EC43" s="229">
        <v>1.6E-2</v>
      </c>
      <c r="ED43" s="228">
        <v>1.1299999999999999</v>
      </c>
      <c r="EE43" s="229">
        <v>1.5E-3</v>
      </c>
      <c r="EF43" s="230">
        <v>1534158</v>
      </c>
      <c r="EG43" s="230">
        <v>1209727</v>
      </c>
      <c r="EH43" s="229">
        <v>0.26819999999999999</v>
      </c>
      <c r="EI43" s="229">
        <v>0.40189999999999998</v>
      </c>
      <c r="EJ43" s="231">
        <v>127730.64</v>
      </c>
      <c r="EK43" s="231">
        <v>38960.03</v>
      </c>
      <c r="EL43" s="231">
        <v>35047.33</v>
      </c>
      <c r="EM43" s="231">
        <v>3468</v>
      </c>
      <c r="EN43" s="231">
        <v>201738</v>
      </c>
      <c r="EO43" s="231">
        <v>135937.06</v>
      </c>
      <c r="EP43" s="231">
        <v>65800.94</v>
      </c>
      <c r="EQ43" s="229">
        <v>0.48409999999999997</v>
      </c>
      <c r="ER43" s="231">
        <v>38329</v>
      </c>
      <c r="ES43" s="231">
        <v>23172</v>
      </c>
      <c r="ET43" s="231">
        <v>128063</v>
      </c>
      <c r="EU43" s="231">
        <v>103060454</v>
      </c>
      <c r="EV43" s="231">
        <v>189565</v>
      </c>
      <c r="EW43" s="231">
        <v>175272</v>
      </c>
      <c r="EX43" s="231">
        <v>14293</v>
      </c>
      <c r="EY43" s="229">
        <v>8.1500000000000003E-2</v>
      </c>
      <c r="EZ43" s="229">
        <v>0.25030000000000002</v>
      </c>
      <c r="FA43" s="227" t="s">
        <v>555</v>
      </c>
      <c r="FB43" s="161">
        <f t="shared" si="0"/>
        <v>276250</v>
      </c>
    </row>
    <row r="44" spans="1:158" ht="17.25" thickBot="1" x14ac:dyDescent="0.3">
      <c r="A44" s="226">
        <v>46093</v>
      </c>
      <c r="B44" s="227" t="s">
        <v>175</v>
      </c>
      <c r="C44" s="227" t="s">
        <v>198</v>
      </c>
      <c r="D44" s="228">
        <v>625</v>
      </c>
      <c r="E44" s="231">
        <v>1532</v>
      </c>
      <c r="F44" s="231">
        <v>1561.1</v>
      </c>
      <c r="G44" s="228">
        <v>-29.1</v>
      </c>
      <c r="H44" s="229">
        <v>-1.8599999999999998E-2</v>
      </c>
      <c r="I44" s="231">
        <v>1526.1</v>
      </c>
      <c r="J44" s="231">
        <v>1557.4</v>
      </c>
      <c r="K44" s="228">
        <v>-31.3</v>
      </c>
      <c r="L44" s="229">
        <v>-2.01E-2</v>
      </c>
      <c r="M44" s="231">
        <v>1532</v>
      </c>
      <c r="N44" s="231">
        <v>1561.1</v>
      </c>
      <c r="O44" s="228">
        <v>-29.1</v>
      </c>
      <c r="P44" s="229">
        <v>-1.8599999999999998E-2</v>
      </c>
      <c r="Q44" s="231">
        <v>1542.2</v>
      </c>
      <c r="R44" s="231">
        <v>1569.9</v>
      </c>
      <c r="S44" s="228">
        <v>-27.7</v>
      </c>
      <c r="T44" s="229">
        <v>-1.7600000000000001E-2</v>
      </c>
      <c r="U44" s="231">
        <v>1571.2</v>
      </c>
      <c r="V44" s="231">
        <v>1577.2</v>
      </c>
      <c r="W44" s="228">
        <v>-6</v>
      </c>
      <c r="X44" s="229">
        <v>-3.8E-3</v>
      </c>
      <c r="Y44" s="228">
        <v>5.9</v>
      </c>
      <c r="Z44" s="228">
        <v>3.7</v>
      </c>
      <c r="AA44" s="228">
        <v>2.2000000000000002</v>
      </c>
      <c r="AB44" s="229">
        <v>3.8999999999999998E-3</v>
      </c>
      <c r="AC44" s="228">
        <v>5.9</v>
      </c>
      <c r="AD44" s="228">
        <v>3.7</v>
      </c>
      <c r="AE44" s="228">
        <v>2.2000000000000002</v>
      </c>
      <c r="AF44" s="229">
        <v>3.8999999999999998E-3</v>
      </c>
      <c r="AG44" s="228">
        <v>16.100000000000001</v>
      </c>
      <c r="AH44" s="228">
        <v>12.5</v>
      </c>
      <c r="AI44" s="228">
        <v>3.6</v>
      </c>
      <c r="AJ44" s="229">
        <v>1.0500000000000001E-2</v>
      </c>
      <c r="AK44" s="228">
        <v>45.1</v>
      </c>
      <c r="AL44" s="228">
        <v>19.8</v>
      </c>
      <c r="AM44" s="228">
        <v>25.3</v>
      </c>
      <c r="AN44" s="229">
        <v>2.9600000000000001E-2</v>
      </c>
      <c r="AO44" s="231">
        <v>1535.58</v>
      </c>
      <c r="AP44" s="231">
        <v>1544.04</v>
      </c>
      <c r="AQ44" s="228">
        <v>0</v>
      </c>
      <c r="AR44" s="230">
        <v>2470625</v>
      </c>
      <c r="AS44" s="230">
        <v>2811875</v>
      </c>
      <c r="AT44" s="230">
        <v>-341250</v>
      </c>
      <c r="AU44" s="229">
        <v>-0.12139999999999999</v>
      </c>
      <c r="AV44" s="230">
        <v>2343125</v>
      </c>
      <c r="AW44" s="230">
        <v>2697500</v>
      </c>
      <c r="AX44" s="230">
        <v>-354375</v>
      </c>
      <c r="AY44" s="229">
        <v>-0.13139999999999999</v>
      </c>
      <c r="AZ44" s="230">
        <v>118750</v>
      </c>
      <c r="BA44" s="230">
        <v>93750</v>
      </c>
      <c r="BB44" s="230">
        <v>25000</v>
      </c>
      <c r="BC44" s="229">
        <v>0.26669999999999999</v>
      </c>
      <c r="BD44" s="230">
        <v>8750</v>
      </c>
      <c r="BE44" s="230">
        <v>20625</v>
      </c>
      <c r="BF44" s="230">
        <v>-11875</v>
      </c>
      <c r="BG44" s="229">
        <v>-0.57579999999999998</v>
      </c>
      <c r="BH44" s="230">
        <v>4033750</v>
      </c>
      <c r="BI44" s="230">
        <v>4228125</v>
      </c>
      <c r="BJ44" s="230">
        <v>-194375</v>
      </c>
      <c r="BK44" s="229">
        <v>-4.5999999999999999E-2</v>
      </c>
      <c r="BL44" s="230">
        <v>3168125</v>
      </c>
      <c r="BM44" s="230">
        <v>4788750</v>
      </c>
      <c r="BN44" s="230">
        <v>-1620625</v>
      </c>
      <c r="BO44" s="229">
        <v>-0.33839999999999998</v>
      </c>
      <c r="BP44" s="230">
        <v>9672500</v>
      </c>
      <c r="BQ44" s="230">
        <v>11828750</v>
      </c>
      <c r="BR44" s="230">
        <v>-2156250</v>
      </c>
      <c r="BS44" s="229">
        <v>-0.18229999999999999</v>
      </c>
      <c r="BT44" s="230">
        <v>2393863</v>
      </c>
      <c r="BU44" s="230">
        <v>1666891</v>
      </c>
      <c r="BV44" s="230">
        <v>726972</v>
      </c>
      <c r="BW44" s="229">
        <v>0.43609999999999999</v>
      </c>
      <c r="BX44" s="230">
        <v>17156250</v>
      </c>
      <c r="BY44" s="230">
        <v>16681875</v>
      </c>
      <c r="BZ44" s="230">
        <v>474375</v>
      </c>
      <c r="CA44" s="229">
        <v>2.8400000000000002E-2</v>
      </c>
      <c r="CB44" s="230">
        <v>16931250</v>
      </c>
      <c r="CC44" s="230">
        <v>16499375</v>
      </c>
      <c r="CD44" s="230">
        <v>431875</v>
      </c>
      <c r="CE44" s="229">
        <v>2.6200000000000001E-2</v>
      </c>
      <c r="CF44" s="230">
        <v>203750</v>
      </c>
      <c r="CG44" s="230">
        <v>164375</v>
      </c>
      <c r="CH44" s="230">
        <v>39375</v>
      </c>
      <c r="CI44" s="229">
        <v>0.23949999999999999</v>
      </c>
      <c r="CJ44" s="230">
        <v>21250</v>
      </c>
      <c r="CK44" s="230">
        <v>18125</v>
      </c>
      <c r="CL44" s="230">
        <v>3125</v>
      </c>
      <c r="CM44" s="229">
        <v>0.1724</v>
      </c>
      <c r="CN44" s="230">
        <v>4213125</v>
      </c>
      <c r="CO44" s="230">
        <v>3817500</v>
      </c>
      <c r="CP44" s="230">
        <v>395625</v>
      </c>
      <c r="CQ44" s="229">
        <v>0.1036</v>
      </c>
      <c r="CR44" s="230">
        <v>3235000</v>
      </c>
      <c r="CS44" s="230">
        <v>3256875</v>
      </c>
      <c r="CT44" s="230">
        <v>-21875</v>
      </c>
      <c r="CU44" s="229">
        <v>-6.7000000000000002E-3</v>
      </c>
      <c r="CV44" s="230">
        <v>24604375</v>
      </c>
      <c r="CW44" s="230">
        <v>23756250</v>
      </c>
      <c r="CX44" s="230">
        <v>848125</v>
      </c>
      <c r="CY44" s="229">
        <v>3.5700000000000003E-2</v>
      </c>
      <c r="CZ44" s="228">
        <v>37.85</v>
      </c>
      <c r="DA44" s="228">
        <v>37.53</v>
      </c>
      <c r="DB44" s="228">
        <v>0.32</v>
      </c>
      <c r="DC44" s="228">
        <v>0.32</v>
      </c>
      <c r="DD44" s="228">
        <v>37.43</v>
      </c>
      <c r="DE44" s="228">
        <v>37.42</v>
      </c>
      <c r="DF44" s="228">
        <v>0.42</v>
      </c>
      <c r="DG44" s="228">
        <v>0.01</v>
      </c>
      <c r="DH44" s="228">
        <v>36.5</v>
      </c>
      <c r="DI44" s="228">
        <v>35.68</v>
      </c>
      <c r="DJ44" s="228">
        <v>0.82</v>
      </c>
      <c r="DK44" s="228">
        <v>0.82</v>
      </c>
      <c r="DL44" s="228">
        <v>39.56</v>
      </c>
      <c r="DM44" s="228">
        <v>39.15</v>
      </c>
      <c r="DN44" s="228">
        <v>0.41</v>
      </c>
      <c r="DO44" s="228">
        <v>0.41</v>
      </c>
      <c r="DP44" s="228">
        <v>0.77</v>
      </c>
      <c r="DQ44" s="228">
        <v>0.85</v>
      </c>
      <c r="DR44" s="228">
        <v>-0.08</v>
      </c>
      <c r="DS44" s="229">
        <v>-9.4100000000000003E-2</v>
      </c>
      <c r="DT44" s="231">
        <v>1700</v>
      </c>
      <c r="DU44" s="231">
        <v>1600</v>
      </c>
      <c r="DV44" s="228">
        <v>0.79</v>
      </c>
      <c r="DW44" s="228">
        <v>1.1299999999999999</v>
      </c>
      <c r="DX44" s="228">
        <v>-0.34</v>
      </c>
      <c r="DY44" s="229">
        <v>-0.3009</v>
      </c>
      <c r="DZ44" s="229">
        <v>1.3100000000000001E-2</v>
      </c>
      <c r="EA44" s="230">
        <v>182500</v>
      </c>
      <c r="EB44" s="229">
        <v>6.7000000000000002E-3</v>
      </c>
      <c r="EC44" s="229">
        <v>1.3100000000000001E-2</v>
      </c>
      <c r="ED44" s="228">
        <v>8.4600000000000009</v>
      </c>
      <c r="EE44" s="229">
        <v>5.4999999999999997E-3</v>
      </c>
      <c r="EF44" s="230">
        <v>1541975</v>
      </c>
      <c r="EG44" s="230">
        <v>881232</v>
      </c>
      <c r="EH44" s="229">
        <v>0.74980000000000002</v>
      </c>
      <c r="EI44" s="229">
        <v>0.64410000000000001</v>
      </c>
      <c r="EJ44" s="231">
        <v>67101.320000000007</v>
      </c>
      <c r="EK44" s="231">
        <v>48733.08</v>
      </c>
      <c r="EL44" s="231">
        <v>37949.910000000003</v>
      </c>
      <c r="EM44" s="231">
        <v>3932</v>
      </c>
      <c r="EN44" s="231">
        <v>153784.31</v>
      </c>
      <c r="EO44" s="231">
        <v>191887.54</v>
      </c>
      <c r="EP44" s="231">
        <v>-38103.230000000003</v>
      </c>
      <c r="EQ44" s="229">
        <v>-0.1986</v>
      </c>
      <c r="ER44" s="231">
        <v>71898</v>
      </c>
      <c r="ES44" s="231">
        <v>51656</v>
      </c>
      <c r="ET44" s="231">
        <v>262863</v>
      </c>
      <c r="EU44" s="231">
        <v>63257923</v>
      </c>
      <c r="EV44" s="231">
        <v>386417</v>
      </c>
      <c r="EW44" s="231">
        <v>378243</v>
      </c>
      <c r="EX44" s="231">
        <v>8174</v>
      </c>
      <c r="EY44" s="229">
        <v>2.1600000000000001E-2</v>
      </c>
      <c r="EZ44" s="229">
        <v>0.38900000000000001</v>
      </c>
      <c r="FA44" s="227" t="s">
        <v>567</v>
      </c>
      <c r="FB44" s="161">
        <f t="shared" si="0"/>
        <v>225000</v>
      </c>
    </row>
    <row r="45" spans="1:158" ht="17.25" thickBot="1" x14ac:dyDescent="0.3">
      <c r="A45" s="226">
        <v>46093</v>
      </c>
      <c r="B45" s="227" t="s">
        <v>170</v>
      </c>
      <c r="C45" s="227" t="s">
        <v>199</v>
      </c>
      <c r="D45" s="228">
        <v>375</v>
      </c>
      <c r="E45" s="231">
        <v>1329.8</v>
      </c>
      <c r="F45" s="231">
        <v>1330.2</v>
      </c>
      <c r="G45" s="228">
        <v>-0.4</v>
      </c>
      <c r="H45" s="229">
        <v>-2.9999999999999997E-4</v>
      </c>
      <c r="I45" s="231">
        <v>1324.3</v>
      </c>
      <c r="J45" s="231">
        <v>1329.5</v>
      </c>
      <c r="K45" s="228">
        <v>-5.2</v>
      </c>
      <c r="L45" s="229">
        <v>-3.8999999999999998E-3</v>
      </c>
      <c r="M45" s="231">
        <v>1329.8</v>
      </c>
      <c r="N45" s="231">
        <v>1330.2</v>
      </c>
      <c r="O45" s="228">
        <v>-0.4</v>
      </c>
      <c r="P45" s="229">
        <v>-2.9999999999999997E-4</v>
      </c>
      <c r="Q45" s="231">
        <v>1338</v>
      </c>
      <c r="R45" s="231">
        <v>1339.3</v>
      </c>
      <c r="S45" s="228">
        <v>-1.3</v>
      </c>
      <c r="T45" s="229">
        <v>-1E-3</v>
      </c>
      <c r="U45" s="231">
        <v>1345.8</v>
      </c>
      <c r="V45" s="231">
        <v>1342.4</v>
      </c>
      <c r="W45" s="228">
        <v>3.4</v>
      </c>
      <c r="X45" s="229">
        <v>2.5000000000000001E-3</v>
      </c>
      <c r="Y45" s="228">
        <v>5.5</v>
      </c>
      <c r="Z45" s="228">
        <v>0.7</v>
      </c>
      <c r="AA45" s="228">
        <v>4.8</v>
      </c>
      <c r="AB45" s="229">
        <v>4.1999999999999997E-3</v>
      </c>
      <c r="AC45" s="228">
        <v>5.5</v>
      </c>
      <c r="AD45" s="228">
        <v>0.7</v>
      </c>
      <c r="AE45" s="228">
        <v>4.8</v>
      </c>
      <c r="AF45" s="229">
        <v>4.1999999999999997E-3</v>
      </c>
      <c r="AG45" s="228">
        <v>13.7</v>
      </c>
      <c r="AH45" s="228">
        <v>9.8000000000000007</v>
      </c>
      <c r="AI45" s="228">
        <v>3.9</v>
      </c>
      <c r="AJ45" s="229">
        <v>1.03E-2</v>
      </c>
      <c r="AK45" s="228">
        <v>21.5</v>
      </c>
      <c r="AL45" s="228">
        <v>12.9</v>
      </c>
      <c r="AM45" s="228">
        <v>8.6</v>
      </c>
      <c r="AN45" s="229">
        <v>1.6199999999999999E-2</v>
      </c>
      <c r="AO45" s="231">
        <v>1331.66</v>
      </c>
      <c r="AP45" s="231">
        <v>1338.84</v>
      </c>
      <c r="AQ45" s="228">
        <v>0</v>
      </c>
      <c r="AR45" s="230">
        <v>1486500</v>
      </c>
      <c r="AS45" s="230">
        <v>1430250</v>
      </c>
      <c r="AT45" s="230">
        <v>56250</v>
      </c>
      <c r="AU45" s="229">
        <v>3.9300000000000002E-2</v>
      </c>
      <c r="AV45" s="230">
        <v>1304250</v>
      </c>
      <c r="AW45" s="230">
        <v>1366125</v>
      </c>
      <c r="AX45" s="230">
        <v>-61875</v>
      </c>
      <c r="AY45" s="229">
        <v>-4.53E-2</v>
      </c>
      <c r="AZ45" s="230">
        <v>175875</v>
      </c>
      <c r="BA45" s="230">
        <v>58875</v>
      </c>
      <c r="BB45" s="230">
        <v>117000</v>
      </c>
      <c r="BC45" s="229">
        <v>1.9873000000000001</v>
      </c>
      <c r="BD45" s="230">
        <v>6375</v>
      </c>
      <c r="BE45" s="230">
        <v>5250</v>
      </c>
      <c r="BF45" s="230">
        <v>1125</v>
      </c>
      <c r="BG45" s="229">
        <v>0.21429999999999999</v>
      </c>
      <c r="BH45" s="230">
        <v>9375750</v>
      </c>
      <c r="BI45" s="230">
        <v>4545375</v>
      </c>
      <c r="BJ45" s="230">
        <v>4830375</v>
      </c>
      <c r="BK45" s="229">
        <v>1.0627</v>
      </c>
      <c r="BL45" s="230">
        <v>3013125</v>
      </c>
      <c r="BM45" s="230">
        <v>1517250</v>
      </c>
      <c r="BN45" s="230">
        <v>1495875</v>
      </c>
      <c r="BO45" s="229">
        <v>0.9859</v>
      </c>
      <c r="BP45" s="230">
        <v>13875375</v>
      </c>
      <c r="BQ45" s="230">
        <v>7492875</v>
      </c>
      <c r="BR45" s="230">
        <v>6382500</v>
      </c>
      <c r="BS45" s="229">
        <v>0.8518</v>
      </c>
      <c r="BT45" s="230">
        <v>1565307</v>
      </c>
      <c r="BU45" s="230">
        <v>1285997</v>
      </c>
      <c r="BV45" s="230">
        <v>279310</v>
      </c>
      <c r="BW45" s="229">
        <v>0.2172</v>
      </c>
      <c r="BX45" s="230">
        <v>12998250</v>
      </c>
      <c r="BY45" s="230">
        <v>13015875</v>
      </c>
      <c r="BZ45" s="230">
        <v>-17625</v>
      </c>
      <c r="CA45" s="229">
        <v>-1.4E-3</v>
      </c>
      <c r="CB45" s="230">
        <v>12697875</v>
      </c>
      <c r="CC45" s="230">
        <v>12774375</v>
      </c>
      <c r="CD45" s="230">
        <v>-76500</v>
      </c>
      <c r="CE45" s="229">
        <v>-6.0000000000000001E-3</v>
      </c>
      <c r="CF45" s="230">
        <v>259875</v>
      </c>
      <c r="CG45" s="230">
        <v>201000</v>
      </c>
      <c r="CH45" s="230">
        <v>58875</v>
      </c>
      <c r="CI45" s="229">
        <v>0.29289999999999999</v>
      </c>
      <c r="CJ45" s="230">
        <v>40500</v>
      </c>
      <c r="CK45" s="230">
        <v>40500</v>
      </c>
      <c r="CL45" s="228">
        <v>0</v>
      </c>
      <c r="CM45" s="229">
        <v>0</v>
      </c>
      <c r="CN45" s="230">
        <v>8301000</v>
      </c>
      <c r="CO45" s="230">
        <v>7458750</v>
      </c>
      <c r="CP45" s="230">
        <v>842250</v>
      </c>
      <c r="CQ45" s="229">
        <v>0.1129</v>
      </c>
      <c r="CR45" s="230">
        <v>3405750</v>
      </c>
      <c r="CS45" s="230">
        <v>3150375</v>
      </c>
      <c r="CT45" s="230">
        <v>255375</v>
      </c>
      <c r="CU45" s="229">
        <v>8.1100000000000005E-2</v>
      </c>
      <c r="CV45" s="230">
        <v>24705000</v>
      </c>
      <c r="CW45" s="230">
        <v>23625000</v>
      </c>
      <c r="CX45" s="230">
        <v>1080000</v>
      </c>
      <c r="CY45" s="229">
        <v>4.5699999999999998E-2</v>
      </c>
      <c r="CZ45" s="228">
        <v>23.14</v>
      </c>
      <c r="DA45" s="228">
        <v>22.36</v>
      </c>
      <c r="DB45" s="228">
        <v>0.78</v>
      </c>
      <c r="DC45" s="228">
        <v>0.78</v>
      </c>
      <c r="DD45" s="228">
        <v>25.01</v>
      </c>
      <c r="DE45" s="228">
        <v>25.07</v>
      </c>
      <c r="DF45" s="228">
        <v>-1.87</v>
      </c>
      <c r="DG45" s="228">
        <v>-0.06</v>
      </c>
      <c r="DH45" s="228">
        <v>22.39</v>
      </c>
      <c r="DI45" s="228">
        <v>21.56</v>
      </c>
      <c r="DJ45" s="228">
        <v>0.83</v>
      </c>
      <c r="DK45" s="228">
        <v>0.83</v>
      </c>
      <c r="DL45" s="228">
        <v>25.46</v>
      </c>
      <c r="DM45" s="228">
        <v>24.78</v>
      </c>
      <c r="DN45" s="228">
        <v>0.68</v>
      </c>
      <c r="DO45" s="228">
        <v>0.68</v>
      </c>
      <c r="DP45" s="228">
        <v>0.41</v>
      </c>
      <c r="DQ45" s="228">
        <v>0.42</v>
      </c>
      <c r="DR45" s="228">
        <v>-0.01</v>
      </c>
      <c r="DS45" s="229">
        <v>-2.3800000000000002E-2</v>
      </c>
      <c r="DT45" s="231">
        <v>1350</v>
      </c>
      <c r="DU45" s="231">
        <v>1260</v>
      </c>
      <c r="DV45" s="228">
        <v>0.32</v>
      </c>
      <c r="DW45" s="228">
        <v>0.33</v>
      </c>
      <c r="DX45" s="228">
        <v>-0.01</v>
      </c>
      <c r="DY45" s="229">
        <v>-3.0300000000000001E-2</v>
      </c>
      <c r="DZ45" s="229">
        <v>2.3099999999999999E-2</v>
      </c>
      <c r="EA45" s="230">
        <v>241500</v>
      </c>
      <c r="EB45" s="229">
        <v>6.1999999999999998E-3</v>
      </c>
      <c r="EC45" s="229">
        <v>2.3099999999999999E-2</v>
      </c>
      <c r="ED45" s="228">
        <v>7.18</v>
      </c>
      <c r="EE45" s="229">
        <v>5.4000000000000003E-3</v>
      </c>
      <c r="EF45" s="230">
        <v>950088</v>
      </c>
      <c r="EG45" s="230">
        <v>798717</v>
      </c>
      <c r="EH45" s="229">
        <v>0.1895</v>
      </c>
      <c r="EI45" s="229">
        <v>0.60699999999999998</v>
      </c>
      <c r="EJ45" s="231">
        <v>128929.49</v>
      </c>
      <c r="EK45" s="231">
        <v>39686.83</v>
      </c>
      <c r="EL45" s="231">
        <v>19808.810000000001</v>
      </c>
      <c r="EM45" s="231">
        <v>3480</v>
      </c>
      <c r="EN45" s="231">
        <v>188425.13</v>
      </c>
      <c r="EO45" s="231">
        <v>101867</v>
      </c>
      <c r="EP45" s="231">
        <v>86558.13</v>
      </c>
      <c r="EQ45" s="229">
        <v>0.84970000000000001</v>
      </c>
      <c r="ER45" s="231">
        <v>115354</v>
      </c>
      <c r="ES45" s="231">
        <v>44002</v>
      </c>
      <c r="ET45" s="231">
        <v>172879</v>
      </c>
      <c r="EU45" s="231">
        <v>59297360</v>
      </c>
      <c r="EV45" s="231">
        <v>332234</v>
      </c>
      <c r="EW45" s="231">
        <v>317794</v>
      </c>
      <c r="EX45" s="231">
        <v>14440</v>
      </c>
      <c r="EY45" s="229">
        <v>4.5400000000000003E-2</v>
      </c>
      <c r="EZ45" s="229">
        <v>0.41660000000000003</v>
      </c>
      <c r="FA45" s="227" t="s">
        <v>568</v>
      </c>
      <c r="FB45" s="161">
        <f t="shared" si="0"/>
        <v>300375</v>
      </c>
    </row>
    <row r="46" spans="1:158" ht="17.25" thickBot="1" x14ac:dyDescent="0.3">
      <c r="A46" s="226">
        <v>46093</v>
      </c>
      <c r="B46" s="227" t="s">
        <v>227</v>
      </c>
      <c r="C46" s="227" t="s">
        <v>200</v>
      </c>
      <c r="D46" s="228">
        <v>1350</v>
      </c>
      <c r="E46" s="228">
        <v>470.55</v>
      </c>
      <c r="F46" s="228">
        <v>448.45</v>
      </c>
      <c r="G46" s="228">
        <v>22.1</v>
      </c>
      <c r="H46" s="229">
        <v>4.9299999999999997E-2</v>
      </c>
      <c r="I46" s="228">
        <v>470.1</v>
      </c>
      <c r="J46" s="228">
        <v>446.75</v>
      </c>
      <c r="K46" s="228">
        <v>23.35</v>
      </c>
      <c r="L46" s="229">
        <v>5.2299999999999999E-2</v>
      </c>
      <c r="M46" s="228">
        <v>470.55</v>
      </c>
      <c r="N46" s="228">
        <v>448.45</v>
      </c>
      <c r="O46" s="228">
        <v>22.1</v>
      </c>
      <c r="P46" s="229">
        <v>4.9299999999999997E-2</v>
      </c>
      <c r="Q46" s="228">
        <v>473.2</v>
      </c>
      <c r="R46" s="228">
        <v>451.25</v>
      </c>
      <c r="S46" s="228">
        <v>21.95</v>
      </c>
      <c r="T46" s="229">
        <v>4.8599999999999997E-2</v>
      </c>
      <c r="U46" s="228">
        <v>475.4</v>
      </c>
      <c r="V46" s="228">
        <v>453.5</v>
      </c>
      <c r="W46" s="228">
        <v>21.9</v>
      </c>
      <c r="X46" s="229">
        <v>4.8300000000000003E-2</v>
      </c>
      <c r="Y46" s="228">
        <v>0.45</v>
      </c>
      <c r="Z46" s="228">
        <v>1.7</v>
      </c>
      <c r="AA46" s="228">
        <v>-1.25</v>
      </c>
      <c r="AB46" s="229">
        <v>1E-3</v>
      </c>
      <c r="AC46" s="228">
        <v>0.45</v>
      </c>
      <c r="AD46" s="228">
        <v>1.7</v>
      </c>
      <c r="AE46" s="228">
        <v>-1.25</v>
      </c>
      <c r="AF46" s="229">
        <v>1E-3</v>
      </c>
      <c r="AG46" s="228">
        <v>3.1</v>
      </c>
      <c r="AH46" s="228">
        <v>4.5</v>
      </c>
      <c r="AI46" s="228">
        <v>-1.4</v>
      </c>
      <c r="AJ46" s="229">
        <v>6.6E-3</v>
      </c>
      <c r="AK46" s="228">
        <v>5.3</v>
      </c>
      <c r="AL46" s="228">
        <v>6.75</v>
      </c>
      <c r="AM46" s="228">
        <v>-1.45</v>
      </c>
      <c r="AN46" s="229">
        <v>1.1299999999999999E-2</v>
      </c>
      <c r="AO46" s="228">
        <v>463.81</v>
      </c>
      <c r="AP46" s="228">
        <v>467.43</v>
      </c>
      <c r="AQ46" s="228">
        <v>0</v>
      </c>
      <c r="AR46" s="230">
        <v>29805300</v>
      </c>
      <c r="AS46" s="230">
        <v>13505400</v>
      </c>
      <c r="AT46" s="230">
        <v>16299900</v>
      </c>
      <c r="AU46" s="229">
        <v>1.2069000000000001</v>
      </c>
      <c r="AV46" s="230">
        <v>26827200</v>
      </c>
      <c r="AW46" s="230">
        <v>12513150</v>
      </c>
      <c r="AX46" s="230">
        <v>14314050</v>
      </c>
      <c r="AY46" s="229">
        <v>1.1438999999999999</v>
      </c>
      <c r="AZ46" s="230">
        <v>2736450</v>
      </c>
      <c r="BA46" s="230">
        <v>913950</v>
      </c>
      <c r="BB46" s="230">
        <v>1822500</v>
      </c>
      <c r="BC46" s="229">
        <v>1.9941</v>
      </c>
      <c r="BD46" s="230">
        <v>241650</v>
      </c>
      <c r="BE46" s="230">
        <v>78300</v>
      </c>
      <c r="BF46" s="230">
        <v>163350</v>
      </c>
      <c r="BG46" s="229">
        <v>2.0861999999999998</v>
      </c>
      <c r="BH46" s="230">
        <v>203208750</v>
      </c>
      <c r="BI46" s="230">
        <v>66135150</v>
      </c>
      <c r="BJ46" s="230">
        <v>137073600</v>
      </c>
      <c r="BK46" s="229">
        <v>2.0726</v>
      </c>
      <c r="BL46" s="230">
        <v>81797850</v>
      </c>
      <c r="BM46" s="230">
        <v>31661550</v>
      </c>
      <c r="BN46" s="230">
        <v>50136300</v>
      </c>
      <c r="BO46" s="229">
        <v>1.5834999999999999</v>
      </c>
      <c r="BP46" s="230">
        <v>314811900</v>
      </c>
      <c r="BQ46" s="230">
        <v>111302100</v>
      </c>
      <c r="BR46" s="230">
        <v>203509800</v>
      </c>
      <c r="BS46" s="229">
        <v>1.8284</v>
      </c>
      <c r="BT46" s="230">
        <v>28382820</v>
      </c>
      <c r="BU46" s="230">
        <v>10402062</v>
      </c>
      <c r="BV46" s="230">
        <v>17980758</v>
      </c>
      <c r="BW46" s="229">
        <v>1.7285999999999999</v>
      </c>
      <c r="BX46" s="230">
        <v>49048200</v>
      </c>
      <c r="BY46" s="230">
        <v>46618200</v>
      </c>
      <c r="BZ46" s="230">
        <v>2430000</v>
      </c>
      <c r="CA46" s="229">
        <v>5.21E-2</v>
      </c>
      <c r="CB46" s="230">
        <v>43447050</v>
      </c>
      <c r="CC46" s="230">
        <v>41187150</v>
      </c>
      <c r="CD46" s="230">
        <v>2259900</v>
      </c>
      <c r="CE46" s="229">
        <v>5.4899999999999997E-2</v>
      </c>
      <c r="CF46" s="230">
        <v>5400000</v>
      </c>
      <c r="CG46" s="230">
        <v>5247450</v>
      </c>
      <c r="CH46" s="230">
        <v>152550</v>
      </c>
      <c r="CI46" s="229">
        <v>2.9100000000000001E-2</v>
      </c>
      <c r="CJ46" s="230">
        <v>201150</v>
      </c>
      <c r="CK46" s="230">
        <v>183600</v>
      </c>
      <c r="CL46" s="230">
        <v>17550</v>
      </c>
      <c r="CM46" s="229">
        <v>9.5600000000000004E-2</v>
      </c>
      <c r="CN46" s="230">
        <v>37076400</v>
      </c>
      <c r="CO46" s="230">
        <v>34065900</v>
      </c>
      <c r="CP46" s="230">
        <v>3010500</v>
      </c>
      <c r="CQ46" s="229">
        <v>8.8400000000000006E-2</v>
      </c>
      <c r="CR46" s="230">
        <v>27403650</v>
      </c>
      <c r="CS46" s="230">
        <v>22148100</v>
      </c>
      <c r="CT46" s="230">
        <v>5255550</v>
      </c>
      <c r="CU46" s="229">
        <v>0.23730000000000001</v>
      </c>
      <c r="CV46" s="230">
        <v>113528250</v>
      </c>
      <c r="CW46" s="230">
        <v>102832200</v>
      </c>
      <c r="CX46" s="230">
        <v>10696050</v>
      </c>
      <c r="CY46" s="229">
        <v>0.104</v>
      </c>
      <c r="CZ46" s="228">
        <v>31.17</v>
      </c>
      <c r="DA46" s="228">
        <v>28.69</v>
      </c>
      <c r="DB46" s="228">
        <v>2.48</v>
      </c>
      <c r="DC46" s="228">
        <v>2.48</v>
      </c>
      <c r="DD46" s="228">
        <v>30.56</v>
      </c>
      <c r="DE46" s="228">
        <v>29.93</v>
      </c>
      <c r="DF46" s="228">
        <v>0.61</v>
      </c>
      <c r="DG46" s="228">
        <v>0.63</v>
      </c>
      <c r="DH46" s="228">
        <v>30.54</v>
      </c>
      <c r="DI46" s="228">
        <v>28.44</v>
      </c>
      <c r="DJ46" s="228">
        <v>2.1</v>
      </c>
      <c r="DK46" s="228">
        <v>2.1</v>
      </c>
      <c r="DL46" s="228">
        <v>32.74</v>
      </c>
      <c r="DM46" s="228">
        <v>29.22</v>
      </c>
      <c r="DN46" s="228">
        <v>3.52</v>
      </c>
      <c r="DO46" s="228">
        <v>3.52</v>
      </c>
      <c r="DP46" s="228">
        <v>0.74</v>
      </c>
      <c r="DQ46" s="228">
        <v>0.65</v>
      </c>
      <c r="DR46" s="228">
        <v>0.09</v>
      </c>
      <c r="DS46" s="229">
        <v>0.13850000000000001</v>
      </c>
      <c r="DT46" s="228">
        <v>500</v>
      </c>
      <c r="DU46" s="228">
        <v>430</v>
      </c>
      <c r="DV46" s="228">
        <v>0.4</v>
      </c>
      <c r="DW46" s="228">
        <v>0.48</v>
      </c>
      <c r="DX46" s="228">
        <v>-0.08</v>
      </c>
      <c r="DY46" s="229">
        <v>-0.16669999999999999</v>
      </c>
      <c r="DZ46" s="229">
        <v>0.1142</v>
      </c>
      <c r="EA46" s="230">
        <v>5431050</v>
      </c>
      <c r="EB46" s="229">
        <v>5.5999999999999999E-3</v>
      </c>
      <c r="EC46" s="229">
        <v>0.1142</v>
      </c>
      <c r="ED46" s="228">
        <v>3.62</v>
      </c>
      <c r="EE46" s="229">
        <v>7.7999999999999996E-3</v>
      </c>
      <c r="EF46" s="230">
        <v>10477326</v>
      </c>
      <c r="EG46" s="230">
        <v>4122969</v>
      </c>
      <c r="EH46" s="229">
        <v>1.5411999999999999</v>
      </c>
      <c r="EI46" s="229">
        <v>0.36909999999999998</v>
      </c>
      <c r="EJ46" s="231">
        <v>985752.93</v>
      </c>
      <c r="EK46" s="231">
        <v>368535.42</v>
      </c>
      <c r="EL46" s="231">
        <v>138346.79999999999</v>
      </c>
      <c r="EM46" s="231">
        <v>12629</v>
      </c>
      <c r="EN46" s="231">
        <v>1492635.15</v>
      </c>
      <c r="EO46" s="231">
        <v>513383.82</v>
      </c>
      <c r="EP46" s="231">
        <v>979251.33</v>
      </c>
      <c r="EQ46" s="229">
        <v>1.9074</v>
      </c>
      <c r="ER46" s="231">
        <v>174176</v>
      </c>
      <c r="ES46" s="231">
        <v>118383</v>
      </c>
      <c r="ET46" s="231">
        <v>230949</v>
      </c>
      <c r="EU46" s="231">
        <v>278206904</v>
      </c>
      <c r="EV46" s="231">
        <v>523509</v>
      </c>
      <c r="EW46" s="231">
        <v>460910</v>
      </c>
      <c r="EX46" s="231">
        <v>62599</v>
      </c>
      <c r="EY46" s="229">
        <v>0.1358</v>
      </c>
      <c r="EZ46" s="229">
        <v>0.40810000000000002</v>
      </c>
      <c r="FA46" s="227" t="s">
        <v>555</v>
      </c>
      <c r="FB46" s="161">
        <f t="shared" si="0"/>
        <v>5601150</v>
      </c>
    </row>
    <row r="47" spans="1:158" ht="17.25" thickBot="1" x14ac:dyDescent="0.3">
      <c r="A47" s="226">
        <v>46093</v>
      </c>
      <c r="B47" s="227" t="s">
        <v>221</v>
      </c>
      <c r="C47" s="227" t="s">
        <v>470</v>
      </c>
      <c r="D47" s="228">
        <v>375</v>
      </c>
      <c r="E47" s="231">
        <v>1110.5999999999999</v>
      </c>
      <c r="F47" s="231">
        <v>1113.0999999999999</v>
      </c>
      <c r="G47" s="228">
        <v>-2.5</v>
      </c>
      <c r="H47" s="229">
        <v>-2.2000000000000001E-3</v>
      </c>
      <c r="I47" s="231">
        <v>1107.9000000000001</v>
      </c>
      <c r="J47" s="231">
        <v>1108.8</v>
      </c>
      <c r="K47" s="228">
        <v>-0.9</v>
      </c>
      <c r="L47" s="229">
        <v>-8.0000000000000004E-4</v>
      </c>
      <c r="M47" s="231">
        <v>1110.5999999999999</v>
      </c>
      <c r="N47" s="231">
        <v>1113.0999999999999</v>
      </c>
      <c r="O47" s="228">
        <v>-2.5</v>
      </c>
      <c r="P47" s="229">
        <v>-2.2000000000000001E-3</v>
      </c>
      <c r="Q47" s="231">
        <v>1116.7</v>
      </c>
      <c r="R47" s="231">
        <v>1119.4000000000001</v>
      </c>
      <c r="S47" s="228">
        <v>-2.7</v>
      </c>
      <c r="T47" s="229">
        <v>-2.3999999999999998E-3</v>
      </c>
      <c r="U47" s="231">
        <v>1120.3</v>
      </c>
      <c r="V47" s="231">
        <v>1123.9000000000001</v>
      </c>
      <c r="W47" s="228">
        <v>-3.6</v>
      </c>
      <c r="X47" s="229">
        <v>-3.2000000000000002E-3</v>
      </c>
      <c r="Y47" s="228">
        <v>2.7</v>
      </c>
      <c r="Z47" s="228">
        <v>4.3</v>
      </c>
      <c r="AA47" s="228">
        <v>-1.6</v>
      </c>
      <c r="AB47" s="229">
        <v>2.3999999999999998E-3</v>
      </c>
      <c r="AC47" s="228">
        <v>2.7</v>
      </c>
      <c r="AD47" s="228">
        <v>4.3</v>
      </c>
      <c r="AE47" s="228">
        <v>-1.6</v>
      </c>
      <c r="AF47" s="229">
        <v>2.3999999999999998E-3</v>
      </c>
      <c r="AG47" s="228">
        <v>8.8000000000000007</v>
      </c>
      <c r="AH47" s="228">
        <v>10.6</v>
      </c>
      <c r="AI47" s="228">
        <v>-1.8</v>
      </c>
      <c r="AJ47" s="229">
        <v>7.9000000000000008E-3</v>
      </c>
      <c r="AK47" s="228">
        <v>12.4</v>
      </c>
      <c r="AL47" s="228">
        <v>15.1</v>
      </c>
      <c r="AM47" s="228">
        <v>-2.7</v>
      </c>
      <c r="AN47" s="229">
        <v>1.12E-2</v>
      </c>
      <c r="AO47" s="231">
        <v>1108.9100000000001</v>
      </c>
      <c r="AP47" s="231">
        <v>1114.24</v>
      </c>
      <c r="AQ47" s="228">
        <v>0</v>
      </c>
      <c r="AR47" s="230">
        <v>4679250</v>
      </c>
      <c r="AS47" s="230">
        <v>4128000</v>
      </c>
      <c r="AT47" s="230">
        <v>551250</v>
      </c>
      <c r="AU47" s="229">
        <v>0.13350000000000001</v>
      </c>
      <c r="AV47" s="230">
        <v>4341750</v>
      </c>
      <c r="AW47" s="230">
        <v>3606375</v>
      </c>
      <c r="AX47" s="230">
        <v>735375</v>
      </c>
      <c r="AY47" s="229">
        <v>0.2039</v>
      </c>
      <c r="AZ47" s="230">
        <v>269625</v>
      </c>
      <c r="BA47" s="230">
        <v>434625</v>
      </c>
      <c r="BB47" s="230">
        <v>-165000</v>
      </c>
      <c r="BC47" s="229">
        <v>-0.37959999999999999</v>
      </c>
      <c r="BD47" s="230">
        <v>67875</v>
      </c>
      <c r="BE47" s="230">
        <v>87000</v>
      </c>
      <c r="BF47" s="230">
        <v>-19125</v>
      </c>
      <c r="BG47" s="229">
        <v>-0.2198</v>
      </c>
      <c r="BH47" s="230">
        <v>14240250</v>
      </c>
      <c r="BI47" s="230">
        <v>12023625</v>
      </c>
      <c r="BJ47" s="230">
        <v>2216625</v>
      </c>
      <c r="BK47" s="229">
        <v>0.18440000000000001</v>
      </c>
      <c r="BL47" s="230">
        <v>6258750</v>
      </c>
      <c r="BM47" s="230">
        <v>4857000</v>
      </c>
      <c r="BN47" s="230">
        <v>1401750</v>
      </c>
      <c r="BO47" s="229">
        <v>0.28860000000000002</v>
      </c>
      <c r="BP47" s="230">
        <v>25178250</v>
      </c>
      <c r="BQ47" s="230">
        <v>21008625</v>
      </c>
      <c r="BR47" s="230">
        <v>4169625</v>
      </c>
      <c r="BS47" s="229">
        <v>0.19850000000000001</v>
      </c>
      <c r="BT47" s="230">
        <v>4326871</v>
      </c>
      <c r="BU47" s="230">
        <v>3181708</v>
      </c>
      <c r="BV47" s="230">
        <v>1145163</v>
      </c>
      <c r="BW47" s="229">
        <v>0.3599</v>
      </c>
      <c r="BX47" s="230">
        <v>27018375</v>
      </c>
      <c r="BY47" s="230">
        <v>26829000</v>
      </c>
      <c r="BZ47" s="230">
        <v>189375</v>
      </c>
      <c r="CA47" s="229">
        <v>7.1000000000000004E-3</v>
      </c>
      <c r="CB47" s="230">
        <v>25632000</v>
      </c>
      <c r="CC47" s="230">
        <v>25470000</v>
      </c>
      <c r="CD47" s="230">
        <v>162000</v>
      </c>
      <c r="CE47" s="229">
        <v>6.4000000000000003E-3</v>
      </c>
      <c r="CF47" s="230">
        <v>1189875</v>
      </c>
      <c r="CG47" s="230">
        <v>1179000</v>
      </c>
      <c r="CH47" s="230">
        <v>10875</v>
      </c>
      <c r="CI47" s="229">
        <v>9.1999999999999998E-3</v>
      </c>
      <c r="CJ47" s="230">
        <v>196500</v>
      </c>
      <c r="CK47" s="230">
        <v>180000</v>
      </c>
      <c r="CL47" s="230">
        <v>16500</v>
      </c>
      <c r="CM47" s="229">
        <v>9.1700000000000004E-2</v>
      </c>
      <c r="CN47" s="230">
        <v>13423875</v>
      </c>
      <c r="CO47" s="230">
        <v>12890625</v>
      </c>
      <c r="CP47" s="230">
        <v>533250</v>
      </c>
      <c r="CQ47" s="229">
        <v>4.1399999999999999E-2</v>
      </c>
      <c r="CR47" s="230">
        <v>5025000</v>
      </c>
      <c r="CS47" s="230">
        <v>4805250</v>
      </c>
      <c r="CT47" s="230">
        <v>219750</v>
      </c>
      <c r="CU47" s="229">
        <v>4.5699999999999998E-2</v>
      </c>
      <c r="CV47" s="230">
        <v>45467250</v>
      </c>
      <c r="CW47" s="230">
        <v>44524875</v>
      </c>
      <c r="CX47" s="230">
        <v>942375</v>
      </c>
      <c r="CY47" s="229">
        <v>2.12E-2</v>
      </c>
      <c r="CZ47" s="228">
        <v>47.13</v>
      </c>
      <c r="DA47" s="228">
        <v>48.52</v>
      </c>
      <c r="DB47" s="228">
        <v>-1.39</v>
      </c>
      <c r="DC47" s="228">
        <v>-1.39</v>
      </c>
      <c r="DD47" s="228">
        <v>42.15</v>
      </c>
      <c r="DE47" s="228">
        <v>42.25</v>
      </c>
      <c r="DF47" s="228">
        <v>4.9800000000000004</v>
      </c>
      <c r="DG47" s="228">
        <v>-0.1</v>
      </c>
      <c r="DH47" s="228">
        <v>46.94</v>
      </c>
      <c r="DI47" s="228">
        <v>48.3</v>
      </c>
      <c r="DJ47" s="228">
        <v>-1.36</v>
      </c>
      <c r="DK47" s="228">
        <v>-1.36</v>
      </c>
      <c r="DL47" s="228">
        <v>47.55</v>
      </c>
      <c r="DM47" s="228">
        <v>49.07</v>
      </c>
      <c r="DN47" s="228">
        <v>-1.52</v>
      </c>
      <c r="DO47" s="228">
        <v>-1.52</v>
      </c>
      <c r="DP47" s="228">
        <v>0.37</v>
      </c>
      <c r="DQ47" s="228">
        <v>0.37</v>
      </c>
      <c r="DR47" s="228">
        <v>0</v>
      </c>
      <c r="DS47" s="229">
        <v>0</v>
      </c>
      <c r="DT47" s="231">
        <v>1200</v>
      </c>
      <c r="DU47" s="231">
        <v>1100</v>
      </c>
      <c r="DV47" s="228">
        <v>0.44</v>
      </c>
      <c r="DW47" s="228">
        <v>0.4</v>
      </c>
      <c r="DX47" s="228">
        <v>0.04</v>
      </c>
      <c r="DY47" s="229">
        <v>0.1</v>
      </c>
      <c r="DZ47" s="229">
        <v>5.1299999999999998E-2</v>
      </c>
      <c r="EA47" s="230">
        <v>1359000</v>
      </c>
      <c r="EB47" s="229">
        <v>5.4999999999999997E-3</v>
      </c>
      <c r="EC47" s="229">
        <v>5.1299999999999998E-2</v>
      </c>
      <c r="ED47" s="228">
        <v>5.33</v>
      </c>
      <c r="EE47" s="229">
        <v>4.7999999999999996E-3</v>
      </c>
      <c r="EF47" s="230">
        <v>2019318</v>
      </c>
      <c r="EG47" s="230">
        <v>1353436</v>
      </c>
      <c r="EH47" s="229">
        <v>0.49199999999999999</v>
      </c>
      <c r="EI47" s="229">
        <v>0.4667</v>
      </c>
      <c r="EJ47" s="231">
        <v>172854.96</v>
      </c>
      <c r="EK47" s="231">
        <v>70279.27</v>
      </c>
      <c r="EL47" s="231">
        <v>51905.45</v>
      </c>
      <c r="EM47" s="231">
        <v>10752</v>
      </c>
      <c r="EN47" s="231">
        <v>295039.68</v>
      </c>
      <c r="EO47" s="231">
        <v>251423.75</v>
      </c>
      <c r="EP47" s="231">
        <v>43615.93</v>
      </c>
      <c r="EQ47" s="229">
        <v>0.17349999999999999</v>
      </c>
      <c r="ER47" s="231">
        <v>174448</v>
      </c>
      <c r="ES47" s="231">
        <v>60157</v>
      </c>
      <c r="ET47" s="231">
        <v>300158</v>
      </c>
      <c r="EU47" s="231">
        <v>50189409</v>
      </c>
      <c r="EV47" s="231">
        <v>534763</v>
      </c>
      <c r="EW47" s="231">
        <v>525792</v>
      </c>
      <c r="EX47" s="231">
        <v>8971</v>
      </c>
      <c r="EY47" s="229">
        <v>1.7100000000000001E-2</v>
      </c>
      <c r="EZ47" s="229">
        <v>0.90590000000000004</v>
      </c>
      <c r="FA47" s="227" t="s">
        <v>567</v>
      </c>
      <c r="FB47" s="161">
        <f t="shared" si="0"/>
        <v>1386375</v>
      </c>
    </row>
    <row r="48" spans="1:158" ht="17.25" thickBot="1" x14ac:dyDescent="0.3">
      <c r="A48" s="226">
        <v>46093</v>
      </c>
      <c r="B48" s="227" t="s">
        <v>168</v>
      </c>
      <c r="C48" s="227" t="s">
        <v>201</v>
      </c>
      <c r="D48" s="228">
        <v>225</v>
      </c>
      <c r="E48" s="231">
        <v>1973.2</v>
      </c>
      <c r="F48" s="231">
        <v>2049.6999999999998</v>
      </c>
      <c r="G48" s="228">
        <v>-76.5</v>
      </c>
      <c r="H48" s="229">
        <v>-3.73E-2</v>
      </c>
      <c r="I48" s="231">
        <v>1975.8</v>
      </c>
      <c r="J48" s="231">
        <v>2055.6</v>
      </c>
      <c r="K48" s="228">
        <v>-79.8</v>
      </c>
      <c r="L48" s="229">
        <v>-3.8800000000000001E-2</v>
      </c>
      <c r="M48" s="231">
        <v>1973.2</v>
      </c>
      <c r="N48" s="231">
        <v>2049.6999999999998</v>
      </c>
      <c r="O48" s="228">
        <v>-76.5</v>
      </c>
      <c r="P48" s="229">
        <v>-3.73E-2</v>
      </c>
      <c r="Q48" s="231">
        <v>1977.8</v>
      </c>
      <c r="R48" s="231">
        <v>2056.1999999999998</v>
      </c>
      <c r="S48" s="228">
        <v>-78.400000000000006</v>
      </c>
      <c r="T48" s="229">
        <v>-3.8100000000000002E-2</v>
      </c>
      <c r="U48" s="231">
        <v>1978.8</v>
      </c>
      <c r="V48" s="231">
        <v>2057.4</v>
      </c>
      <c r="W48" s="228">
        <v>-78.599999999999994</v>
      </c>
      <c r="X48" s="229">
        <v>-3.8199999999999998E-2</v>
      </c>
      <c r="Y48" s="228">
        <v>-2.6</v>
      </c>
      <c r="Z48" s="228">
        <v>-5.9</v>
      </c>
      <c r="AA48" s="228">
        <v>3.3</v>
      </c>
      <c r="AB48" s="229">
        <v>-1.2999999999999999E-3</v>
      </c>
      <c r="AC48" s="228">
        <v>-2.6</v>
      </c>
      <c r="AD48" s="228">
        <v>-5.9</v>
      </c>
      <c r="AE48" s="228">
        <v>3.3</v>
      </c>
      <c r="AF48" s="229">
        <v>-1.2999999999999999E-3</v>
      </c>
      <c r="AG48" s="228">
        <v>2</v>
      </c>
      <c r="AH48" s="228">
        <v>0.6</v>
      </c>
      <c r="AI48" s="228">
        <v>1.4</v>
      </c>
      <c r="AJ48" s="229">
        <v>1E-3</v>
      </c>
      <c r="AK48" s="228">
        <v>3</v>
      </c>
      <c r="AL48" s="228">
        <v>1.8</v>
      </c>
      <c r="AM48" s="228">
        <v>1.2</v>
      </c>
      <c r="AN48" s="229">
        <v>1.5E-3</v>
      </c>
      <c r="AO48" s="231">
        <v>1989.39</v>
      </c>
      <c r="AP48" s="231">
        <v>1991.19</v>
      </c>
      <c r="AQ48" s="228">
        <v>0</v>
      </c>
      <c r="AR48" s="230">
        <v>2259225</v>
      </c>
      <c r="AS48" s="230">
        <v>4695300</v>
      </c>
      <c r="AT48" s="230">
        <v>-2436075</v>
      </c>
      <c r="AU48" s="229">
        <v>-0.51880000000000004</v>
      </c>
      <c r="AV48" s="230">
        <v>1951875</v>
      </c>
      <c r="AW48" s="230">
        <v>4228875</v>
      </c>
      <c r="AX48" s="230">
        <v>-2277000</v>
      </c>
      <c r="AY48" s="229">
        <v>-0.53839999999999999</v>
      </c>
      <c r="AZ48" s="230">
        <v>275400</v>
      </c>
      <c r="BA48" s="230">
        <v>407700</v>
      </c>
      <c r="BB48" s="230">
        <v>-132300</v>
      </c>
      <c r="BC48" s="229">
        <v>-0.32450000000000001</v>
      </c>
      <c r="BD48" s="230">
        <v>31950</v>
      </c>
      <c r="BE48" s="230">
        <v>58725</v>
      </c>
      <c r="BF48" s="230">
        <v>-26775</v>
      </c>
      <c r="BG48" s="229">
        <v>-0.45590000000000003</v>
      </c>
      <c r="BH48" s="230">
        <v>6698700</v>
      </c>
      <c r="BI48" s="230">
        <v>12275775</v>
      </c>
      <c r="BJ48" s="230">
        <v>-5577075</v>
      </c>
      <c r="BK48" s="229">
        <v>-0.45429999999999998</v>
      </c>
      <c r="BL48" s="230">
        <v>4140675</v>
      </c>
      <c r="BM48" s="230">
        <v>14351400</v>
      </c>
      <c r="BN48" s="230">
        <v>-10210725</v>
      </c>
      <c r="BO48" s="229">
        <v>-0.71150000000000002</v>
      </c>
      <c r="BP48" s="230">
        <v>13098600</v>
      </c>
      <c r="BQ48" s="230">
        <v>31322475</v>
      </c>
      <c r="BR48" s="230">
        <v>-18223875</v>
      </c>
      <c r="BS48" s="229">
        <v>-0.58179999999999998</v>
      </c>
      <c r="BT48" s="230">
        <v>859654</v>
      </c>
      <c r="BU48" s="230">
        <v>1734148</v>
      </c>
      <c r="BV48" s="230">
        <v>-874494</v>
      </c>
      <c r="BW48" s="229">
        <v>-0.50429999999999997</v>
      </c>
      <c r="BX48" s="230">
        <v>6605775</v>
      </c>
      <c r="BY48" s="230">
        <v>6257700</v>
      </c>
      <c r="BZ48" s="230">
        <v>348075</v>
      </c>
      <c r="CA48" s="229">
        <v>5.5599999999999997E-2</v>
      </c>
      <c r="CB48" s="230">
        <v>6167025</v>
      </c>
      <c r="CC48" s="230">
        <v>5937075</v>
      </c>
      <c r="CD48" s="230">
        <v>229950</v>
      </c>
      <c r="CE48" s="229">
        <v>3.8699999999999998E-2</v>
      </c>
      <c r="CF48" s="230">
        <v>363825</v>
      </c>
      <c r="CG48" s="230">
        <v>258525</v>
      </c>
      <c r="CH48" s="230">
        <v>105300</v>
      </c>
      <c r="CI48" s="229">
        <v>0.4073</v>
      </c>
      <c r="CJ48" s="230">
        <v>74925</v>
      </c>
      <c r="CK48" s="230">
        <v>62100</v>
      </c>
      <c r="CL48" s="230">
        <v>12825</v>
      </c>
      <c r="CM48" s="229">
        <v>0.20649999999999999</v>
      </c>
      <c r="CN48" s="230">
        <v>4241700</v>
      </c>
      <c r="CO48" s="230">
        <v>3617325</v>
      </c>
      <c r="CP48" s="230">
        <v>624375</v>
      </c>
      <c r="CQ48" s="229">
        <v>0.1726</v>
      </c>
      <c r="CR48" s="230">
        <v>2566350</v>
      </c>
      <c r="CS48" s="230">
        <v>2349225</v>
      </c>
      <c r="CT48" s="230">
        <v>217125</v>
      </c>
      <c r="CU48" s="229">
        <v>9.2399999999999996E-2</v>
      </c>
      <c r="CV48" s="230">
        <v>13413825</v>
      </c>
      <c r="CW48" s="230">
        <v>12224250</v>
      </c>
      <c r="CX48" s="230">
        <v>1189575</v>
      </c>
      <c r="CY48" s="229">
        <v>9.7299999999999998E-2</v>
      </c>
      <c r="CZ48" s="228">
        <v>32.78</v>
      </c>
      <c r="DA48" s="228">
        <v>32.46</v>
      </c>
      <c r="DB48" s="228">
        <v>0.32</v>
      </c>
      <c r="DC48" s="228">
        <v>0.32</v>
      </c>
      <c r="DD48" s="228">
        <v>28.95</v>
      </c>
      <c r="DE48" s="228">
        <v>28.56</v>
      </c>
      <c r="DF48" s="228">
        <v>3.83</v>
      </c>
      <c r="DG48" s="228">
        <v>0.39</v>
      </c>
      <c r="DH48" s="228">
        <v>33.07</v>
      </c>
      <c r="DI48" s="228">
        <v>32.450000000000003</v>
      </c>
      <c r="DJ48" s="228">
        <v>0.62</v>
      </c>
      <c r="DK48" s="228">
        <v>0.62</v>
      </c>
      <c r="DL48" s="228">
        <v>32.31</v>
      </c>
      <c r="DM48" s="228">
        <v>32.479999999999997</v>
      </c>
      <c r="DN48" s="228">
        <v>-0.17</v>
      </c>
      <c r="DO48" s="228">
        <v>-0.17</v>
      </c>
      <c r="DP48" s="228">
        <v>0.61</v>
      </c>
      <c r="DQ48" s="228">
        <v>0.65</v>
      </c>
      <c r="DR48" s="228">
        <v>-0.04</v>
      </c>
      <c r="DS48" s="229">
        <v>-6.1499999999999999E-2</v>
      </c>
      <c r="DT48" s="231">
        <v>2100</v>
      </c>
      <c r="DU48" s="231">
        <v>2000</v>
      </c>
      <c r="DV48" s="228">
        <v>0.62</v>
      </c>
      <c r="DW48" s="228">
        <v>1.17</v>
      </c>
      <c r="DX48" s="228">
        <v>-0.55000000000000004</v>
      </c>
      <c r="DY48" s="229">
        <v>-0.47010000000000002</v>
      </c>
      <c r="DZ48" s="229">
        <v>6.6400000000000001E-2</v>
      </c>
      <c r="EA48" s="230">
        <v>320625</v>
      </c>
      <c r="EB48" s="229">
        <v>2.3E-3</v>
      </c>
      <c r="EC48" s="229">
        <v>6.6400000000000001E-2</v>
      </c>
      <c r="ED48" s="228">
        <v>1.8</v>
      </c>
      <c r="EE48" s="229">
        <v>8.9999999999999998E-4</v>
      </c>
      <c r="EF48" s="230">
        <v>331853</v>
      </c>
      <c r="EG48" s="230">
        <v>467080</v>
      </c>
      <c r="EH48" s="229">
        <v>-0.28949999999999998</v>
      </c>
      <c r="EI48" s="229">
        <v>0.38600000000000001</v>
      </c>
      <c r="EJ48" s="231">
        <v>144464.37</v>
      </c>
      <c r="EK48" s="231">
        <v>82994.06</v>
      </c>
      <c r="EL48" s="231">
        <v>44952.2</v>
      </c>
      <c r="EM48" s="231">
        <v>6221</v>
      </c>
      <c r="EN48" s="231">
        <v>272410.63</v>
      </c>
      <c r="EO48" s="231">
        <v>670741.16</v>
      </c>
      <c r="EP48" s="231">
        <v>-398330.53</v>
      </c>
      <c r="EQ48" s="229">
        <v>-0.59389999999999998</v>
      </c>
      <c r="ER48" s="231">
        <v>94036</v>
      </c>
      <c r="ES48" s="231">
        <v>53225</v>
      </c>
      <c r="ET48" s="231">
        <v>130366</v>
      </c>
      <c r="EU48" s="231">
        <v>19546143</v>
      </c>
      <c r="EV48" s="231">
        <v>277627</v>
      </c>
      <c r="EW48" s="231">
        <v>258678</v>
      </c>
      <c r="EX48" s="231">
        <v>18949</v>
      </c>
      <c r="EY48" s="229">
        <v>7.3300000000000004E-2</v>
      </c>
      <c r="EZ48" s="229">
        <v>0.68630000000000002</v>
      </c>
      <c r="FA48" s="227" t="s">
        <v>567</v>
      </c>
      <c r="FB48" s="161">
        <f t="shared" si="0"/>
        <v>438750</v>
      </c>
    </row>
    <row r="49" spans="1:158" ht="17.25" thickBot="1" x14ac:dyDescent="0.3">
      <c r="A49" s="226">
        <v>46093</v>
      </c>
      <c r="B49" s="227" t="s">
        <v>215</v>
      </c>
      <c r="C49" s="227" t="s">
        <v>202</v>
      </c>
      <c r="D49" s="228">
        <v>1250</v>
      </c>
      <c r="E49" s="228">
        <v>469.1</v>
      </c>
      <c r="F49" s="228">
        <v>470.8</v>
      </c>
      <c r="G49" s="228">
        <v>-1.7</v>
      </c>
      <c r="H49" s="229">
        <v>-3.5999999999999999E-3</v>
      </c>
      <c r="I49" s="228">
        <v>467.15</v>
      </c>
      <c r="J49" s="228">
        <v>470.45</v>
      </c>
      <c r="K49" s="228">
        <v>-3.3</v>
      </c>
      <c r="L49" s="229">
        <v>-7.0000000000000001E-3</v>
      </c>
      <c r="M49" s="228">
        <v>469.1</v>
      </c>
      <c r="N49" s="228">
        <v>470.8</v>
      </c>
      <c r="O49" s="228">
        <v>-1.7</v>
      </c>
      <c r="P49" s="229">
        <v>-3.5999999999999999E-3</v>
      </c>
      <c r="Q49" s="228">
        <v>472.05</v>
      </c>
      <c r="R49" s="228">
        <v>474.2</v>
      </c>
      <c r="S49" s="228">
        <v>-2.15</v>
      </c>
      <c r="T49" s="229">
        <v>-4.4999999999999997E-3</v>
      </c>
      <c r="U49" s="228">
        <v>474.75</v>
      </c>
      <c r="V49" s="228">
        <v>477.45</v>
      </c>
      <c r="W49" s="228">
        <v>-2.7</v>
      </c>
      <c r="X49" s="229">
        <v>-5.7000000000000002E-3</v>
      </c>
      <c r="Y49" s="228">
        <v>1.95</v>
      </c>
      <c r="Z49" s="228">
        <v>0.35</v>
      </c>
      <c r="AA49" s="228">
        <v>1.6</v>
      </c>
      <c r="AB49" s="229">
        <v>4.1999999999999997E-3</v>
      </c>
      <c r="AC49" s="228">
        <v>1.95</v>
      </c>
      <c r="AD49" s="228">
        <v>0.35</v>
      </c>
      <c r="AE49" s="228">
        <v>1.6</v>
      </c>
      <c r="AF49" s="229">
        <v>4.1999999999999997E-3</v>
      </c>
      <c r="AG49" s="228">
        <v>4.9000000000000004</v>
      </c>
      <c r="AH49" s="228">
        <v>3.75</v>
      </c>
      <c r="AI49" s="228">
        <v>1.1499999999999999</v>
      </c>
      <c r="AJ49" s="229">
        <v>1.0500000000000001E-2</v>
      </c>
      <c r="AK49" s="228">
        <v>7.6</v>
      </c>
      <c r="AL49" s="228">
        <v>7</v>
      </c>
      <c r="AM49" s="228">
        <v>0.6</v>
      </c>
      <c r="AN49" s="229">
        <v>1.6299999999999999E-2</v>
      </c>
      <c r="AO49" s="228">
        <v>467.04</v>
      </c>
      <c r="AP49" s="228">
        <v>470.99</v>
      </c>
      <c r="AQ49" s="228">
        <v>0</v>
      </c>
      <c r="AR49" s="230">
        <v>3456250</v>
      </c>
      <c r="AS49" s="230">
        <v>2777500</v>
      </c>
      <c r="AT49" s="230">
        <v>678750</v>
      </c>
      <c r="AU49" s="229">
        <v>0.24440000000000001</v>
      </c>
      <c r="AV49" s="230">
        <v>3051250</v>
      </c>
      <c r="AW49" s="230">
        <v>2407500</v>
      </c>
      <c r="AX49" s="230">
        <v>643750</v>
      </c>
      <c r="AY49" s="229">
        <v>0.26740000000000003</v>
      </c>
      <c r="AZ49" s="230">
        <v>360000</v>
      </c>
      <c r="BA49" s="230">
        <v>260000</v>
      </c>
      <c r="BB49" s="230">
        <v>100000</v>
      </c>
      <c r="BC49" s="229">
        <v>0.3846</v>
      </c>
      <c r="BD49" s="230">
        <v>45000</v>
      </c>
      <c r="BE49" s="230">
        <v>110000</v>
      </c>
      <c r="BF49" s="230">
        <v>-65000</v>
      </c>
      <c r="BG49" s="229">
        <v>-0.59089999999999998</v>
      </c>
      <c r="BH49" s="230">
        <v>4691250</v>
      </c>
      <c r="BI49" s="230">
        <v>5123750</v>
      </c>
      <c r="BJ49" s="230">
        <v>-432500</v>
      </c>
      <c r="BK49" s="229">
        <v>-8.4400000000000003E-2</v>
      </c>
      <c r="BL49" s="230">
        <v>1810000</v>
      </c>
      <c r="BM49" s="230">
        <v>2546250</v>
      </c>
      <c r="BN49" s="230">
        <v>-736250</v>
      </c>
      <c r="BO49" s="229">
        <v>-0.28920000000000001</v>
      </c>
      <c r="BP49" s="230">
        <v>9957500</v>
      </c>
      <c r="BQ49" s="230">
        <v>10447500</v>
      </c>
      <c r="BR49" s="230">
        <v>-490000</v>
      </c>
      <c r="BS49" s="229">
        <v>-4.6899999999999997E-2</v>
      </c>
      <c r="BT49" s="230">
        <v>4030358</v>
      </c>
      <c r="BU49" s="230">
        <v>1725143</v>
      </c>
      <c r="BV49" s="230">
        <v>2305215</v>
      </c>
      <c r="BW49" s="229">
        <v>1.3362000000000001</v>
      </c>
      <c r="BX49" s="230">
        <v>29440000</v>
      </c>
      <c r="BY49" s="230">
        <v>28860000</v>
      </c>
      <c r="BZ49" s="230">
        <v>580000</v>
      </c>
      <c r="CA49" s="229">
        <v>2.01E-2</v>
      </c>
      <c r="CB49" s="230">
        <v>27830000</v>
      </c>
      <c r="CC49" s="230">
        <v>27382500</v>
      </c>
      <c r="CD49" s="230">
        <v>447500</v>
      </c>
      <c r="CE49" s="229">
        <v>1.6299999999999999E-2</v>
      </c>
      <c r="CF49" s="230">
        <v>1462500</v>
      </c>
      <c r="CG49" s="230">
        <v>1342500</v>
      </c>
      <c r="CH49" s="230">
        <v>120000</v>
      </c>
      <c r="CI49" s="229">
        <v>8.9399999999999993E-2</v>
      </c>
      <c r="CJ49" s="230">
        <v>147500</v>
      </c>
      <c r="CK49" s="230">
        <v>135000</v>
      </c>
      <c r="CL49" s="230">
        <v>12500</v>
      </c>
      <c r="CM49" s="229">
        <v>9.2600000000000002E-2</v>
      </c>
      <c r="CN49" s="230">
        <v>10510000</v>
      </c>
      <c r="CO49" s="230">
        <v>10293750</v>
      </c>
      <c r="CP49" s="230">
        <v>216250</v>
      </c>
      <c r="CQ49" s="229">
        <v>2.1000000000000001E-2</v>
      </c>
      <c r="CR49" s="230">
        <v>7551250</v>
      </c>
      <c r="CS49" s="230">
        <v>7541250</v>
      </c>
      <c r="CT49" s="230">
        <v>10000</v>
      </c>
      <c r="CU49" s="229">
        <v>1.2999999999999999E-3</v>
      </c>
      <c r="CV49" s="230">
        <v>47501250</v>
      </c>
      <c r="CW49" s="230">
        <v>46695000</v>
      </c>
      <c r="CX49" s="230">
        <v>806250</v>
      </c>
      <c r="CY49" s="229">
        <v>1.7299999999999999E-2</v>
      </c>
      <c r="CZ49" s="228">
        <v>32.89</v>
      </c>
      <c r="DA49" s="228">
        <v>33.020000000000003</v>
      </c>
      <c r="DB49" s="228">
        <v>-0.13</v>
      </c>
      <c r="DC49" s="228">
        <v>-0.13</v>
      </c>
      <c r="DD49" s="228">
        <v>32.85</v>
      </c>
      <c r="DE49" s="228">
        <v>32.92</v>
      </c>
      <c r="DF49" s="228">
        <v>0.04</v>
      </c>
      <c r="DG49" s="228">
        <v>-7.0000000000000007E-2</v>
      </c>
      <c r="DH49" s="228">
        <v>32</v>
      </c>
      <c r="DI49" s="228">
        <v>32.69</v>
      </c>
      <c r="DJ49" s="228">
        <v>-0.69</v>
      </c>
      <c r="DK49" s="228">
        <v>-0.69</v>
      </c>
      <c r="DL49" s="228">
        <v>35.17</v>
      </c>
      <c r="DM49" s="228">
        <v>33.68</v>
      </c>
      <c r="DN49" s="228">
        <v>1.49</v>
      </c>
      <c r="DO49" s="228">
        <v>1.49</v>
      </c>
      <c r="DP49" s="228">
        <v>0.72</v>
      </c>
      <c r="DQ49" s="228">
        <v>0.73</v>
      </c>
      <c r="DR49" s="228">
        <v>-0.01</v>
      </c>
      <c r="DS49" s="229">
        <v>-1.37E-2</v>
      </c>
      <c r="DT49" s="228">
        <v>520</v>
      </c>
      <c r="DU49" s="228">
        <v>500</v>
      </c>
      <c r="DV49" s="228">
        <v>0.39</v>
      </c>
      <c r="DW49" s="228">
        <v>0.5</v>
      </c>
      <c r="DX49" s="228">
        <v>-0.11</v>
      </c>
      <c r="DY49" s="229">
        <v>-0.22</v>
      </c>
      <c r="DZ49" s="229">
        <v>5.4699999999999999E-2</v>
      </c>
      <c r="EA49" s="230">
        <v>1477500</v>
      </c>
      <c r="EB49" s="229">
        <v>6.3E-3</v>
      </c>
      <c r="EC49" s="229">
        <v>5.4699999999999999E-2</v>
      </c>
      <c r="ED49" s="228">
        <v>3.95</v>
      </c>
      <c r="EE49" s="229">
        <v>8.5000000000000006E-3</v>
      </c>
      <c r="EF49" s="230">
        <v>2428821</v>
      </c>
      <c r="EG49" s="230">
        <v>879232</v>
      </c>
      <c r="EH49" s="229">
        <v>1.7624</v>
      </c>
      <c r="EI49" s="229">
        <v>0.60260000000000002</v>
      </c>
      <c r="EJ49" s="231">
        <v>23511.08</v>
      </c>
      <c r="EK49" s="231">
        <v>8307.18</v>
      </c>
      <c r="EL49" s="231">
        <v>16158.35</v>
      </c>
      <c r="EM49" s="231">
        <v>2573</v>
      </c>
      <c r="EN49" s="231">
        <v>47976.61</v>
      </c>
      <c r="EO49" s="231">
        <v>51105.43</v>
      </c>
      <c r="EP49" s="231">
        <v>-3128.82</v>
      </c>
      <c r="EQ49" s="229">
        <v>-6.1199999999999997E-2</v>
      </c>
      <c r="ER49" s="231">
        <v>54496</v>
      </c>
      <c r="ES49" s="231">
        <v>37627</v>
      </c>
      <c r="ET49" s="231">
        <v>138155</v>
      </c>
      <c r="EU49" s="231">
        <v>51639257</v>
      </c>
      <c r="EV49" s="231">
        <v>230277</v>
      </c>
      <c r="EW49" s="231">
        <v>227118</v>
      </c>
      <c r="EX49" s="231">
        <v>3159</v>
      </c>
      <c r="EY49" s="229">
        <v>1.3899999999999999E-2</v>
      </c>
      <c r="EZ49" s="229">
        <v>0.91990000000000005</v>
      </c>
      <c r="FA49" s="227" t="s">
        <v>567</v>
      </c>
      <c r="FB49" s="161">
        <f t="shared" si="0"/>
        <v>1610000</v>
      </c>
    </row>
    <row r="50" spans="1:158" ht="17.25" thickBot="1" x14ac:dyDescent="0.3">
      <c r="A50" s="226">
        <v>46093</v>
      </c>
      <c r="B50" s="227" t="s">
        <v>184</v>
      </c>
      <c r="C50" s="227" t="s">
        <v>523</v>
      </c>
      <c r="D50" s="228">
        <v>1800</v>
      </c>
      <c r="E50" s="228">
        <v>247.7</v>
      </c>
      <c r="F50" s="228">
        <v>248.25</v>
      </c>
      <c r="G50" s="228">
        <v>-0.55000000000000004</v>
      </c>
      <c r="H50" s="229">
        <v>-2.2000000000000001E-3</v>
      </c>
      <c r="I50" s="228">
        <v>247.2</v>
      </c>
      <c r="J50" s="228">
        <v>247.5</v>
      </c>
      <c r="K50" s="228">
        <v>-0.3</v>
      </c>
      <c r="L50" s="229">
        <v>-1.1999999999999999E-3</v>
      </c>
      <c r="M50" s="228">
        <v>247.7</v>
      </c>
      <c r="N50" s="228">
        <v>248.25</v>
      </c>
      <c r="O50" s="228">
        <v>-0.55000000000000004</v>
      </c>
      <c r="P50" s="229">
        <v>-2.2000000000000001E-3</v>
      </c>
      <c r="Q50" s="228">
        <v>249.35</v>
      </c>
      <c r="R50" s="228">
        <v>250.05</v>
      </c>
      <c r="S50" s="228">
        <v>-0.7</v>
      </c>
      <c r="T50" s="229">
        <v>-2.8E-3</v>
      </c>
      <c r="U50" s="228">
        <v>250.6</v>
      </c>
      <c r="V50" s="228">
        <v>251</v>
      </c>
      <c r="W50" s="228">
        <v>-0.4</v>
      </c>
      <c r="X50" s="229">
        <v>-1.6000000000000001E-3</v>
      </c>
      <c r="Y50" s="228">
        <v>0.5</v>
      </c>
      <c r="Z50" s="228">
        <v>0.75</v>
      </c>
      <c r="AA50" s="228">
        <v>-0.25</v>
      </c>
      <c r="AB50" s="229">
        <v>2E-3</v>
      </c>
      <c r="AC50" s="228">
        <v>0.5</v>
      </c>
      <c r="AD50" s="228">
        <v>0.75</v>
      </c>
      <c r="AE50" s="228">
        <v>-0.25</v>
      </c>
      <c r="AF50" s="229">
        <v>2E-3</v>
      </c>
      <c r="AG50" s="228">
        <v>2.15</v>
      </c>
      <c r="AH50" s="228">
        <v>2.5499999999999998</v>
      </c>
      <c r="AI50" s="228">
        <v>-0.4</v>
      </c>
      <c r="AJ50" s="229">
        <v>8.6999999999999994E-3</v>
      </c>
      <c r="AK50" s="228">
        <v>3.4</v>
      </c>
      <c r="AL50" s="228">
        <v>3.5</v>
      </c>
      <c r="AM50" s="228">
        <v>-0.1</v>
      </c>
      <c r="AN50" s="229">
        <v>1.38E-2</v>
      </c>
      <c r="AO50" s="228">
        <v>249.43</v>
      </c>
      <c r="AP50" s="228">
        <v>251.52</v>
      </c>
      <c r="AQ50" s="228">
        <v>0</v>
      </c>
      <c r="AR50" s="230">
        <v>6566400</v>
      </c>
      <c r="AS50" s="230">
        <v>4041000</v>
      </c>
      <c r="AT50" s="230">
        <v>2525400</v>
      </c>
      <c r="AU50" s="229">
        <v>0.62490000000000001</v>
      </c>
      <c r="AV50" s="230">
        <v>5990400</v>
      </c>
      <c r="AW50" s="230">
        <v>3754800</v>
      </c>
      <c r="AX50" s="230">
        <v>2235600</v>
      </c>
      <c r="AY50" s="229">
        <v>0.59540000000000004</v>
      </c>
      <c r="AZ50" s="230">
        <v>536400</v>
      </c>
      <c r="BA50" s="230">
        <v>230400</v>
      </c>
      <c r="BB50" s="230">
        <v>306000</v>
      </c>
      <c r="BC50" s="229">
        <v>1.3281000000000001</v>
      </c>
      <c r="BD50" s="230">
        <v>39600</v>
      </c>
      <c r="BE50" s="230">
        <v>55800</v>
      </c>
      <c r="BF50" s="230">
        <v>-16200</v>
      </c>
      <c r="BG50" s="229">
        <v>-0.2903</v>
      </c>
      <c r="BH50" s="230">
        <v>12031200</v>
      </c>
      <c r="BI50" s="230">
        <v>5509800</v>
      </c>
      <c r="BJ50" s="230">
        <v>6521400</v>
      </c>
      <c r="BK50" s="229">
        <v>1.1836</v>
      </c>
      <c r="BL50" s="230">
        <v>3407400</v>
      </c>
      <c r="BM50" s="230">
        <v>1828800</v>
      </c>
      <c r="BN50" s="230">
        <v>1578600</v>
      </c>
      <c r="BO50" s="229">
        <v>0.86319999999999997</v>
      </c>
      <c r="BP50" s="230">
        <v>22005000</v>
      </c>
      <c r="BQ50" s="230">
        <v>11379600</v>
      </c>
      <c r="BR50" s="230">
        <v>10625400</v>
      </c>
      <c r="BS50" s="229">
        <v>0.93369999999999997</v>
      </c>
      <c r="BT50" s="230">
        <v>2606069</v>
      </c>
      <c r="BU50" s="230">
        <v>1456116</v>
      </c>
      <c r="BV50" s="230">
        <v>1149953</v>
      </c>
      <c r="BW50" s="229">
        <v>0.78969999999999996</v>
      </c>
      <c r="BX50" s="230">
        <v>46931400</v>
      </c>
      <c r="BY50" s="230">
        <v>46891800</v>
      </c>
      <c r="BZ50" s="230">
        <v>39600</v>
      </c>
      <c r="CA50" s="229">
        <v>8.0000000000000004E-4</v>
      </c>
      <c r="CB50" s="230">
        <v>45842400</v>
      </c>
      <c r="CC50" s="230">
        <v>45885600</v>
      </c>
      <c r="CD50" s="230">
        <v>-43200</v>
      </c>
      <c r="CE50" s="229">
        <v>-8.9999999999999998E-4</v>
      </c>
      <c r="CF50" s="230">
        <v>952200</v>
      </c>
      <c r="CG50" s="230">
        <v>874800</v>
      </c>
      <c r="CH50" s="230">
        <v>77400</v>
      </c>
      <c r="CI50" s="229">
        <v>8.8499999999999995E-2</v>
      </c>
      <c r="CJ50" s="230">
        <v>136800</v>
      </c>
      <c r="CK50" s="230">
        <v>131400</v>
      </c>
      <c r="CL50" s="230">
        <v>5400</v>
      </c>
      <c r="CM50" s="229">
        <v>4.1099999999999998E-2</v>
      </c>
      <c r="CN50" s="230">
        <v>9837000</v>
      </c>
      <c r="CO50" s="230">
        <v>9358200</v>
      </c>
      <c r="CP50" s="230">
        <v>478800</v>
      </c>
      <c r="CQ50" s="229">
        <v>5.1200000000000002E-2</v>
      </c>
      <c r="CR50" s="230">
        <v>5151600</v>
      </c>
      <c r="CS50" s="230">
        <v>4984200</v>
      </c>
      <c r="CT50" s="230">
        <v>167400</v>
      </c>
      <c r="CU50" s="229">
        <v>3.3599999999999998E-2</v>
      </c>
      <c r="CV50" s="230">
        <v>61920000</v>
      </c>
      <c r="CW50" s="230">
        <v>61234200</v>
      </c>
      <c r="CX50" s="230">
        <v>685800</v>
      </c>
      <c r="CY50" s="229">
        <v>1.12E-2</v>
      </c>
      <c r="CZ50" s="228">
        <v>33.01</v>
      </c>
      <c r="DA50" s="228">
        <v>32.799999999999997</v>
      </c>
      <c r="DB50" s="228">
        <v>0.21</v>
      </c>
      <c r="DC50" s="228">
        <v>0.21</v>
      </c>
      <c r="DD50" s="228">
        <v>32.39</v>
      </c>
      <c r="DE50" s="228">
        <v>32.47</v>
      </c>
      <c r="DF50" s="228">
        <v>0.62</v>
      </c>
      <c r="DG50" s="228">
        <v>-0.08</v>
      </c>
      <c r="DH50" s="228">
        <v>32.82</v>
      </c>
      <c r="DI50" s="228">
        <v>32.46</v>
      </c>
      <c r="DJ50" s="228">
        <v>0.36</v>
      </c>
      <c r="DK50" s="228">
        <v>0.36</v>
      </c>
      <c r="DL50" s="228">
        <v>33.71</v>
      </c>
      <c r="DM50" s="228">
        <v>33.83</v>
      </c>
      <c r="DN50" s="228">
        <v>-0.12</v>
      </c>
      <c r="DO50" s="228">
        <v>-0.12</v>
      </c>
      <c r="DP50" s="228">
        <v>0.52</v>
      </c>
      <c r="DQ50" s="228">
        <v>0.53</v>
      </c>
      <c r="DR50" s="228">
        <v>-0.01</v>
      </c>
      <c r="DS50" s="229">
        <v>-1.89E-2</v>
      </c>
      <c r="DT50" s="228">
        <v>270</v>
      </c>
      <c r="DU50" s="228">
        <v>250</v>
      </c>
      <c r="DV50" s="228">
        <v>0.28000000000000003</v>
      </c>
      <c r="DW50" s="228">
        <v>0.33</v>
      </c>
      <c r="DX50" s="228">
        <v>-0.05</v>
      </c>
      <c r="DY50" s="229">
        <v>-0.1515</v>
      </c>
      <c r="DZ50" s="229">
        <v>2.3199999999999998E-2</v>
      </c>
      <c r="EA50" s="230">
        <v>1006200</v>
      </c>
      <c r="EB50" s="229">
        <v>6.7000000000000002E-3</v>
      </c>
      <c r="EC50" s="229">
        <v>2.3199999999999998E-2</v>
      </c>
      <c r="ED50" s="228">
        <v>2.09</v>
      </c>
      <c r="EE50" s="229">
        <v>8.3999999999999995E-3</v>
      </c>
      <c r="EF50" s="230">
        <v>997869</v>
      </c>
      <c r="EG50" s="230">
        <v>545083</v>
      </c>
      <c r="EH50" s="229">
        <v>0.83069999999999999</v>
      </c>
      <c r="EI50" s="229">
        <v>0.38290000000000002</v>
      </c>
      <c r="EJ50" s="231">
        <v>31632.14</v>
      </c>
      <c r="EK50" s="231">
        <v>8484.66</v>
      </c>
      <c r="EL50" s="231">
        <v>16390.73</v>
      </c>
      <c r="EM50" s="231">
        <v>2205</v>
      </c>
      <c r="EN50" s="231">
        <v>56507.53</v>
      </c>
      <c r="EO50" s="231">
        <v>28937.97</v>
      </c>
      <c r="EP50" s="231">
        <v>27569.56</v>
      </c>
      <c r="EQ50" s="229">
        <v>0.95269999999999999</v>
      </c>
      <c r="ER50" s="231">
        <v>26688</v>
      </c>
      <c r="ES50" s="231">
        <v>13004</v>
      </c>
      <c r="ET50" s="231">
        <v>116269</v>
      </c>
      <c r="EU50" s="231">
        <v>96587231</v>
      </c>
      <c r="EV50" s="231">
        <v>155961</v>
      </c>
      <c r="EW50" s="231">
        <v>154502</v>
      </c>
      <c r="EX50" s="231">
        <v>1459</v>
      </c>
      <c r="EY50" s="229">
        <v>9.4000000000000004E-3</v>
      </c>
      <c r="EZ50" s="229">
        <v>0.6411</v>
      </c>
      <c r="FA50" s="227" t="s">
        <v>567</v>
      </c>
      <c r="FB50" s="161">
        <f t="shared" si="0"/>
        <v>1089000</v>
      </c>
    </row>
    <row r="51" spans="1:158" ht="17.25" thickBot="1" x14ac:dyDescent="0.3">
      <c r="A51" s="226">
        <v>46093</v>
      </c>
      <c r="B51" s="227" t="s">
        <v>184</v>
      </c>
      <c r="C51" s="227" t="s">
        <v>203</v>
      </c>
      <c r="D51" s="228">
        <v>200</v>
      </c>
      <c r="E51" s="231">
        <v>4759.5</v>
      </c>
      <c r="F51" s="231">
        <v>4634.8</v>
      </c>
      <c r="G51" s="228">
        <v>124.7</v>
      </c>
      <c r="H51" s="229">
        <v>2.69E-2</v>
      </c>
      <c r="I51" s="231">
        <v>4753.6000000000004</v>
      </c>
      <c r="J51" s="231">
        <v>4630.7</v>
      </c>
      <c r="K51" s="228">
        <v>122.9</v>
      </c>
      <c r="L51" s="229">
        <v>2.6499999999999999E-2</v>
      </c>
      <c r="M51" s="231">
        <v>4759.5</v>
      </c>
      <c r="N51" s="231">
        <v>4634.8</v>
      </c>
      <c r="O51" s="228">
        <v>124.7</v>
      </c>
      <c r="P51" s="229">
        <v>2.69E-2</v>
      </c>
      <c r="Q51" s="231">
        <v>4777.1000000000004</v>
      </c>
      <c r="R51" s="231">
        <v>4657.8999999999996</v>
      </c>
      <c r="S51" s="228">
        <v>119.2</v>
      </c>
      <c r="T51" s="229">
        <v>2.5600000000000001E-2</v>
      </c>
      <c r="U51" s="231">
        <v>4790.6000000000004</v>
      </c>
      <c r="V51" s="231">
        <v>4675.1000000000004</v>
      </c>
      <c r="W51" s="228">
        <v>115.5</v>
      </c>
      <c r="X51" s="229">
        <v>2.47E-2</v>
      </c>
      <c r="Y51" s="228">
        <v>5.9</v>
      </c>
      <c r="Z51" s="228">
        <v>4.0999999999999996</v>
      </c>
      <c r="AA51" s="228">
        <v>1.8</v>
      </c>
      <c r="AB51" s="229">
        <v>1.1999999999999999E-3</v>
      </c>
      <c r="AC51" s="228">
        <v>5.9</v>
      </c>
      <c r="AD51" s="228">
        <v>4.0999999999999996</v>
      </c>
      <c r="AE51" s="228">
        <v>1.8</v>
      </c>
      <c r="AF51" s="229">
        <v>1.1999999999999999E-3</v>
      </c>
      <c r="AG51" s="228">
        <v>23.5</v>
      </c>
      <c r="AH51" s="228">
        <v>27.2</v>
      </c>
      <c r="AI51" s="228">
        <v>-3.7</v>
      </c>
      <c r="AJ51" s="229">
        <v>4.8999999999999998E-3</v>
      </c>
      <c r="AK51" s="228">
        <v>37</v>
      </c>
      <c r="AL51" s="228">
        <v>44.4</v>
      </c>
      <c r="AM51" s="228">
        <v>-7.4</v>
      </c>
      <c r="AN51" s="229">
        <v>7.7999999999999996E-3</v>
      </c>
      <c r="AO51" s="231">
        <v>4683.21</v>
      </c>
      <c r="AP51" s="231">
        <v>4696.71</v>
      </c>
      <c r="AQ51" s="228">
        <v>0</v>
      </c>
      <c r="AR51" s="230">
        <v>937200</v>
      </c>
      <c r="AS51" s="230">
        <v>676400</v>
      </c>
      <c r="AT51" s="230">
        <v>260800</v>
      </c>
      <c r="AU51" s="229">
        <v>0.3856</v>
      </c>
      <c r="AV51" s="230">
        <v>892600</v>
      </c>
      <c r="AW51" s="230">
        <v>626000</v>
      </c>
      <c r="AX51" s="230">
        <v>266600</v>
      </c>
      <c r="AY51" s="229">
        <v>0.4259</v>
      </c>
      <c r="AZ51" s="230">
        <v>40400</v>
      </c>
      <c r="BA51" s="230">
        <v>38600</v>
      </c>
      <c r="BB51" s="230">
        <v>1800</v>
      </c>
      <c r="BC51" s="229">
        <v>4.6600000000000003E-2</v>
      </c>
      <c r="BD51" s="230">
        <v>4200</v>
      </c>
      <c r="BE51" s="230">
        <v>11800</v>
      </c>
      <c r="BF51" s="230">
        <v>-7600</v>
      </c>
      <c r="BG51" s="229">
        <v>-0.64410000000000001</v>
      </c>
      <c r="BH51" s="230">
        <v>3426600</v>
      </c>
      <c r="BI51" s="230">
        <v>3062200</v>
      </c>
      <c r="BJ51" s="230">
        <v>364400</v>
      </c>
      <c r="BK51" s="229">
        <v>0.11899999999999999</v>
      </c>
      <c r="BL51" s="230">
        <v>1613200</v>
      </c>
      <c r="BM51" s="230">
        <v>903800</v>
      </c>
      <c r="BN51" s="230">
        <v>709400</v>
      </c>
      <c r="BO51" s="229">
        <v>0.78490000000000004</v>
      </c>
      <c r="BP51" s="230">
        <v>5977000</v>
      </c>
      <c r="BQ51" s="230">
        <v>4642400</v>
      </c>
      <c r="BR51" s="230">
        <v>1334600</v>
      </c>
      <c r="BS51" s="229">
        <v>0.28749999999999998</v>
      </c>
      <c r="BT51" s="230">
        <v>1074903</v>
      </c>
      <c r="BU51" s="230">
        <v>463998</v>
      </c>
      <c r="BV51" s="230">
        <v>610905</v>
      </c>
      <c r="BW51" s="229">
        <v>1.3166</v>
      </c>
      <c r="BX51" s="230">
        <v>3479800</v>
      </c>
      <c r="BY51" s="230">
        <v>3490200</v>
      </c>
      <c r="BZ51" s="230">
        <v>-10400</v>
      </c>
      <c r="CA51" s="229">
        <v>-3.0000000000000001E-3</v>
      </c>
      <c r="CB51" s="230">
        <v>3432000</v>
      </c>
      <c r="CC51" s="230">
        <v>3445600</v>
      </c>
      <c r="CD51" s="230">
        <v>-13600</v>
      </c>
      <c r="CE51" s="229">
        <v>-3.8999999999999998E-3</v>
      </c>
      <c r="CF51" s="230">
        <v>42200</v>
      </c>
      <c r="CG51" s="230">
        <v>39800</v>
      </c>
      <c r="CH51" s="230">
        <v>2400</v>
      </c>
      <c r="CI51" s="229">
        <v>6.0299999999999999E-2</v>
      </c>
      <c r="CJ51" s="230">
        <v>5600</v>
      </c>
      <c r="CK51" s="230">
        <v>4800</v>
      </c>
      <c r="CL51" s="228">
        <v>800</v>
      </c>
      <c r="CM51" s="229">
        <v>0.16669999999999999</v>
      </c>
      <c r="CN51" s="230">
        <v>1066800</v>
      </c>
      <c r="CO51" s="230">
        <v>1098800</v>
      </c>
      <c r="CP51" s="230">
        <v>-32000</v>
      </c>
      <c r="CQ51" s="229">
        <v>-2.9100000000000001E-2</v>
      </c>
      <c r="CR51" s="230">
        <v>808200</v>
      </c>
      <c r="CS51" s="230">
        <v>762200</v>
      </c>
      <c r="CT51" s="230">
        <v>46000</v>
      </c>
      <c r="CU51" s="229">
        <v>6.0400000000000002E-2</v>
      </c>
      <c r="CV51" s="230">
        <v>5354800</v>
      </c>
      <c r="CW51" s="230">
        <v>5351200</v>
      </c>
      <c r="CX51" s="230">
        <v>3600</v>
      </c>
      <c r="CY51" s="229">
        <v>6.9999999999999999E-4</v>
      </c>
      <c r="CZ51" s="228">
        <v>36.119999999999997</v>
      </c>
      <c r="DA51" s="228">
        <v>35.86</v>
      </c>
      <c r="DB51" s="228">
        <v>0.26</v>
      </c>
      <c r="DC51" s="228">
        <v>0.26</v>
      </c>
      <c r="DD51" s="228">
        <v>34.82</v>
      </c>
      <c r="DE51" s="228">
        <v>34.72</v>
      </c>
      <c r="DF51" s="228">
        <v>1.3</v>
      </c>
      <c r="DG51" s="228">
        <v>0.1</v>
      </c>
      <c r="DH51" s="228">
        <v>34.729999999999997</v>
      </c>
      <c r="DI51" s="228">
        <v>35.65</v>
      </c>
      <c r="DJ51" s="228">
        <v>-0.92</v>
      </c>
      <c r="DK51" s="228">
        <v>-0.92</v>
      </c>
      <c r="DL51" s="228">
        <v>39.07</v>
      </c>
      <c r="DM51" s="228">
        <v>36.6</v>
      </c>
      <c r="DN51" s="228">
        <v>2.4700000000000002</v>
      </c>
      <c r="DO51" s="228">
        <v>2.4700000000000002</v>
      </c>
      <c r="DP51" s="228">
        <v>0.76</v>
      </c>
      <c r="DQ51" s="228">
        <v>0.69</v>
      </c>
      <c r="DR51" s="228">
        <v>7.0000000000000007E-2</v>
      </c>
      <c r="DS51" s="229">
        <v>0.1014</v>
      </c>
      <c r="DT51" s="231">
        <v>5000</v>
      </c>
      <c r="DU51" s="231">
        <v>4500</v>
      </c>
      <c r="DV51" s="228">
        <v>0.47</v>
      </c>
      <c r="DW51" s="228">
        <v>0.3</v>
      </c>
      <c r="DX51" s="228">
        <v>0.17</v>
      </c>
      <c r="DY51" s="229">
        <v>0.56669999999999998</v>
      </c>
      <c r="DZ51" s="229">
        <v>1.37E-2</v>
      </c>
      <c r="EA51" s="230">
        <v>44600</v>
      </c>
      <c r="EB51" s="229">
        <v>3.7000000000000002E-3</v>
      </c>
      <c r="EC51" s="229">
        <v>1.37E-2</v>
      </c>
      <c r="ED51" s="228">
        <v>13.5</v>
      </c>
      <c r="EE51" s="229">
        <v>2.8999999999999998E-3</v>
      </c>
      <c r="EF51" s="230">
        <v>618630</v>
      </c>
      <c r="EG51" s="230">
        <v>239009</v>
      </c>
      <c r="EH51" s="229">
        <v>1.5883</v>
      </c>
      <c r="EI51" s="229">
        <v>0.57550000000000001</v>
      </c>
      <c r="EJ51" s="231">
        <v>173866.98</v>
      </c>
      <c r="EK51" s="231">
        <v>73356.34</v>
      </c>
      <c r="EL51" s="231">
        <v>43896.13</v>
      </c>
      <c r="EM51" s="231">
        <v>3932</v>
      </c>
      <c r="EN51" s="231">
        <v>291119.45</v>
      </c>
      <c r="EO51" s="231">
        <v>227932.16</v>
      </c>
      <c r="EP51" s="231">
        <v>63187.29</v>
      </c>
      <c r="EQ51" s="229">
        <v>0.2772</v>
      </c>
      <c r="ER51" s="231">
        <v>53209</v>
      </c>
      <c r="ES51" s="231">
        <v>36482</v>
      </c>
      <c r="ET51" s="231">
        <v>165630</v>
      </c>
      <c r="EU51" s="231">
        <v>19131188</v>
      </c>
      <c r="EV51" s="231">
        <v>255321</v>
      </c>
      <c r="EW51" s="231">
        <v>251008</v>
      </c>
      <c r="EX51" s="231">
        <v>4313</v>
      </c>
      <c r="EY51" s="229">
        <v>1.72E-2</v>
      </c>
      <c r="EZ51" s="229">
        <v>0.27989999999999998</v>
      </c>
      <c r="FA51" s="227" t="s">
        <v>556</v>
      </c>
      <c r="FB51" s="161">
        <f t="shared" si="0"/>
        <v>47800</v>
      </c>
    </row>
    <row r="52" spans="1:158" ht="17.25" thickBot="1" x14ac:dyDescent="0.3">
      <c r="A52" s="226">
        <v>46093</v>
      </c>
      <c r="B52" s="227" t="s">
        <v>168</v>
      </c>
      <c r="C52" s="227" t="s">
        <v>204</v>
      </c>
      <c r="D52" s="228">
        <v>1250</v>
      </c>
      <c r="E52" s="228">
        <v>461.4</v>
      </c>
      <c r="F52" s="228">
        <v>472.35</v>
      </c>
      <c r="G52" s="228">
        <v>-10.95</v>
      </c>
      <c r="H52" s="229">
        <v>-2.3199999999999998E-2</v>
      </c>
      <c r="I52" s="228">
        <v>459.35</v>
      </c>
      <c r="J52" s="228">
        <v>471.85</v>
      </c>
      <c r="K52" s="228">
        <v>-12.5</v>
      </c>
      <c r="L52" s="229">
        <v>-2.6499999999999999E-2</v>
      </c>
      <c r="M52" s="228">
        <v>461.4</v>
      </c>
      <c r="N52" s="228">
        <v>472.35</v>
      </c>
      <c r="O52" s="228">
        <v>-10.95</v>
      </c>
      <c r="P52" s="229">
        <v>-2.3199999999999998E-2</v>
      </c>
      <c r="Q52" s="228">
        <v>464.1</v>
      </c>
      <c r="R52" s="228">
        <v>475.45</v>
      </c>
      <c r="S52" s="228">
        <v>-11.35</v>
      </c>
      <c r="T52" s="229">
        <v>-2.3900000000000001E-2</v>
      </c>
      <c r="U52" s="228">
        <v>465.75</v>
      </c>
      <c r="V52" s="228">
        <v>480</v>
      </c>
      <c r="W52" s="228">
        <v>-14.25</v>
      </c>
      <c r="X52" s="229">
        <v>-2.9700000000000001E-2</v>
      </c>
      <c r="Y52" s="228">
        <v>2.0499999999999998</v>
      </c>
      <c r="Z52" s="228">
        <v>0.5</v>
      </c>
      <c r="AA52" s="228">
        <v>1.55</v>
      </c>
      <c r="AB52" s="229">
        <v>4.4999999999999997E-3</v>
      </c>
      <c r="AC52" s="228">
        <v>2.0499999999999998</v>
      </c>
      <c r="AD52" s="228">
        <v>0.5</v>
      </c>
      <c r="AE52" s="228">
        <v>1.55</v>
      </c>
      <c r="AF52" s="229">
        <v>4.4999999999999997E-3</v>
      </c>
      <c r="AG52" s="228">
        <v>4.75</v>
      </c>
      <c r="AH52" s="228">
        <v>3.6</v>
      </c>
      <c r="AI52" s="228">
        <v>1.1499999999999999</v>
      </c>
      <c r="AJ52" s="229">
        <v>1.03E-2</v>
      </c>
      <c r="AK52" s="228">
        <v>6.4</v>
      </c>
      <c r="AL52" s="228">
        <v>8.15</v>
      </c>
      <c r="AM52" s="228">
        <v>-1.75</v>
      </c>
      <c r="AN52" s="229">
        <v>1.3899999999999999E-2</v>
      </c>
      <c r="AO52" s="228">
        <v>462.22</v>
      </c>
      <c r="AP52" s="228">
        <v>465.32</v>
      </c>
      <c r="AQ52" s="228">
        <v>0</v>
      </c>
      <c r="AR52" s="230">
        <v>2638750</v>
      </c>
      <c r="AS52" s="230">
        <v>2243750</v>
      </c>
      <c r="AT52" s="230">
        <v>395000</v>
      </c>
      <c r="AU52" s="229">
        <v>0.17599999999999999</v>
      </c>
      <c r="AV52" s="230">
        <v>2318750</v>
      </c>
      <c r="AW52" s="230">
        <v>2130000</v>
      </c>
      <c r="AX52" s="230">
        <v>188750</v>
      </c>
      <c r="AY52" s="229">
        <v>8.8599999999999998E-2</v>
      </c>
      <c r="AZ52" s="230">
        <v>263750</v>
      </c>
      <c r="BA52" s="230">
        <v>98750</v>
      </c>
      <c r="BB52" s="230">
        <v>165000</v>
      </c>
      <c r="BC52" s="229">
        <v>1.6709000000000001</v>
      </c>
      <c r="BD52" s="230">
        <v>56250</v>
      </c>
      <c r="BE52" s="230">
        <v>15000</v>
      </c>
      <c r="BF52" s="230">
        <v>41250</v>
      </c>
      <c r="BG52" s="229">
        <v>2.75</v>
      </c>
      <c r="BH52" s="230">
        <v>7536250</v>
      </c>
      <c r="BI52" s="230">
        <v>4013750</v>
      </c>
      <c r="BJ52" s="230">
        <v>3522500</v>
      </c>
      <c r="BK52" s="229">
        <v>0.87760000000000005</v>
      </c>
      <c r="BL52" s="230">
        <v>6766250</v>
      </c>
      <c r="BM52" s="230">
        <v>3801250</v>
      </c>
      <c r="BN52" s="230">
        <v>2965000</v>
      </c>
      <c r="BO52" s="229">
        <v>0.78</v>
      </c>
      <c r="BP52" s="230">
        <v>16941250</v>
      </c>
      <c r="BQ52" s="230">
        <v>10058750</v>
      </c>
      <c r="BR52" s="230">
        <v>6882500</v>
      </c>
      <c r="BS52" s="229">
        <v>0.68420000000000003</v>
      </c>
      <c r="BT52" s="230">
        <v>1807115</v>
      </c>
      <c r="BU52" s="230">
        <v>900422</v>
      </c>
      <c r="BV52" s="230">
        <v>906693</v>
      </c>
      <c r="BW52" s="229">
        <v>1.0069999999999999</v>
      </c>
      <c r="BX52" s="230">
        <v>25821250</v>
      </c>
      <c r="BY52" s="230">
        <v>25377500</v>
      </c>
      <c r="BZ52" s="230">
        <v>443750</v>
      </c>
      <c r="CA52" s="229">
        <v>1.7500000000000002E-2</v>
      </c>
      <c r="CB52" s="230">
        <v>25122500</v>
      </c>
      <c r="CC52" s="230">
        <v>24782500</v>
      </c>
      <c r="CD52" s="230">
        <v>340000</v>
      </c>
      <c r="CE52" s="229">
        <v>1.37E-2</v>
      </c>
      <c r="CF52" s="230">
        <v>575000</v>
      </c>
      <c r="CG52" s="230">
        <v>495000</v>
      </c>
      <c r="CH52" s="230">
        <v>80000</v>
      </c>
      <c r="CI52" s="229">
        <v>0.16159999999999999</v>
      </c>
      <c r="CJ52" s="230">
        <v>123750</v>
      </c>
      <c r="CK52" s="230">
        <v>100000</v>
      </c>
      <c r="CL52" s="230">
        <v>23750</v>
      </c>
      <c r="CM52" s="229">
        <v>0.23749999999999999</v>
      </c>
      <c r="CN52" s="230">
        <v>11450000</v>
      </c>
      <c r="CO52" s="230">
        <v>10477500</v>
      </c>
      <c r="CP52" s="230">
        <v>972500</v>
      </c>
      <c r="CQ52" s="229">
        <v>9.2799999999999994E-2</v>
      </c>
      <c r="CR52" s="230">
        <v>6196250</v>
      </c>
      <c r="CS52" s="230">
        <v>5852500</v>
      </c>
      <c r="CT52" s="230">
        <v>343750</v>
      </c>
      <c r="CU52" s="229">
        <v>5.8700000000000002E-2</v>
      </c>
      <c r="CV52" s="230">
        <v>43467500</v>
      </c>
      <c r="CW52" s="230">
        <v>41707500</v>
      </c>
      <c r="CX52" s="230">
        <v>1760000</v>
      </c>
      <c r="CY52" s="229">
        <v>4.2200000000000001E-2</v>
      </c>
      <c r="CZ52" s="228">
        <v>29.41</v>
      </c>
      <c r="DA52" s="228">
        <v>28.68</v>
      </c>
      <c r="DB52" s="228">
        <v>0.73</v>
      </c>
      <c r="DC52" s="228">
        <v>0.73</v>
      </c>
      <c r="DD52" s="228">
        <v>25.3</v>
      </c>
      <c r="DE52" s="228">
        <v>25.16</v>
      </c>
      <c r="DF52" s="228">
        <v>4.1100000000000003</v>
      </c>
      <c r="DG52" s="228">
        <v>0.14000000000000001</v>
      </c>
      <c r="DH52" s="228">
        <v>29.68</v>
      </c>
      <c r="DI52" s="228">
        <v>28.25</v>
      </c>
      <c r="DJ52" s="228">
        <v>1.43</v>
      </c>
      <c r="DK52" s="228">
        <v>1.43</v>
      </c>
      <c r="DL52" s="228">
        <v>29.12</v>
      </c>
      <c r="DM52" s="228">
        <v>29.14</v>
      </c>
      <c r="DN52" s="228">
        <v>-0.02</v>
      </c>
      <c r="DO52" s="228">
        <v>-0.02</v>
      </c>
      <c r="DP52" s="228">
        <v>0.54</v>
      </c>
      <c r="DQ52" s="228">
        <v>0.56000000000000005</v>
      </c>
      <c r="DR52" s="228">
        <v>-0.02</v>
      </c>
      <c r="DS52" s="229">
        <v>-3.5700000000000003E-2</v>
      </c>
      <c r="DT52" s="228">
        <v>520</v>
      </c>
      <c r="DU52" s="228">
        <v>440</v>
      </c>
      <c r="DV52" s="228">
        <v>0.9</v>
      </c>
      <c r="DW52" s="228">
        <v>0.95</v>
      </c>
      <c r="DX52" s="228">
        <v>-0.05</v>
      </c>
      <c r="DY52" s="229">
        <v>-5.2600000000000001E-2</v>
      </c>
      <c r="DZ52" s="229">
        <v>2.7099999999999999E-2</v>
      </c>
      <c r="EA52" s="230">
        <v>595000</v>
      </c>
      <c r="EB52" s="229">
        <v>5.8999999999999999E-3</v>
      </c>
      <c r="EC52" s="229">
        <v>2.7099999999999999E-2</v>
      </c>
      <c r="ED52" s="228">
        <v>3.1</v>
      </c>
      <c r="EE52" s="229">
        <v>6.7000000000000002E-3</v>
      </c>
      <c r="EF52" s="230">
        <v>1106252</v>
      </c>
      <c r="EG52" s="230">
        <v>466661</v>
      </c>
      <c r="EH52" s="229">
        <v>1.3706</v>
      </c>
      <c r="EI52" s="229">
        <v>0.61219999999999997</v>
      </c>
      <c r="EJ52" s="231">
        <v>37571.839999999997</v>
      </c>
      <c r="EK52" s="231">
        <v>31682.32</v>
      </c>
      <c r="EL52" s="231">
        <v>12208.45</v>
      </c>
      <c r="EM52" s="231">
        <v>2065</v>
      </c>
      <c r="EN52" s="231">
        <v>81462.61</v>
      </c>
      <c r="EO52" s="231">
        <v>48861.73</v>
      </c>
      <c r="EP52" s="231">
        <v>32600.880000000001</v>
      </c>
      <c r="EQ52" s="229">
        <v>0.66720000000000002</v>
      </c>
      <c r="ER52" s="231">
        <v>59625</v>
      </c>
      <c r="ES52" s="231">
        <v>29357</v>
      </c>
      <c r="ET52" s="231">
        <v>119160</v>
      </c>
      <c r="EU52" s="231">
        <v>89873278</v>
      </c>
      <c r="EV52" s="231">
        <v>208142</v>
      </c>
      <c r="EW52" s="231">
        <v>202789</v>
      </c>
      <c r="EX52" s="231">
        <v>5353</v>
      </c>
      <c r="EY52" s="229">
        <v>2.64E-2</v>
      </c>
      <c r="EZ52" s="229">
        <v>0.48370000000000002</v>
      </c>
      <c r="FA52" s="227" t="s">
        <v>567</v>
      </c>
      <c r="FB52" s="161">
        <f t="shared" si="0"/>
        <v>698750</v>
      </c>
    </row>
    <row r="53" spans="1:158" ht="17.25" thickBot="1" x14ac:dyDescent="0.3">
      <c r="A53" s="226">
        <v>46093</v>
      </c>
      <c r="B53" s="227" t="s">
        <v>157</v>
      </c>
      <c r="C53" s="227" t="s">
        <v>524</v>
      </c>
      <c r="D53" s="228">
        <v>325</v>
      </c>
      <c r="E53" s="231">
        <v>1896.3</v>
      </c>
      <c r="F53" s="231">
        <v>1857.8</v>
      </c>
      <c r="G53" s="228">
        <v>38.5</v>
      </c>
      <c r="H53" s="229">
        <v>2.07E-2</v>
      </c>
      <c r="I53" s="231">
        <v>1894.5</v>
      </c>
      <c r="J53" s="231">
        <v>1855.9</v>
      </c>
      <c r="K53" s="228">
        <v>38.6</v>
      </c>
      <c r="L53" s="229">
        <v>2.0799999999999999E-2</v>
      </c>
      <c r="M53" s="231">
        <v>1896.3</v>
      </c>
      <c r="N53" s="231">
        <v>1857.8</v>
      </c>
      <c r="O53" s="228">
        <v>38.5</v>
      </c>
      <c r="P53" s="229">
        <v>2.07E-2</v>
      </c>
      <c r="Q53" s="231">
        <v>1909.6</v>
      </c>
      <c r="R53" s="231">
        <v>1871.1</v>
      </c>
      <c r="S53" s="228">
        <v>38.5</v>
      </c>
      <c r="T53" s="229">
        <v>2.06E-2</v>
      </c>
      <c r="U53" s="231">
        <v>1895</v>
      </c>
      <c r="V53" s="231">
        <v>1909</v>
      </c>
      <c r="W53" s="228">
        <v>-14</v>
      </c>
      <c r="X53" s="229">
        <v>-7.3000000000000001E-3</v>
      </c>
      <c r="Y53" s="228">
        <v>1.8</v>
      </c>
      <c r="Z53" s="228">
        <v>1.9</v>
      </c>
      <c r="AA53" s="228">
        <v>-0.1</v>
      </c>
      <c r="AB53" s="229">
        <v>1E-3</v>
      </c>
      <c r="AC53" s="228">
        <v>1.8</v>
      </c>
      <c r="AD53" s="228">
        <v>1.9</v>
      </c>
      <c r="AE53" s="228">
        <v>-0.1</v>
      </c>
      <c r="AF53" s="229">
        <v>1E-3</v>
      </c>
      <c r="AG53" s="228">
        <v>15.1</v>
      </c>
      <c r="AH53" s="228">
        <v>15.2</v>
      </c>
      <c r="AI53" s="228">
        <v>-0.1</v>
      </c>
      <c r="AJ53" s="229">
        <v>8.0000000000000002E-3</v>
      </c>
      <c r="AK53" s="228">
        <v>0.5</v>
      </c>
      <c r="AL53" s="228">
        <v>53.1</v>
      </c>
      <c r="AM53" s="228">
        <v>-52.6</v>
      </c>
      <c r="AN53" s="229">
        <v>2.9999999999999997E-4</v>
      </c>
      <c r="AO53" s="231">
        <v>1879.03</v>
      </c>
      <c r="AP53" s="231">
        <v>1903.89</v>
      </c>
      <c r="AQ53" s="228">
        <v>0</v>
      </c>
      <c r="AR53" s="230">
        <v>952575</v>
      </c>
      <c r="AS53" s="230">
        <v>969475</v>
      </c>
      <c r="AT53" s="230">
        <v>-16900</v>
      </c>
      <c r="AU53" s="229">
        <v>-1.7399999999999999E-2</v>
      </c>
      <c r="AV53" s="230">
        <v>847600</v>
      </c>
      <c r="AW53" s="230">
        <v>839150</v>
      </c>
      <c r="AX53" s="230">
        <v>8450</v>
      </c>
      <c r="AY53" s="229">
        <v>1.01E-2</v>
      </c>
      <c r="AZ53" s="230">
        <v>104325</v>
      </c>
      <c r="BA53" s="230">
        <v>129350</v>
      </c>
      <c r="BB53" s="230">
        <v>-25025</v>
      </c>
      <c r="BC53" s="229">
        <v>-0.19350000000000001</v>
      </c>
      <c r="BD53" s="228">
        <v>650</v>
      </c>
      <c r="BE53" s="228">
        <v>975</v>
      </c>
      <c r="BF53" s="228">
        <v>-325</v>
      </c>
      <c r="BG53" s="229">
        <v>-0.33329999999999999</v>
      </c>
      <c r="BH53" s="230">
        <v>1589575</v>
      </c>
      <c r="BI53" s="230">
        <v>1755650</v>
      </c>
      <c r="BJ53" s="230">
        <v>-166075</v>
      </c>
      <c r="BK53" s="229">
        <v>-9.4600000000000004E-2</v>
      </c>
      <c r="BL53" s="230">
        <v>6528275</v>
      </c>
      <c r="BM53" s="230">
        <v>2702050</v>
      </c>
      <c r="BN53" s="230">
        <v>3826225</v>
      </c>
      <c r="BO53" s="229">
        <v>1.4159999999999999</v>
      </c>
      <c r="BP53" s="230">
        <v>9070425</v>
      </c>
      <c r="BQ53" s="230">
        <v>5427175</v>
      </c>
      <c r="BR53" s="230">
        <v>3643250</v>
      </c>
      <c r="BS53" s="229">
        <v>0.67130000000000001</v>
      </c>
      <c r="BT53" s="230">
        <v>361309</v>
      </c>
      <c r="BU53" s="230">
        <v>405298</v>
      </c>
      <c r="BV53" s="230">
        <v>-43989</v>
      </c>
      <c r="BW53" s="229">
        <v>-0.1085</v>
      </c>
      <c r="BX53" s="230">
        <v>2274350</v>
      </c>
      <c r="BY53" s="230">
        <v>2284750</v>
      </c>
      <c r="BZ53" s="230">
        <v>-10400</v>
      </c>
      <c r="CA53" s="229">
        <v>-4.5999999999999999E-3</v>
      </c>
      <c r="CB53" s="230">
        <v>2095275</v>
      </c>
      <c r="CC53" s="230">
        <v>2180425</v>
      </c>
      <c r="CD53" s="230">
        <v>-85150</v>
      </c>
      <c r="CE53" s="229">
        <v>-3.9100000000000003E-2</v>
      </c>
      <c r="CF53" s="230">
        <v>172575</v>
      </c>
      <c r="CG53" s="230">
        <v>97500</v>
      </c>
      <c r="CH53" s="230">
        <v>75075</v>
      </c>
      <c r="CI53" s="229">
        <v>0.77</v>
      </c>
      <c r="CJ53" s="230">
        <v>6500</v>
      </c>
      <c r="CK53" s="230">
        <v>6825</v>
      </c>
      <c r="CL53" s="228">
        <v>-325</v>
      </c>
      <c r="CM53" s="229">
        <v>-4.7600000000000003E-2</v>
      </c>
      <c r="CN53" s="230">
        <v>1438450</v>
      </c>
      <c r="CO53" s="230">
        <v>1257425</v>
      </c>
      <c r="CP53" s="230">
        <v>181025</v>
      </c>
      <c r="CQ53" s="229">
        <v>0.14399999999999999</v>
      </c>
      <c r="CR53" s="230">
        <v>1928550</v>
      </c>
      <c r="CS53" s="230">
        <v>1510925</v>
      </c>
      <c r="CT53" s="230">
        <v>417625</v>
      </c>
      <c r="CU53" s="229">
        <v>0.27639999999999998</v>
      </c>
      <c r="CV53" s="230">
        <v>5641350</v>
      </c>
      <c r="CW53" s="230">
        <v>5053100</v>
      </c>
      <c r="CX53" s="230">
        <v>588250</v>
      </c>
      <c r="CY53" s="229">
        <v>0.1164</v>
      </c>
      <c r="CZ53" s="228">
        <v>38.409999999999997</v>
      </c>
      <c r="DA53" s="228">
        <v>38.04</v>
      </c>
      <c r="DB53" s="228">
        <v>0.37</v>
      </c>
      <c r="DC53" s="228">
        <v>0.37</v>
      </c>
      <c r="DD53" s="228">
        <v>30.79</v>
      </c>
      <c r="DE53" s="228">
        <v>30.74</v>
      </c>
      <c r="DF53" s="228">
        <v>7.62</v>
      </c>
      <c r="DG53" s="228">
        <v>0.05</v>
      </c>
      <c r="DH53" s="228">
        <v>33.61</v>
      </c>
      <c r="DI53" s="228">
        <v>35.33</v>
      </c>
      <c r="DJ53" s="228">
        <v>-1.72</v>
      </c>
      <c r="DK53" s="228">
        <v>-1.72</v>
      </c>
      <c r="DL53" s="228">
        <v>39.57</v>
      </c>
      <c r="DM53" s="228">
        <v>39.799999999999997</v>
      </c>
      <c r="DN53" s="228">
        <v>-0.23</v>
      </c>
      <c r="DO53" s="228">
        <v>-0.23</v>
      </c>
      <c r="DP53" s="228">
        <v>1.34</v>
      </c>
      <c r="DQ53" s="228">
        <v>1.2</v>
      </c>
      <c r="DR53" s="228">
        <v>0.14000000000000001</v>
      </c>
      <c r="DS53" s="229">
        <v>0.1167</v>
      </c>
      <c r="DT53" s="231">
        <v>2100</v>
      </c>
      <c r="DU53" s="231">
        <v>1840</v>
      </c>
      <c r="DV53" s="228">
        <v>4.1100000000000003</v>
      </c>
      <c r="DW53" s="228">
        <v>1.54</v>
      </c>
      <c r="DX53" s="228">
        <v>2.57</v>
      </c>
      <c r="DY53" s="229">
        <v>1.6688000000000001</v>
      </c>
      <c r="DZ53" s="229">
        <v>7.8700000000000006E-2</v>
      </c>
      <c r="EA53" s="230">
        <v>104325</v>
      </c>
      <c r="EB53" s="229">
        <v>7.0000000000000001E-3</v>
      </c>
      <c r="EC53" s="229">
        <v>7.8700000000000006E-2</v>
      </c>
      <c r="ED53" s="228">
        <v>24.86</v>
      </c>
      <c r="EE53" s="229">
        <v>1.32E-2</v>
      </c>
      <c r="EF53" s="230">
        <v>210715</v>
      </c>
      <c r="EG53" s="230">
        <v>173561</v>
      </c>
      <c r="EH53" s="229">
        <v>0.21410000000000001</v>
      </c>
      <c r="EI53" s="229">
        <v>0.58320000000000005</v>
      </c>
      <c r="EJ53" s="231">
        <v>31405.7</v>
      </c>
      <c r="EK53" s="231">
        <v>120078.52</v>
      </c>
      <c r="EL53" s="231">
        <v>17925.21</v>
      </c>
      <c r="EM53" s="231">
        <v>1723</v>
      </c>
      <c r="EN53" s="231">
        <v>169409.43</v>
      </c>
      <c r="EO53" s="231">
        <v>102342.94</v>
      </c>
      <c r="EP53" s="231">
        <v>67066.490000000005</v>
      </c>
      <c r="EQ53" s="229">
        <v>0.65529999999999999</v>
      </c>
      <c r="ER53" s="231">
        <v>29362</v>
      </c>
      <c r="ES53" s="231">
        <v>35534</v>
      </c>
      <c r="ET53" s="231">
        <v>43151</v>
      </c>
      <c r="EU53" s="231">
        <v>12425041</v>
      </c>
      <c r="EV53" s="231">
        <v>108047</v>
      </c>
      <c r="EW53" s="231">
        <v>95825</v>
      </c>
      <c r="EX53" s="231">
        <v>12222</v>
      </c>
      <c r="EY53" s="229">
        <v>0.1275</v>
      </c>
      <c r="EZ53" s="229">
        <v>0.45400000000000001</v>
      </c>
      <c r="FA53" s="227" t="s">
        <v>556</v>
      </c>
      <c r="FB53" s="161">
        <f t="shared" si="0"/>
        <v>179075</v>
      </c>
    </row>
    <row r="54" spans="1:158" ht="17.25" thickBot="1" x14ac:dyDescent="0.3">
      <c r="A54" s="226">
        <v>46093</v>
      </c>
      <c r="B54" s="227" t="s">
        <v>615</v>
      </c>
      <c r="C54" s="227" t="s">
        <v>600</v>
      </c>
      <c r="D54" s="228">
        <v>2075</v>
      </c>
      <c r="E54" s="228">
        <v>409.9</v>
      </c>
      <c r="F54" s="228">
        <v>418.65</v>
      </c>
      <c r="G54" s="228">
        <v>-8.75</v>
      </c>
      <c r="H54" s="229">
        <v>-2.0899999999999998E-2</v>
      </c>
      <c r="I54" s="228">
        <v>408.2</v>
      </c>
      <c r="J54" s="228">
        <v>417.95</v>
      </c>
      <c r="K54" s="228">
        <v>-9.75</v>
      </c>
      <c r="L54" s="229">
        <v>-2.3300000000000001E-2</v>
      </c>
      <c r="M54" s="228">
        <v>409.9</v>
      </c>
      <c r="N54" s="228">
        <v>418.65</v>
      </c>
      <c r="O54" s="228">
        <v>-8.75</v>
      </c>
      <c r="P54" s="229">
        <v>-2.0899999999999998E-2</v>
      </c>
      <c r="Q54" s="228">
        <v>411.95</v>
      </c>
      <c r="R54" s="228">
        <v>421.2</v>
      </c>
      <c r="S54" s="228">
        <v>-9.25</v>
      </c>
      <c r="T54" s="229">
        <v>-2.1999999999999999E-2</v>
      </c>
      <c r="U54" s="228">
        <v>415</v>
      </c>
      <c r="V54" s="228">
        <v>424</v>
      </c>
      <c r="W54" s="228">
        <v>-9</v>
      </c>
      <c r="X54" s="229">
        <v>-2.12E-2</v>
      </c>
      <c r="Y54" s="228">
        <v>1.7</v>
      </c>
      <c r="Z54" s="228">
        <v>0.7</v>
      </c>
      <c r="AA54" s="228">
        <v>1</v>
      </c>
      <c r="AB54" s="229">
        <v>4.1999999999999997E-3</v>
      </c>
      <c r="AC54" s="228">
        <v>1.7</v>
      </c>
      <c r="AD54" s="228">
        <v>0.7</v>
      </c>
      <c r="AE54" s="228">
        <v>1</v>
      </c>
      <c r="AF54" s="229">
        <v>4.1999999999999997E-3</v>
      </c>
      <c r="AG54" s="228">
        <v>3.75</v>
      </c>
      <c r="AH54" s="228">
        <v>3.25</v>
      </c>
      <c r="AI54" s="228">
        <v>0.5</v>
      </c>
      <c r="AJ54" s="229">
        <v>9.1999999999999998E-3</v>
      </c>
      <c r="AK54" s="228">
        <v>6.8</v>
      </c>
      <c r="AL54" s="228">
        <v>6.05</v>
      </c>
      <c r="AM54" s="228">
        <v>0.75</v>
      </c>
      <c r="AN54" s="229">
        <v>1.67E-2</v>
      </c>
      <c r="AO54" s="228">
        <v>410.59</v>
      </c>
      <c r="AP54" s="228">
        <v>413.31</v>
      </c>
      <c r="AQ54" s="228">
        <v>0</v>
      </c>
      <c r="AR54" s="230">
        <v>3535800</v>
      </c>
      <c r="AS54" s="230">
        <v>2021050</v>
      </c>
      <c r="AT54" s="230">
        <v>1514750</v>
      </c>
      <c r="AU54" s="229">
        <v>0.74950000000000006</v>
      </c>
      <c r="AV54" s="230">
        <v>3191350</v>
      </c>
      <c r="AW54" s="230">
        <v>1861275</v>
      </c>
      <c r="AX54" s="230">
        <v>1330075</v>
      </c>
      <c r="AY54" s="229">
        <v>0.71460000000000001</v>
      </c>
      <c r="AZ54" s="230">
        <v>327850</v>
      </c>
      <c r="BA54" s="230">
        <v>147325</v>
      </c>
      <c r="BB54" s="230">
        <v>180525</v>
      </c>
      <c r="BC54" s="229">
        <v>1.2254</v>
      </c>
      <c r="BD54" s="230">
        <v>16600</v>
      </c>
      <c r="BE54" s="230">
        <v>12450</v>
      </c>
      <c r="BF54" s="230">
        <v>4150</v>
      </c>
      <c r="BG54" s="229">
        <v>0.33329999999999999</v>
      </c>
      <c r="BH54" s="230">
        <v>5320300</v>
      </c>
      <c r="BI54" s="230">
        <v>2985925</v>
      </c>
      <c r="BJ54" s="230">
        <v>2334375</v>
      </c>
      <c r="BK54" s="229">
        <v>0.78180000000000005</v>
      </c>
      <c r="BL54" s="230">
        <v>3805550</v>
      </c>
      <c r="BM54" s="230">
        <v>2554325</v>
      </c>
      <c r="BN54" s="230">
        <v>1251225</v>
      </c>
      <c r="BO54" s="229">
        <v>0.48980000000000001</v>
      </c>
      <c r="BP54" s="230">
        <v>12661650</v>
      </c>
      <c r="BQ54" s="230">
        <v>7561300</v>
      </c>
      <c r="BR54" s="230">
        <v>5100350</v>
      </c>
      <c r="BS54" s="229">
        <v>0.67449999999999999</v>
      </c>
      <c r="BT54" s="230">
        <v>1705456</v>
      </c>
      <c r="BU54" s="230">
        <v>917423</v>
      </c>
      <c r="BV54" s="230">
        <v>788033</v>
      </c>
      <c r="BW54" s="229">
        <v>0.85899999999999999</v>
      </c>
      <c r="BX54" s="230">
        <v>24960175</v>
      </c>
      <c r="BY54" s="230">
        <v>23966250</v>
      </c>
      <c r="BZ54" s="230">
        <v>993925</v>
      </c>
      <c r="CA54" s="229">
        <v>4.1500000000000002E-2</v>
      </c>
      <c r="CB54" s="230">
        <v>24505750</v>
      </c>
      <c r="CC54" s="230">
        <v>23603125</v>
      </c>
      <c r="CD54" s="230">
        <v>902625</v>
      </c>
      <c r="CE54" s="229">
        <v>3.8199999999999998E-2</v>
      </c>
      <c r="CF54" s="230">
        <v>427450</v>
      </c>
      <c r="CG54" s="230">
        <v>344450</v>
      </c>
      <c r="CH54" s="230">
        <v>83000</v>
      </c>
      <c r="CI54" s="229">
        <v>0.24099999999999999</v>
      </c>
      <c r="CJ54" s="230">
        <v>26975</v>
      </c>
      <c r="CK54" s="230">
        <v>18675</v>
      </c>
      <c r="CL54" s="230">
        <v>8300</v>
      </c>
      <c r="CM54" s="229">
        <v>0.44440000000000002</v>
      </c>
      <c r="CN54" s="230">
        <v>7183650</v>
      </c>
      <c r="CO54" s="230">
        <v>6752050</v>
      </c>
      <c r="CP54" s="230">
        <v>431600</v>
      </c>
      <c r="CQ54" s="229">
        <v>6.3899999999999998E-2</v>
      </c>
      <c r="CR54" s="230">
        <v>4114725</v>
      </c>
      <c r="CS54" s="230">
        <v>3940425</v>
      </c>
      <c r="CT54" s="230">
        <v>174300</v>
      </c>
      <c r="CU54" s="229">
        <v>4.4200000000000003E-2</v>
      </c>
      <c r="CV54" s="230">
        <v>36258550</v>
      </c>
      <c r="CW54" s="230">
        <v>34658725</v>
      </c>
      <c r="CX54" s="230">
        <v>1599825</v>
      </c>
      <c r="CY54" s="229">
        <v>4.6199999999999998E-2</v>
      </c>
      <c r="CZ54" s="228">
        <v>34.93</v>
      </c>
      <c r="DA54" s="228">
        <v>34.19</v>
      </c>
      <c r="DB54" s="228">
        <v>0.74</v>
      </c>
      <c r="DC54" s="228">
        <v>0.74</v>
      </c>
      <c r="DD54" s="228">
        <v>39.08</v>
      </c>
      <c r="DE54" s="228">
        <v>39.07</v>
      </c>
      <c r="DF54" s="228">
        <v>-4.1500000000000004</v>
      </c>
      <c r="DG54" s="228">
        <v>0.01</v>
      </c>
      <c r="DH54" s="228">
        <v>33.81</v>
      </c>
      <c r="DI54" s="228">
        <v>33.01</v>
      </c>
      <c r="DJ54" s="228">
        <v>0.8</v>
      </c>
      <c r="DK54" s="228">
        <v>0.8</v>
      </c>
      <c r="DL54" s="228">
        <v>36.51</v>
      </c>
      <c r="DM54" s="228">
        <v>35.58</v>
      </c>
      <c r="DN54" s="228">
        <v>0.93</v>
      </c>
      <c r="DO54" s="228">
        <v>0.93</v>
      </c>
      <c r="DP54" s="228">
        <v>0.56999999999999995</v>
      </c>
      <c r="DQ54" s="228">
        <v>0.57999999999999996</v>
      </c>
      <c r="DR54" s="228">
        <v>-0.01</v>
      </c>
      <c r="DS54" s="229">
        <v>-1.72E-2</v>
      </c>
      <c r="DT54" s="228">
        <v>450</v>
      </c>
      <c r="DU54" s="228">
        <v>420</v>
      </c>
      <c r="DV54" s="228">
        <v>0.72</v>
      </c>
      <c r="DW54" s="228">
        <v>0.86</v>
      </c>
      <c r="DX54" s="228">
        <v>-0.14000000000000001</v>
      </c>
      <c r="DY54" s="229">
        <v>-0.1628</v>
      </c>
      <c r="DZ54" s="229">
        <v>1.8200000000000001E-2</v>
      </c>
      <c r="EA54" s="230">
        <v>363125</v>
      </c>
      <c r="EB54" s="229">
        <v>5.0000000000000001E-3</v>
      </c>
      <c r="EC54" s="229">
        <v>1.8200000000000001E-2</v>
      </c>
      <c r="ED54" s="228">
        <v>2.72</v>
      </c>
      <c r="EE54" s="229">
        <v>6.6E-3</v>
      </c>
      <c r="EF54" s="230">
        <v>804237</v>
      </c>
      <c r="EG54" s="230">
        <v>395205</v>
      </c>
      <c r="EH54" s="229">
        <v>1.0349999999999999</v>
      </c>
      <c r="EI54" s="229">
        <v>0.47160000000000002</v>
      </c>
      <c r="EJ54" s="231">
        <v>23692.86</v>
      </c>
      <c r="EK54" s="231">
        <v>15796.71</v>
      </c>
      <c r="EL54" s="231">
        <v>14527.29</v>
      </c>
      <c r="EM54" s="231">
        <v>1313</v>
      </c>
      <c r="EN54" s="231">
        <v>54016.86</v>
      </c>
      <c r="EO54" s="231">
        <v>32770.15</v>
      </c>
      <c r="EP54" s="231">
        <v>21246.71</v>
      </c>
      <c r="EQ54" s="229">
        <v>0.64839999999999998</v>
      </c>
      <c r="ER54" s="231">
        <v>32320</v>
      </c>
      <c r="ES54" s="231">
        <v>16844</v>
      </c>
      <c r="ET54" s="231">
        <v>102322</v>
      </c>
      <c r="EU54" s="231">
        <v>112112283</v>
      </c>
      <c r="EV54" s="231">
        <v>151486</v>
      </c>
      <c r="EW54" s="231">
        <v>147069</v>
      </c>
      <c r="EX54" s="231">
        <v>4417</v>
      </c>
      <c r="EY54" s="229">
        <v>0.03</v>
      </c>
      <c r="EZ54" s="229">
        <v>0.32340000000000002</v>
      </c>
      <c r="FA54" s="227" t="s">
        <v>567</v>
      </c>
      <c r="FB54" s="161">
        <f t="shared" si="0"/>
        <v>454425</v>
      </c>
    </row>
    <row r="55" spans="1:158" ht="17.25" thickBot="1" x14ac:dyDescent="0.3">
      <c r="A55" s="226">
        <v>46093</v>
      </c>
      <c r="B55" s="227" t="s">
        <v>170</v>
      </c>
      <c r="C55" s="227" t="s">
        <v>205</v>
      </c>
      <c r="D55" s="228">
        <v>100</v>
      </c>
      <c r="E55" s="231">
        <v>6290.5</v>
      </c>
      <c r="F55" s="231">
        <v>6367</v>
      </c>
      <c r="G55" s="228">
        <v>-76.5</v>
      </c>
      <c r="H55" s="229">
        <v>-1.2E-2</v>
      </c>
      <c r="I55" s="231">
        <v>6282</v>
      </c>
      <c r="J55" s="231">
        <v>6352.5</v>
      </c>
      <c r="K55" s="228">
        <v>-70.5</v>
      </c>
      <c r="L55" s="229">
        <v>-1.11E-2</v>
      </c>
      <c r="M55" s="231">
        <v>6290.5</v>
      </c>
      <c r="N55" s="231">
        <v>6367</v>
      </c>
      <c r="O55" s="228">
        <v>-76.5</v>
      </c>
      <c r="P55" s="229">
        <v>-1.2E-2</v>
      </c>
      <c r="Q55" s="231">
        <v>6328</v>
      </c>
      <c r="R55" s="231">
        <v>6403.5</v>
      </c>
      <c r="S55" s="228">
        <v>-75.5</v>
      </c>
      <c r="T55" s="229">
        <v>-1.18E-2</v>
      </c>
      <c r="U55" s="231">
        <v>6377</v>
      </c>
      <c r="V55" s="231">
        <v>6443.5</v>
      </c>
      <c r="W55" s="228">
        <v>-66.5</v>
      </c>
      <c r="X55" s="229">
        <v>-1.03E-2</v>
      </c>
      <c r="Y55" s="228">
        <v>8.5</v>
      </c>
      <c r="Z55" s="228">
        <v>14.5</v>
      </c>
      <c r="AA55" s="228">
        <v>-6</v>
      </c>
      <c r="AB55" s="229">
        <v>1.4E-3</v>
      </c>
      <c r="AC55" s="228">
        <v>8.5</v>
      </c>
      <c r="AD55" s="228">
        <v>14.5</v>
      </c>
      <c r="AE55" s="228">
        <v>-6</v>
      </c>
      <c r="AF55" s="229">
        <v>1.4E-3</v>
      </c>
      <c r="AG55" s="228">
        <v>46</v>
      </c>
      <c r="AH55" s="228">
        <v>51</v>
      </c>
      <c r="AI55" s="228">
        <v>-5</v>
      </c>
      <c r="AJ55" s="229">
        <v>7.3000000000000001E-3</v>
      </c>
      <c r="AK55" s="228">
        <v>95</v>
      </c>
      <c r="AL55" s="228">
        <v>91</v>
      </c>
      <c r="AM55" s="228">
        <v>4</v>
      </c>
      <c r="AN55" s="229">
        <v>1.5100000000000001E-2</v>
      </c>
      <c r="AO55" s="231">
        <v>6278.05</v>
      </c>
      <c r="AP55" s="231">
        <v>6319.29</v>
      </c>
      <c r="AQ55" s="228">
        <v>0</v>
      </c>
      <c r="AR55" s="230">
        <v>394700</v>
      </c>
      <c r="AS55" s="230">
        <v>382100</v>
      </c>
      <c r="AT55" s="230">
        <v>12600</v>
      </c>
      <c r="AU55" s="229">
        <v>3.3000000000000002E-2</v>
      </c>
      <c r="AV55" s="230">
        <v>376500</v>
      </c>
      <c r="AW55" s="230">
        <v>352800</v>
      </c>
      <c r="AX55" s="230">
        <v>23700</v>
      </c>
      <c r="AY55" s="229">
        <v>6.7199999999999996E-2</v>
      </c>
      <c r="AZ55" s="230">
        <v>16800</v>
      </c>
      <c r="BA55" s="230">
        <v>28200</v>
      </c>
      <c r="BB55" s="230">
        <v>-11400</v>
      </c>
      <c r="BC55" s="229">
        <v>-0.40429999999999999</v>
      </c>
      <c r="BD55" s="230">
        <v>1400</v>
      </c>
      <c r="BE55" s="230">
        <v>1100</v>
      </c>
      <c r="BF55" s="228">
        <v>300</v>
      </c>
      <c r="BG55" s="229">
        <v>0.2727</v>
      </c>
      <c r="BH55" s="230">
        <v>1049500</v>
      </c>
      <c r="BI55" s="230">
        <v>1224300</v>
      </c>
      <c r="BJ55" s="230">
        <v>-174800</v>
      </c>
      <c r="BK55" s="229">
        <v>-0.14280000000000001</v>
      </c>
      <c r="BL55" s="230">
        <v>504100</v>
      </c>
      <c r="BM55" s="230">
        <v>447300</v>
      </c>
      <c r="BN55" s="230">
        <v>56800</v>
      </c>
      <c r="BO55" s="229">
        <v>0.127</v>
      </c>
      <c r="BP55" s="230">
        <v>1948300</v>
      </c>
      <c r="BQ55" s="230">
        <v>2053700</v>
      </c>
      <c r="BR55" s="230">
        <v>-105400</v>
      </c>
      <c r="BS55" s="229">
        <v>-5.1299999999999998E-2</v>
      </c>
      <c r="BT55" s="230">
        <v>156597</v>
      </c>
      <c r="BU55" s="230">
        <v>257771</v>
      </c>
      <c r="BV55" s="230">
        <v>-101174</v>
      </c>
      <c r="BW55" s="229">
        <v>-0.39250000000000002</v>
      </c>
      <c r="BX55" s="230">
        <v>2685000</v>
      </c>
      <c r="BY55" s="230">
        <v>2768700</v>
      </c>
      <c r="BZ55" s="230">
        <v>-83700</v>
      </c>
      <c r="CA55" s="229">
        <v>-3.0200000000000001E-2</v>
      </c>
      <c r="CB55" s="230">
        <v>2592000</v>
      </c>
      <c r="CC55" s="230">
        <v>2681500</v>
      </c>
      <c r="CD55" s="230">
        <v>-89500</v>
      </c>
      <c r="CE55" s="229">
        <v>-3.3399999999999999E-2</v>
      </c>
      <c r="CF55" s="230">
        <v>89800</v>
      </c>
      <c r="CG55" s="230">
        <v>84600</v>
      </c>
      <c r="CH55" s="230">
        <v>5200</v>
      </c>
      <c r="CI55" s="229">
        <v>6.1499999999999999E-2</v>
      </c>
      <c r="CJ55" s="230">
        <v>3200</v>
      </c>
      <c r="CK55" s="230">
        <v>2600</v>
      </c>
      <c r="CL55" s="228">
        <v>600</v>
      </c>
      <c r="CM55" s="229">
        <v>0.23080000000000001</v>
      </c>
      <c r="CN55" s="230">
        <v>779000</v>
      </c>
      <c r="CO55" s="230">
        <v>835300</v>
      </c>
      <c r="CP55" s="230">
        <v>-56300</v>
      </c>
      <c r="CQ55" s="229">
        <v>-6.7400000000000002E-2</v>
      </c>
      <c r="CR55" s="230">
        <v>464500</v>
      </c>
      <c r="CS55" s="230">
        <v>465700</v>
      </c>
      <c r="CT55" s="230">
        <v>-1200</v>
      </c>
      <c r="CU55" s="229">
        <v>-2.5999999999999999E-3</v>
      </c>
      <c r="CV55" s="230">
        <v>3928500</v>
      </c>
      <c r="CW55" s="230">
        <v>4069700</v>
      </c>
      <c r="CX55" s="230">
        <v>-141200</v>
      </c>
      <c r="CY55" s="229">
        <v>-3.4700000000000002E-2</v>
      </c>
      <c r="CZ55" s="228">
        <v>28.92</v>
      </c>
      <c r="DA55" s="228">
        <v>28.18</v>
      </c>
      <c r="DB55" s="228">
        <v>0.74</v>
      </c>
      <c r="DC55" s="228">
        <v>0.74</v>
      </c>
      <c r="DD55" s="228">
        <v>29.97</v>
      </c>
      <c r="DE55" s="228">
        <v>30</v>
      </c>
      <c r="DF55" s="228">
        <v>-1.05</v>
      </c>
      <c r="DG55" s="228">
        <v>-0.03</v>
      </c>
      <c r="DH55" s="228">
        <v>28.62</v>
      </c>
      <c r="DI55" s="228">
        <v>27.71</v>
      </c>
      <c r="DJ55" s="228">
        <v>0.91</v>
      </c>
      <c r="DK55" s="228">
        <v>0.91</v>
      </c>
      <c r="DL55" s="228">
        <v>29.55</v>
      </c>
      <c r="DM55" s="228">
        <v>29.49</v>
      </c>
      <c r="DN55" s="228">
        <v>0.06</v>
      </c>
      <c r="DO55" s="228">
        <v>0.06</v>
      </c>
      <c r="DP55" s="228">
        <v>0.6</v>
      </c>
      <c r="DQ55" s="228">
        <v>0.56000000000000005</v>
      </c>
      <c r="DR55" s="228">
        <v>0.04</v>
      </c>
      <c r="DS55" s="229">
        <v>7.1400000000000005E-2</v>
      </c>
      <c r="DT55" s="231">
        <v>6500</v>
      </c>
      <c r="DU55" s="231">
        <v>6400</v>
      </c>
      <c r="DV55" s="228">
        <v>0.48</v>
      </c>
      <c r="DW55" s="228">
        <v>0.37</v>
      </c>
      <c r="DX55" s="228">
        <v>0.11</v>
      </c>
      <c r="DY55" s="229">
        <v>0.29730000000000001</v>
      </c>
      <c r="DZ55" s="229">
        <v>3.4599999999999999E-2</v>
      </c>
      <c r="EA55" s="230">
        <v>87200</v>
      </c>
      <c r="EB55" s="229">
        <v>6.0000000000000001E-3</v>
      </c>
      <c r="EC55" s="229">
        <v>3.4599999999999999E-2</v>
      </c>
      <c r="ED55" s="228">
        <v>41.24</v>
      </c>
      <c r="EE55" s="229">
        <v>6.6E-3</v>
      </c>
      <c r="EF55" s="230">
        <v>78537</v>
      </c>
      <c r="EG55" s="230">
        <v>118734</v>
      </c>
      <c r="EH55" s="229">
        <v>-0.33850000000000002</v>
      </c>
      <c r="EI55" s="229">
        <v>0.50149999999999995</v>
      </c>
      <c r="EJ55" s="231">
        <v>69951.679999999993</v>
      </c>
      <c r="EK55" s="231">
        <v>31736.49</v>
      </c>
      <c r="EL55" s="231">
        <v>24787.26</v>
      </c>
      <c r="EM55" s="231">
        <v>3585</v>
      </c>
      <c r="EN55" s="231">
        <v>126475.43</v>
      </c>
      <c r="EO55" s="231">
        <v>135025.67000000001</v>
      </c>
      <c r="EP55" s="231">
        <v>-8550.24</v>
      </c>
      <c r="EQ55" s="229">
        <v>-6.3299999999999995E-2</v>
      </c>
      <c r="ER55" s="231">
        <v>52154</v>
      </c>
      <c r="ES55" s="231">
        <v>28336</v>
      </c>
      <c r="ET55" s="231">
        <v>168936</v>
      </c>
      <c r="EU55" s="231">
        <v>14898112</v>
      </c>
      <c r="EV55" s="231">
        <v>249426</v>
      </c>
      <c r="EW55" s="231">
        <v>260670</v>
      </c>
      <c r="EX55" s="231">
        <v>-11244</v>
      </c>
      <c r="EY55" s="229">
        <v>-4.3099999999999999E-2</v>
      </c>
      <c r="EZ55" s="229">
        <v>0.26369999999999999</v>
      </c>
      <c r="FA55" s="227" t="s">
        <v>568</v>
      </c>
      <c r="FB55" s="161">
        <f t="shared" si="0"/>
        <v>93000</v>
      </c>
    </row>
    <row r="56" spans="1:158" ht="17.25" thickBot="1" x14ac:dyDescent="0.3">
      <c r="A56" s="226">
        <v>46093</v>
      </c>
      <c r="B56" s="227" t="s">
        <v>184</v>
      </c>
      <c r="C56" s="227" t="s">
        <v>512</v>
      </c>
      <c r="D56" s="228">
        <v>50</v>
      </c>
      <c r="E56" s="231">
        <v>10737</v>
      </c>
      <c r="F56" s="231">
        <v>10572</v>
      </c>
      <c r="G56" s="228">
        <v>165</v>
      </c>
      <c r="H56" s="229">
        <v>1.5599999999999999E-2</v>
      </c>
      <c r="I56" s="231">
        <v>10803</v>
      </c>
      <c r="J56" s="231">
        <v>10618</v>
      </c>
      <c r="K56" s="228">
        <v>185</v>
      </c>
      <c r="L56" s="229">
        <v>1.7399999999999999E-2</v>
      </c>
      <c r="M56" s="231">
        <v>10737</v>
      </c>
      <c r="N56" s="231">
        <v>10572</v>
      </c>
      <c r="O56" s="228">
        <v>165</v>
      </c>
      <c r="P56" s="229">
        <v>1.5599999999999999E-2</v>
      </c>
      <c r="Q56" s="231">
        <v>10753</v>
      </c>
      <c r="R56" s="231">
        <v>10619</v>
      </c>
      <c r="S56" s="228">
        <v>134</v>
      </c>
      <c r="T56" s="229">
        <v>1.26E-2</v>
      </c>
      <c r="U56" s="231">
        <v>10787</v>
      </c>
      <c r="V56" s="231">
        <v>10683</v>
      </c>
      <c r="W56" s="228">
        <v>104</v>
      </c>
      <c r="X56" s="229">
        <v>9.7000000000000003E-3</v>
      </c>
      <c r="Y56" s="228">
        <v>-66</v>
      </c>
      <c r="Z56" s="228">
        <v>-46</v>
      </c>
      <c r="AA56" s="228">
        <v>-20</v>
      </c>
      <c r="AB56" s="229">
        <v>-6.1000000000000004E-3</v>
      </c>
      <c r="AC56" s="228">
        <v>-66</v>
      </c>
      <c r="AD56" s="228">
        <v>-46</v>
      </c>
      <c r="AE56" s="228">
        <v>-20</v>
      </c>
      <c r="AF56" s="229">
        <v>-6.1000000000000004E-3</v>
      </c>
      <c r="AG56" s="228">
        <v>-50</v>
      </c>
      <c r="AH56" s="228">
        <v>1</v>
      </c>
      <c r="AI56" s="228">
        <v>-51</v>
      </c>
      <c r="AJ56" s="229">
        <v>-4.5999999999999999E-3</v>
      </c>
      <c r="AK56" s="228">
        <v>-16</v>
      </c>
      <c r="AL56" s="228">
        <v>65</v>
      </c>
      <c r="AM56" s="228">
        <v>-81</v>
      </c>
      <c r="AN56" s="229">
        <v>-1.5E-3</v>
      </c>
      <c r="AO56" s="231">
        <v>10547.89</v>
      </c>
      <c r="AP56" s="231">
        <v>10549.67</v>
      </c>
      <c r="AQ56" s="228">
        <v>0</v>
      </c>
      <c r="AR56" s="230">
        <v>1160050</v>
      </c>
      <c r="AS56" s="230">
        <v>1529250</v>
      </c>
      <c r="AT56" s="230">
        <v>-369200</v>
      </c>
      <c r="AU56" s="229">
        <v>-0.2414</v>
      </c>
      <c r="AV56" s="230">
        <v>990250</v>
      </c>
      <c r="AW56" s="230">
        <v>1351400</v>
      </c>
      <c r="AX56" s="230">
        <v>-361150</v>
      </c>
      <c r="AY56" s="229">
        <v>-0.26719999999999999</v>
      </c>
      <c r="AZ56" s="230">
        <v>151750</v>
      </c>
      <c r="BA56" s="230">
        <v>157700</v>
      </c>
      <c r="BB56" s="230">
        <v>-5950</v>
      </c>
      <c r="BC56" s="229">
        <v>-3.7699999999999997E-2</v>
      </c>
      <c r="BD56" s="230">
        <v>18050</v>
      </c>
      <c r="BE56" s="230">
        <v>20150</v>
      </c>
      <c r="BF56" s="230">
        <v>-2100</v>
      </c>
      <c r="BG56" s="229">
        <v>-0.1042</v>
      </c>
      <c r="BH56" s="230">
        <v>6585550</v>
      </c>
      <c r="BI56" s="230">
        <v>8954900</v>
      </c>
      <c r="BJ56" s="230">
        <v>-2369350</v>
      </c>
      <c r="BK56" s="229">
        <v>-0.2646</v>
      </c>
      <c r="BL56" s="230">
        <v>2572750</v>
      </c>
      <c r="BM56" s="230">
        <v>4151950</v>
      </c>
      <c r="BN56" s="230">
        <v>-1579200</v>
      </c>
      <c r="BO56" s="229">
        <v>-0.38040000000000002</v>
      </c>
      <c r="BP56" s="230">
        <v>10318350</v>
      </c>
      <c r="BQ56" s="230">
        <v>14636100</v>
      </c>
      <c r="BR56" s="230">
        <v>-4317750</v>
      </c>
      <c r="BS56" s="229">
        <v>-0.29499999999999998</v>
      </c>
      <c r="BT56" s="230">
        <v>1050635</v>
      </c>
      <c r="BU56" s="230">
        <v>1423271</v>
      </c>
      <c r="BV56" s="230">
        <v>-372636</v>
      </c>
      <c r="BW56" s="229">
        <v>-0.26179999999999998</v>
      </c>
      <c r="BX56" s="230">
        <v>2714800</v>
      </c>
      <c r="BY56" s="230">
        <v>2704850</v>
      </c>
      <c r="BZ56" s="230">
        <v>9950</v>
      </c>
      <c r="CA56" s="229">
        <v>3.7000000000000002E-3</v>
      </c>
      <c r="CB56" s="230">
        <v>2486850</v>
      </c>
      <c r="CC56" s="230">
        <v>2499300</v>
      </c>
      <c r="CD56" s="230">
        <v>-12450</v>
      </c>
      <c r="CE56" s="229">
        <v>-5.0000000000000001E-3</v>
      </c>
      <c r="CF56" s="230">
        <v>199200</v>
      </c>
      <c r="CG56" s="230">
        <v>179500</v>
      </c>
      <c r="CH56" s="230">
        <v>19700</v>
      </c>
      <c r="CI56" s="229">
        <v>0.10970000000000001</v>
      </c>
      <c r="CJ56" s="230">
        <v>28750</v>
      </c>
      <c r="CK56" s="230">
        <v>26050</v>
      </c>
      <c r="CL56" s="230">
        <v>2700</v>
      </c>
      <c r="CM56" s="229">
        <v>0.1036</v>
      </c>
      <c r="CN56" s="230">
        <v>2350950</v>
      </c>
      <c r="CO56" s="230">
        <v>2384900</v>
      </c>
      <c r="CP56" s="230">
        <v>-33950</v>
      </c>
      <c r="CQ56" s="229">
        <v>-1.4200000000000001E-2</v>
      </c>
      <c r="CR56" s="230">
        <v>1471850</v>
      </c>
      <c r="CS56" s="230">
        <v>1417300</v>
      </c>
      <c r="CT56" s="230">
        <v>54550</v>
      </c>
      <c r="CU56" s="229">
        <v>3.85E-2</v>
      </c>
      <c r="CV56" s="230">
        <v>6537600</v>
      </c>
      <c r="CW56" s="230">
        <v>6507050</v>
      </c>
      <c r="CX56" s="230">
        <v>30550</v>
      </c>
      <c r="CY56" s="229">
        <v>4.7000000000000002E-3</v>
      </c>
      <c r="CZ56" s="228">
        <v>50.12</v>
      </c>
      <c r="DA56" s="228">
        <v>50.87</v>
      </c>
      <c r="DB56" s="228">
        <v>-0.75</v>
      </c>
      <c r="DC56" s="228">
        <v>-0.75</v>
      </c>
      <c r="DD56" s="228">
        <v>47.32</v>
      </c>
      <c r="DE56" s="228">
        <v>47.39</v>
      </c>
      <c r="DF56" s="228">
        <v>2.8</v>
      </c>
      <c r="DG56" s="228">
        <v>-7.0000000000000007E-2</v>
      </c>
      <c r="DH56" s="228">
        <v>49.46</v>
      </c>
      <c r="DI56" s="228">
        <v>50.74</v>
      </c>
      <c r="DJ56" s="228">
        <v>-1.28</v>
      </c>
      <c r="DK56" s="228">
        <v>-1.28</v>
      </c>
      <c r="DL56" s="228">
        <v>51.79</v>
      </c>
      <c r="DM56" s="228">
        <v>51.16</v>
      </c>
      <c r="DN56" s="228">
        <v>0.63</v>
      </c>
      <c r="DO56" s="228">
        <v>0.63</v>
      </c>
      <c r="DP56" s="228">
        <v>0.63</v>
      </c>
      <c r="DQ56" s="228">
        <v>0.59</v>
      </c>
      <c r="DR56" s="228">
        <v>0.04</v>
      </c>
      <c r="DS56" s="229">
        <v>6.7799999999999999E-2</v>
      </c>
      <c r="DT56" s="231">
        <v>12000</v>
      </c>
      <c r="DU56" s="231">
        <v>10000</v>
      </c>
      <c r="DV56" s="228">
        <v>0.39</v>
      </c>
      <c r="DW56" s="228">
        <v>0.46</v>
      </c>
      <c r="DX56" s="228">
        <v>-7.0000000000000007E-2</v>
      </c>
      <c r="DY56" s="229">
        <v>-0.1522</v>
      </c>
      <c r="DZ56" s="229">
        <v>8.4000000000000005E-2</v>
      </c>
      <c r="EA56" s="230">
        <v>205550</v>
      </c>
      <c r="EB56" s="229">
        <v>1.5E-3</v>
      </c>
      <c r="EC56" s="229">
        <v>8.4000000000000005E-2</v>
      </c>
      <c r="ED56" s="228">
        <v>1.78</v>
      </c>
      <c r="EE56" s="229">
        <v>2.0000000000000001E-4</v>
      </c>
      <c r="EF56" s="230">
        <v>222503</v>
      </c>
      <c r="EG56" s="230">
        <v>368053</v>
      </c>
      <c r="EH56" s="229">
        <v>-0.39550000000000002</v>
      </c>
      <c r="EI56" s="229">
        <v>0.21179999999999999</v>
      </c>
      <c r="EJ56" s="231">
        <v>768208.28</v>
      </c>
      <c r="EK56" s="231">
        <v>260693.38</v>
      </c>
      <c r="EL56" s="231">
        <v>122369.66</v>
      </c>
      <c r="EM56" s="231">
        <v>21684</v>
      </c>
      <c r="EN56" s="231">
        <v>1151271.32</v>
      </c>
      <c r="EO56" s="231">
        <v>1659081.3</v>
      </c>
      <c r="EP56" s="231">
        <v>-507809.98</v>
      </c>
      <c r="EQ56" s="229">
        <v>-0.30609999999999998</v>
      </c>
      <c r="ER56" s="231">
        <v>273677</v>
      </c>
      <c r="ES56" s="231">
        <v>150225</v>
      </c>
      <c r="ET56" s="231">
        <v>291534</v>
      </c>
      <c r="EU56" s="231">
        <v>6452220</v>
      </c>
      <c r="EV56" s="231">
        <v>715436</v>
      </c>
      <c r="EW56" s="231">
        <v>708553</v>
      </c>
      <c r="EX56" s="231">
        <v>6883</v>
      </c>
      <c r="EY56" s="229">
        <v>9.7000000000000003E-3</v>
      </c>
      <c r="EZ56" s="229">
        <v>1.0132000000000001</v>
      </c>
      <c r="FA56" s="227" t="s">
        <v>555</v>
      </c>
      <c r="FB56" s="161">
        <f t="shared" si="0"/>
        <v>227950</v>
      </c>
    </row>
    <row r="57" spans="1:158" ht="17.25" thickBot="1" x14ac:dyDescent="0.3">
      <c r="A57" s="226">
        <v>46093</v>
      </c>
      <c r="B57" s="227" t="s">
        <v>206</v>
      </c>
      <c r="C57" s="227" t="s">
        <v>207</v>
      </c>
      <c r="D57" s="228">
        <v>825</v>
      </c>
      <c r="E57" s="228">
        <v>560.15</v>
      </c>
      <c r="F57" s="228">
        <v>574.20000000000005</v>
      </c>
      <c r="G57" s="228">
        <v>-14.05</v>
      </c>
      <c r="H57" s="229">
        <v>-2.4500000000000001E-2</v>
      </c>
      <c r="I57" s="228">
        <v>558.1</v>
      </c>
      <c r="J57" s="228">
        <v>573.20000000000005</v>
      </c>
      <c r="K57" s="228">
        <v>-15.1</v>
      </c>
      <c r="L57" s="229">
        <v>-2.63E-2</v>
      </c>
      <c r="M57" s="228">
        <v>560.15</v>
      </c>
      <c r="N57" s="228">
        <v>574.20000000000005</v>
      </c>
      <c r="O57" s="228">
        <v>-14.05</v>
      </c>
      <c r="P57" s="229">
        <v>-2.4500000000000001E-2</v>
      </c>
      <c r="Q57" s="228">
        <v>564</v>
      </c>
      <c r="R57" s="228">
        <v>578.1</v>
      </c>
      <c r="S57" s="228">
        <v>-14.1</v>
      </c>
      <c r="T57" s="229">
        <v>-2.4400000000000002E-2</v>
      </c>
      <c r="U57" s="228">
        <v>566.35</v>
      </c>
      <c r="V57" s="228">
        <v>581.4</v>
      </c>
      <c r="W57" s="228">
        <v>-15.05</v>
      </c>
      <c r="X57" s="229">
        <v>-2.5899999999999999E-2</v>
      </c>
      <c r="Y57" s="228">
        <v>2.0499999999999998</v>
      </c>
      <c r="Z57" s="228">
        <v>1</v>
      </c>
      <c r="AA57" s="228">
        <v>1.05</v>
      </c>
      <c r="AB57" s="229">
        <v>3.7000000000000002E-3</v>
      </c>
      <c r="AC57" s="228">
        <v>2.0499999999999998</v>
      </c>
      <c r="AD57" s="228">
        <v>1</v>
      </c>
      <c r="AE57" s="228">
        <v>1.05</v>
      </c>
      <c r="AF57" s="229">
        <v>3.7000000000000002E-3</v>
      </c>
      <c r="AG57" s="228">
        <v>5.9</v>
      </c>
      <c r="AH57" s="228">
        <v>4.9000000000000004</v>
      </c>
      <c r="AI57" s="228">
        <v>1</v>
      </c>
      <c r="AJ57" s="229">
        <v>1.06E-2</v>
      </c>
      <c r="AK57" s="228">
        <v>8.25</v>
      </c>
      <c r="AL57" s="228">
        <v>8.1999999999999993</v>
      </c>
      <c r="AM57" s="228">
        <v>0.05</v>
      </c>
      <c r="AN57" s="229">
        <v>1.4800000000000001E-2</v>
      </c>
      <c r="AO57" s="228">
        <v>563.69000000000005</v>
      </c>
      <c r="AP57" s="228">
        <v>567.20000000000005</v>
      </c>
      <c r="AQ57" s="228">
        <v>0</v>
      </c>
      <c r="AR57" s="230">
        <v>6704775</v>
      </c>
      <c r="AS57" s="230">
        <v>5456550</v>
      </c>
      <c r="AT57" s="230">
        <v>1248225</v>
      </c>
      <c r="AU57" s="229">
        <v>0.2288</v>
      </c>
      <c r="AV57" s="230">
        <v>6203175</v>
      </c>
      <c r="AW57" s="230">
        <v>5094375</v>
      </c>
      <c r="AX57" s="230">
        <v>1108800</v>
      </c>
      <c r="AY57" s="229">
        <v>0.2177</v>
      </c>
      <c r="AZ57" s="230">
        <v>433125</v>
      </c>
      <c r="BA57" s="230">
        <v>321750</v>
      </c>
      <c r="BB57" s="230">
        <v>111375</v>
      </c>
      <c r="BC57" s="229">
        <v>0.34620000000000001</v>
      </c>
      <c r="BD57" s="230">
        <v>68475</v>
      </c>
      <c r="BE57" s="230">
        <v>40425</v>
      </c>
      <c r="BF57" s="230">
        <v>28050</v>
      </c>
      <c r="BG57" s="229">
        <v>0.69389999999999996</v>
      </c>
      <c r="BH57" s="230">
        <v>13308900</v>
      </c>
      <c r="BI57" s="230">
        <v>10767075</v>
      </c>
      <c r="BJ57" s="230">
        <v>2541825</v>
      </c>
      <c r="BK57" s="229">
        <v>0.2361</v>
      </c>
      <c r="BL57" s="230">
        <v>8521425</v>
      </c>
      <c r="BM57" s="230">
        <v>10522875</v>
      </c>
      <c r="BN57" s="230">
        <v>-2001450</v>
      </c>
      <c r="BO57" s="229">
        <v>-0.19020000000000001</v>
      </c>
      <c r="BP57" s="230">
        <v>28535100</v>
      </c>
      <c r="BQ57" s="230">
        <v>26746500</v>
      </c>
      <c r="BR57" s="230">
        <v>1788600</v>
      </c>
      <c r="BS57" s="229">
        <v>6.6900000000000001E-2</v>
      </c>
      <c r="BT57" s="230">
        <v>3269440</v>
      </c>
      <c r="BU57" s="230">
        <v>3792217</v>
      </c>
      <c r="BV57" s="230">
        <v>-522777</v>
      </c>
      <c r="BW57" s="229">
        <v>-0.13789999999999999</v>
      </c>
      <c r="BX57" s="230">
        <v>54447525</v>
      </c>
      <c r="BY57" s="230">
        <v>53593650</v>
      </c>
      <c r="BZ57" s="230">
        <v>853875</v>
      </c>
      <c r="CA57" s="229">
        <v>1.5900000000000001E-2</v>
      </c>
      <c r="CB57" s="230">
        <v>51098850</v>
      </c>
      <c r="CC57" s="230">
        <v>50425650</v>
      </c>
      <c r="CD57" s="230">
        <v>673200</v>
      </c>
      <c r="CE57" s="229">
        <v>1.34E-2</v>
      </c>
      <c r="CF57" s="230">
        <v>3123450</v>
      </c>
      <c r="CG57" s="230">
        <v>2953500</v>
      </c>
      <c r="CH57" s="230">
        <v>169950</v>
      </c>
      <c r="CI57" s="229">
        <v>5.7500000000000002E-2</v>
      </c>
      <c r="CJ57" s="230">
        <v>225225</v>
      </c>
      <c r="CK57" s="230">
        <v>214500</v>
      </c>
      <c r="CL57" s="230">
        <v>10725</v>
      </c>
      <c r="CM57" s="229">
        <v>0.05</v>
      </c>
      <c r="CN57" s="230">
        <v>12766050</v>
      </c>
      <c r="CO57" s="230">
        <v>11688600</v>
      </c>
      <c r="CP57" s="230">
        <v>1077450</v>
      </c>
      <c r="CQ57" s="229">
        <v>9.2200000000000004E-2</v>
      </c>
      <c r="CR57" s="230">
        <v>9801000</v>
      </c>
      <c r="CS57" s="230">
        <v>9603825</v>
      </c>
      <c r="CT57" s="230">
        <v>197175</v>
      </c>
      <c r="CU57" s="229">
        <v>2.0500000000000001E-2</v>
      </c>
      <c r="CV57" s="230">
        <v>77014575</v>
      </c>
      <c r="CW57" s="230">
        <v>74886075</v>
      </c>
      <c r="CX57" s="230">
        <v>2128500</v>
      </c>
      <c r="CY57" s="229">
        <v>2.8400000000000002E-2</v>
      </c>
      <c r="CZ57" s="228">
        <v>41.89</v>
      </c>
      <c r="DA57" s="228">
        <v>40.909999999999997</v>
      </c>
      <c r="DB57" s="228">
        <v>0.98</v>
      </c>
      <c r="DC57" s="228">
        <v>0.98</v>
      </c>
      <c r="DD57" s="228">
        <v>35.840000000000003</v>
      </c>
      <c r="DE57" s="228">
        <v>35.78</v>
      </c>
      <c r="DF57" s="228">
        <v>6.05</v>
      </c>
      <c r="DG57" s="228">
        <v>0.06</v>
      </c>
      <c r="DH57" s="228">
        <v>40.42</v>
      </c>
      <c r="DI57" s="228">
        <v>38.83</v>
      </c>
      <c r="DJ57" s="228">
        <v>1.59</v>
      </c>
      <c r="DK57" s="228">
        <v>1.59</v>
      </c>
      <c r="DL57" s="228">
        <v>44.19</v>
      </c>
      <c r="DM57" s="228">
        <v>43.04</v>
      </c>
      <c r="DN57" s="228">
        <v>1.1499999999999999</v>
      </c>
      <c r="DO57" s="228">
        <v>1.1499999999999999</v>
      </c>
      <c r="DP57" s="228">
        <v>0.77</v>
      </c>
      <c r="DQ57" s="228">
        <v>0.82</v>
      </c>
      <c r="DR57" s="228">
        <v>-0.05</v>
      </c>
      <c r="DS57" s="229">
        <v>-6.0999999999999999E-2</v>
      </c>
      <c r="DT57" s="228">
        <v>640</v>
      </c>
      <c r="DU57" s="228">
        <v>550</v>
      </c>
      <c r="DV57" s="228">
        <v>0.64</v>
      </c>
      <c r="DW57" s="228">
        <v>0.98</v>
      </c>
      <c r="DX57" s="228">
        <v>-0.34</v>
      </c>
      <c r="DY57" s="229">
        <v>-0.34689999999999999</v>
      </c>
      <c r="DZ57" s="229">
        <v>6.1499999999999999E-2</v>
      </c>
      <c r="EA57" s="230">
        <v>3168000</v>
      </c>
      <c r="EB57" s="229">
        <v>6.8999999999999999E-3</v>
      </c>
      <c r="EC57" s="229">
        <v>6.1499999999999999E-2</v>
      </c>
      <c r="ED57" s="228">
        <v>3.51</v>
      </c>
      <c r="EE57" s="229">
        <v>6.1999999999999998E-3</v>
      </c>
      <c r="EF57" s="230">
        <v>1175943</v>
      </c>
      <c r="EG57" s="230">
        <v>1831711</v>
      </c>
      <c r="EH57" s="229">
        <v>-0.35799999999999998</v>
      </c>
      <c r="EI57" s="229">
        <v>0.35970000000000002</v>
      </c>
      <c r="EJ57" s="231">
        <v>81307.7</v>
      </c>
      <c r="EK57" s="231">
        <v>48793.45</v>
      </c>
      <c r="EL57" s="231">
        <v>37812.629999999997</v>
      </c>
      <c r="EM57" s="231">
        <v>6860</v>
      </c>
      <c r="EN57" s="231">
        <v>167913.78</v>
      </c>
      <c r="EO57" s="231">
        <v>159141.46</v>
      </c>
      <c r="EP57" s="231">
        <v>8772.32</v>
      </c>
      <c r="EQ57" s="229">
        <v>5.5100000000000003E-2</v>
      </c>
      <c r="ER57" s="231">
        <v>80361</v>
      </c>
      <c r="ES57" s="231">
        <v>58263</v>
      </c>
      <c r="ET57" s="231">
        <v>305122</v>
      </c>
      <c r="EU57" s="231">
        <v>96058266</v>
      </c>
      <c r="EV57" s="231">
        <v>443746</v>
      </c>
      <c r="EW57" s="231">
        <v>439393</v>
      </c>
      <c r="EX57" s="231">
        <v>4353</v>
      </c>
      <c r="EY57" s="229">
        <v>9.9000000000000008E-3</v>
      </c>
      <c r="EZ57" s="229">
        <v>0.80169999999999997</v>
      </c>
      <c r="FA57" s="227" t="s">
        <v>567</v>
      </c>
      <c r="FB57" s="161">
        <f t="shared" si="0"/>
        <v>3348675</v>
      </c>
    </row>
    <row r="58" spans="1:158" ht="17.25" thickBot="1" x14ac:dyDescent="0.3">
      <c r="A58" s="226">
        <v>46093</v>
      </c>
      <c r="B58" s="227" t="s">
        <v>615</v>
      </c>
      <c r="C58" s="227" t="s">
        <v>583</v>
      </c>
      <c r="D58" s="228">
        <v>150</v>
      </c>
      <c r="E58" s="231">
        <v>3965.4</v>
      </c>
      <c r="F58" s="231">
        <v>3930.9</v>
      </c>
      <c r="G58" s="228">
        <v>34.5</v>
      </c>
      <c r="H58" s="229">
        <v>8.8000000000000005E-3</v>
      </c>
      <c r="I58" s="231">
        <v>3953.6</v>
      </c>
      <c r="J58" s="231">
        <v>3944.8</v>
      </c>
      <c r="K58" s="228">
        <v>8.8000000000000007</v>
      </c>
      <c r="L58" s="229">
        <v>2.2000000000000001E-3</v>
      </c>
      <c r="M58" s="231">
        <v>3965.4</v>
      </c>
      <c r="N58" s="231">
        <v>3930.9</v>
      </c>
      <c r="O58" s="228">
        <v>34.5</v>
      </c>
      <c r="P58" s="229">
        <v>8.8000000000000005E-3</v>
      </c>
      <c r="Q58" s="231">
        <v>3958.9</v>
      </c>
      <c r="R58" s="231">
        <v>3925.8</v>
      </c>
      <c r="S58" s="228">
        <v>33.1</v>
      </c>
      <c r="T58" s="229">
        <v>8.3999999999999995E-3</v>
      </c>
      <c r="U58" s="231">
        <v>3972</v>
      </c>
      <c r="V58" s="231">
        <v>3910.1</v>
      </c>
      <c r="W58" s="228">
        <v>61.9</v>
      </c>
      <c r="X58" s="229">
        <v>1.5800000000000002E-2</v>
      </c>
      <c r="Y58" s="228">
        <v>11.8</v>
      </c>
      <c r="Z58" s="228">
        <v>-13.9</v>
      </c>
      <c r="AA58" s="228">
        <v>25.7</v>
      </c>
      <c r="AB58" s="229">
        <v>3.0000000000000001E-3</v>
      </c>
      <c r="AC58" s="228">
        <v>11.8</v>
      </c>
      <c r="AD58" s="228">
        <v>-13.9</v>
      </c>
      <c r="AE58" s="228">
        <v>25.7</v>
      </c>
      <c r="AF58" s="229">
        <v>3.0000000000000001E-3</v>
      </c>
      <c r="AG58" s="228">
        <v>5.3</v>
      </c>
      <c r="AH58" s="228">
        <v>-19</v>
      </c>
      <c r="AI58" s="228">
        <v>24.3</v>
      </c>
      <c r="AJ58" s="229">
        <v>1.2999999999999999E-3</v>
      </c>
      <c r="AK58" s="228">
        <v>18.399999999999999</v>
      </c>
      <c r="AL58" s="228">
        <v>-34.700000000000003</v>
      </c>
      <c r="AM58" s="228">
        <v>53.1</v>
      </c>
      <c r="AN58" s="229">
        <v>4.7000000000000002E-3</v>
      </c>
      <c r="AO58" s="231">
        <v>3938.69</v>
      </c>
      <c r="AP58" s="231">
        <v>3939.15</v>
      </c>
      <c r="AQ58" s="228">
        <v>0</v>
      </c>
      <c r="AR58" s="230">
        <v>1084200</v>
      </c>
      <c r="AS58" s="230">
        <v>732300</v>
      </c>
      <c r="AT58" s="230">
        <v>351900</v>
      </c>
      <c r="AU58" s="229">
        <v>0.48049999999999998</v>
      </c>
      <c r="AV58" s="230">
        <v>925800</v>
      </c>
      <c r="AW58" s="230">
        <v>574200</v>
      </c>
      <c r="AX58" s="230">
        <v>351600</v>
      </c>
      <c r="AY58" s="229">
        <v>0.61229999999999996</v>
      </c>
      <c r="AZ58" s="230">
        <v>156150</v>
      </c>
      <c r="BA58" s="230">
        <v>154800</v>
      </c>
      <c r="BB58" s="230">
        <v>1350</v>
      </c>
      <c r="BC58" s="229">
        <v>8.6999999999999994E-3</v>
      </c>
      <c r="BD58" s="230">
        <v>2250</v>
      </c>
      <c r="BE58" s="230">
        <v>3300</v>
      </c>
      <c r="BF58" s="230">
        <v>-1050</v>
      </c>
      <c r="BG58" s="229">
        <v>-0.31819999999999998</v>
      </c>
      <c r="BH58" s="230">
        <v>1922850</v>
      </c>
      <c r="BI58" s="230">
        <v>1902000</v>
      </c>
      <c r="BJ58" s="230">
        <v>20850</v>
      </c>
      <c r="BK58" s="229">
        <v>1.0999999999999999E-2</v>
      </c>
      <c r="BL58" s="230">
        <v>934350</v>
      </c>
      <c r="BM58" s="230">
        <v>879450</v>
      </c>
      <c r="BN58" s="230">
        <v>54900</v>
      </c>
      <c r="BO58" s="229">
        <v>6.2399999999999997E-2</v>
      </c>
      <c r="BP58" s="230">
        <v>3941400</v>
      </c>
      <c r="BQ58" s="230">
        <v>3513750</v>
      </c>
      <c r="BR58" s="230">
        <v>427650</v>
      </c>
      <c r="BS58" s="229">
        <v>0.1217</v>
      </c>
      <c r="BT58" s="230">
        <v>409573</v>
      </c>
      <c r="BU58" s="230">
        <v>397556</v>
      </c>
      <c r="BV58" s="230">
        <v>12017</v>
      </c>
      <c r="BW58" s="229">
        <v>3.0200000000000001E-2</v>
      </c>
      <c r="BX58" s="230">
        <v>6249750</v>
      </c>
      <c r="BY58" s="230">
        <v>5993850</v>
      </c>
      <c r="BZ58" s="230">
        <v>255900</v>
      </c>
      <c r="CA58" s="229">
        <v>4.2700000000000002E-2</v>
      </c>
      <c r="CB58" s="230">
        <v>5621550</v>
      </c>
      <c r="CC58" s="230">
        <v>5482050</v>
      </c>
      <c r="CD58" s="230">
        <v>139500</v>
      </c>
      <c r="CE58" s="229">
        <v>2.5399999999999999E-2</v>
      </c>
      <c r="CF58" s="230">
        <v>616650</v>
      </c>
      <c r="CG58" s="230">
        <v>500850</v>
      </c>
      <c r="CH58" s="230">
        <v>115800</v>
      </c>
      <c r="CI58" s="229">
        <v>0.23119999999999999</v>
      </c>
      <c r="CJ58" s="230">
        <v>11550</v>
      </c>
      <c r="CK58" s="230">
        <v>10950</v>
      </c>
      <c r="CL58" s="228">
        <v>600</v>
      </c>
      <c r="CM58" s="229">
        <v>5.4800000000000001E-2</v>
      </c>
      <c r="CN58" s="230">
        <v>1345950</v>
      </c>
      <c r="CO58" s="230">
        <v>1263750</v>
      </c>
      <c r="CP58" s="230">
        <v>82200</v>
      </c>
      <c r="CQ58" s="229">
        <v>6.5000000000000002E-2</v>
      </c>
      <c r="CR58" s="230">
        <v>977250</v>
      </c>
      <c r="CS58" s="230">
        <v>923700</v>
      </c>
      <c r="CT58" s="230">
        <v>53550</v>
      </c>
      <c r="CU58" s="229">
        <v>5.8000000000000003E-2</v>
      </c>
      <c r="CV58" s="230">
        <v>8572950</v>
      </c>
      <c r="CW58" s="230">
        <v>8181300</v>
      </c>
      <c r="CX58" s="230">
        <v>391650</v>
      </c>
      <c r="CY58" s="229">
        <v>4.7899999999999998E-2</v>
      </c>
      <c r="CZ58" s="228">
        <v>27.25</v>
      </c>
      <c r="DA58" s="228">
        <v>27.34</v>
      </c>
      <c r="DB58" s="228">
        <v>-0.09</v>
      </c>
      <c r="DC58" s="228">
        <v>-0.09</v>
      </c>
      <c r="DD58" s="228">
        <v>29.88</v>
      </c>
      <c r="DE58" s="228">
        <v>29.93</v>
      </c>
      <c r="DF58" s="228">
        <v>-2.63</v>
      </c>
      <c r="DG58" s="228">
        <v>-0.05</v>
      </c>
      <c r="DH58" s="228">
        <v>26.12</v>
      </c>
      <c r="DI58" s="228">
        <v>26.43</v>
      </c>
      <c r="DJ58" s="228">
        <v>-0.31</v>
      </c>
      <c r="DK58" s="228">
        <v>-0.31</v>
      </c>
      <c r="DL58" s="228">
        <v>29.57</v>
      </c>
      <c r="DM58" s="228">
        <v>29.33</v>
      </c>
      <c r="DN58" s="228">
        <v>0.24</v>
      </c>
      <c r="DO58" s="228">
        <v>0.24</v>
      </c>
      <c r="DP58" s="228">
        <v>0.73</v>
      </c>
      <c r="DQ58" s="228">
        <v>0.73</v>
      </c>
      <c r="DR58" s="228">
        <v>0</v>
      </c>
      <c r="DS58" s="229">
        <v>0</v>
      </c>
      <c r="DT58" s="231">
        <v>4000</v>
      </c>
      <c r="DU58" s="231">
        <v>3600</v>
      </c>
      <c r="DV58" s="228">
        <v>0.49</v>
      </c>
      <c r="DW58" s="228">
        <v>0.46</v>
      </c>
      <c r="DX58" s="228">
        <v>0.03</v>
      </c>
      <c r="DY58" s="229">
        <v>6.5199999999999994E-2</v>
      </c>
      <c r="DZ58" s="229">
        <v>0.10050000000000001</v>
      </c>
      <c r="EA58" s="230">
        <v>511800</v>
      </c>
      <c r="EB58" s="229">
        <v>-1.6000000000000001E-3</v>
      </c>
      <c r="EC58" s="229">
        <v>0.10050000000000001</v>
      </c>
      <c r="ED58" s="228">
        <v>0.46</v>
      </c>
      <c r="EE58" s="229">
        <v>1E-4</v>
      </c>
      <c r="EF58" s="230">
        <v>254528</v>
      </c>
      <c r="EG58" s="230">
        <v>244937</v>
      </c>
      <c r="EH58" s="229">
        <v>3.9199999999999999E-2</v>
      </c>
      <c r="EI58" s="229">
        <v>0.62139999999999995</v>
      </c>
      <c r="EJ58" s="231">
        <v>79385.87</v>
      </c>
      <c r="EK58" s="231">
        <v>36176.879999999997</v>
      </c>
      <c r="EL58" s="231">
        <v>42704.05</v>
      </c>
      <c r="EM58" s="231">
        <v>5516</v>
      </c>
      <c r="EN58" s="231">
        <v>158266.79999999999</v>
      </c>
      <c r="EO58" s="231">
        <v>141484.57999999999</v>
      </c>
      <c r="EP58" s="231">
        <v>16782.22</v>
      </c>
      <c r="EQ58" s="229">
        <v>0.1186</v>
      </c>
      <c r="ER58" s="231">
        <v>55048</v>
      </c>
      <c r="ES58" s="231">
        <v>36338</v>
      </c>
      <c r="ET58" s="231">
        <v>247788</v>
      </c>
      <c r="EU58" s="231">
        <v>18750186</v>
      </c>
      <c r="EV58" s="231">
        <v>339174</v>
      </c>
      <c r="EW58" s="231">
        <v>321613</v>
      </c>
      <c r="EX58" s="231">
        <v>17561</v>
      </c>
      <c r="EY58" s="229">
        <v>5.4600000000000003E-2</v>
      </c>
      <c r="EZ58" s="229">
        <v>0.4572</v>
      </c>
      <c r="FA58" s="227" t="s">
        <v>555</v>
      </c>
      <c r="FB58" s="161">
        <f t="shared" si="0"/>
        <v>628200</v>
      </c>
    </row>
    <row r="59" spans="1:158" ht="17.25" thickBot="1" x14ac:dyDescent="0.3">
      <c r="A59" s="226">
        <v>46093</v>
      </c>
      <c r="B59" s="227" t="s">
        <v>170</v>
      </c>
      <c r="C59" s="227" t="s">
        <v>208</v>
      </c>
      <c r="D59" s="228">
        <v>625</v>
      </c>
      <c r="E59" s="231">
        <v>1324.2</v>
      </c>
      <c r="F59" s="231">
        <v>1326.5</v>
      </c>
      <c r="G59" s="228">
        <v>-2.2999999999999998</v>
      </c>
      <c r="H59" s="229">
        <v>-1.6999999999999999E-3</v>
      </c>
      <c r="I59" s="231">
        <v>1319</v>
      </c>
      <c r="J59" s="231">
        <v>1325.5</v>
      </c>
      <c r="K59" s="228">
        <v>-6.5</v>
      </c>
      <c r="L59" s="229">
        <v>-4.8999999999999998E-3</v>
      </c>
      <c r="M59" s="231">
        <v>1324.2</v>
      </c>
      <c r="N59" s="231">
        <v>1326.5</v>
      </c>
      <c r="O59" s="228">
        <v>-2.2999999999999998</v>
      </c>
      <c r="P59" s="229">
        <v>-1.6999999999999999E-3</v>
      </c>
      <c r="Q59" s="231">
        <v>1332.4</v>
      </c>
      <c r="R59" s="231">
        <v>1334.2</v>
      </c>
      <c r="S59" s="228">
        <v>-1.8</v>
      </c>
      <c r="T59" s="229">
        <v>-1.2999999999999999E-3</v>
      </c>
      <c r="U59" s="231">
        <v>1341.5</v>
      </c>
      <c r="V59" s="231">
        <v>1340.9</v>
      </c>
      <c r="W59" s="228">
        <v>0.6</v>
      </c>
      <c r="X59" s="229">
        <v>4.0000000000000002E-4</v>
      </c>
      <c r="Y59" s="228">
        <v>5.2</v>
      </c>
      <c r="Z59" s="228">
        <v>1</v>
      </c>
      <c r="AA59" s="228">
        <v>4.2</v>
      </c>
      <c r="AB59" s="229">
        <v>3.8999999999999998E-3</v>
      </c>
      <c r="AC59" s="228">
        <v>5.2</v>
      </c>
      <c r="AD59" s="228">
        <v>1</v>
      </c>
      <c r="AE59" s="228">
        <v>4.2</v>
      </c>
      <c r="AF59" s="229">
        <v>3.8999999999999998E-3</v>
      </c>
      <c r="AG59" s="228">
        <v>13.4</v>
      </c>
      <c r="AH59" s="228">
        <v>8.6999999999999993</v>
      </c>
      <c r="AI59" s="228">
        <v>4.7</v>
      </c>
      <c r="AJ59" s="229">
        <v>1.0200000000000001E-2</v>
      </c>
      <c r="AK59" s="228">
        <v>22.5</v>
      </c>
      <c r="AL59" s="228">
        <v>15.4</v>
      </c>
      <c r="AM59" s="228">
        <v>7.1</v>
      </c>
      <c r="AN59" s="229">
        <v>1.7100000000000001E-2</v>
      </c>
      <c r="AO59" s="231">
        <v>1322.06</v>
      </c>
      <c r="AP59" s="231">
        <v>1328.59</v>
      </c>
      <c r="AQ59" s="228">
        <v>0</v>
      </c>
      <c r="AR59" s="230">
        <v>2460000</v>
      </c>
      <c r="AS59" s="230">
        <v>3194375</v>
      </c>
      <c r="AT59" s="230">
        <v>-734375</v>
      </c>
      <c r="AU59" s="229">
        <v>-0.22989999999999999</v>
      </c>
      <c r="AV59" s="230">
        <v>2322500</v>
      </c>
      <c r="AW59" s="230">
        <v>3085625</v>
      </c>
      <c r="AX59" s="230">
        <v>-763125</v>
      </c>
      <c r="AY59" s="229">
        <v>-0.24729999999999999</v>
      </c>
      <c r="AZ59" s="230">
        <v>133750</v>
      </c>
      <c r="BA59" s="230">
        <v>105000</v>
      </c>
      <c r="BB59" s="230">
        <v>28750</v>
      </c>
      <c r="BC59" s="229">
        <v>0.27379999999999999</v>
      </c>
      <c r="BD59" s="230">
        <v>3750</v>
      </c>
      <c r="BE59" s="230">
        <v>3750</v>
      </c>
      <c r="BF59" s="228">
        <v>0</v>
      </c>
      <c r="BG59" s="229">
        <v>0</v>
      </c>
      <c r="BH59" s="230">
        <v>10790000</v>
      </c>
      <c r="BI59" s="230">
        <v>19485625</v>
      </c>
      <c r="BJ59" s="230">
        <v>-8695625</v>
      </c>
      <c r="BK59" s="229">
        <v>-0.44629999999999997</v>
      </c>
      <c r="BL59" s="230">
        <v>3957500</v>
      </c>
      <c r="BM59" s="230">
        <v>5651875</v>
      </c>
      <c r="BN59" s="230">
        <v>-1694375</v>
      </c>
      <c r="BO59" s="229">
        <v>-0.29980000000000001</v>
      </c>
      <c r="BP59" s="230">
        <v>17207500</v>
      </c>
      <c r="BQ59" s="230">
        <v>28331875</v>
      </c>
      <c r="BR59" s="230">
        <v>-11124375</v>
      </c>
      <c r="BS59" s="229">
        <v>-0.3926</v>
      </c>
      <c r="BT59" s="230">
        <v>2011185</v>
      </c>
      <c r="BU59" s="230">
        <v>2525403</v>
      </c>
      <c r="BV59" s="230">
        <v>-514218</v>
      </c>
      <c r="BW59" s="229">
        <v>-0.2036</v>
      </c>
      <c r="BX59" s="230">
        <v>14965000</v>
      </c>
      <c r="BY59" s="230">
        <v>14966875</v>
      </c>
      <c r="BZ59" s="230">
        <v>-1875</v>
      </c>
      <c r="CA59" s="229">
        <v>-1E-4</v>
      </c>
      <c r="CB59" s="230">
        <v>14682500</v>
      </c>
      <c r="CC59" s="230">
        <v>14731250</v>
      </c>
      <c r="CD59" s="230">
        <v>-48750</v>
      </c>
      <c r="CE59" s="229">
        <v>-3.3E-3</v>
      </c>
      <c r="CF59" s="230">
        <v>258125</v>
      </c>
      <c r="CG59" s="230">
        <v>211875</v>
      </c>
      <c r="CH59" s="230">
        <v>46250</v>
      </c>
      <c r="CI59" s="229">
        <v>0.21829999999999999</v>
      </c>
      <c r="CJ59" s="230">
        <v>24375</v>
      </c>
      <c r="CK59" s="230">
        <v>23750</v>
      </c>
      <c r="CL59" s="228">
        <v>625</v>
      </c>
      <c r="CM59" s="229">
        <v>2.63E-2</v>
      </c>
      <c r="CN59" s="230">
        <v>9868750</v>
      </c>
      <c r="CO59" s="230">
        <v>9796250</v>
      </c>
      <c r="CP59" s="230">
        <v>72500</v>
      </c>
      <c r="CQ59" s="229">
        <v>7.4000000000000003E-3</v>
      </c>
      <c r="CR59" s="230">
        <v>4674375</v>
      </c>
      <c r="CS59" s="230">
        <v>4519375</v>
      </c>
      <c r="CT59" s="230">
        <v>155000</v>
      </c>
      <c r="CU59" s="229">
        <v>3.4299999999999997E-2</v>
      </c>
      <c r="CV59" s="230">
        <v>29508125</v>
      </c>
      <c r="CW59" s="230">
        <v>29282500</v>
      </c>
      <c r="CX59" s="230">
        <v>225625</v>
      </c>
      <c r="CY59" s="229">
        <v>7.7000000000000002E-3</v>
      </c>
      <c r="CZ59" s="228">
        <v>23.93</v>
      </c>
      <c r="DA59" s="228">
        <v>23.71</v>
      </c>
      <c r="DB59" s="228">
        <v>0.22</v>
      </c>
      <c r="DC59" s="228">
        <v>0.22</v>
      </c>
      <c r="DD59" s="228">
        <v>24.98</v>
      </c>
      <c r="DE59" s="228">
        <v>25.03</v>
      </c>
      <c r="DF59" s="228">
        <v>-1.05</v>
      </c>
      <c r="DG59" s="228">
        <v>-0.05</v>
      </c>
      <c r="DH59" s="228">
        <v>22.97</v>
      </c>
      <c r="DI59" s="228">
        <v>23</v>
      </c>
      <c r="DJ59" s="228">
        <v>-0.03</v>
      </c>
      <c r="DK59" s="228">
        <v>-0.03</v>
      </c>
      <c r="DL59" s="228">
        <v>26.54</v>
      </c>
      <c r="DM59" s="228">
        <v>26.17</v>
      </c>
      <c r="DN59" s="228">
        <v>0.37</v>
      </c>
      <c r="DO59" s="228">
        <v>0.37</v>
      </c>
      <c r="DP59" s="228">
        <v>0.47</v>
      </c>
      <c r="DQ59" s="228">
        <v>0.46</v>
      </c>
      <c r="DR59" s="228">
        <v>0.01</v>
      </c>
      <c r="DS59" s="229">
        <v>2.1700000000000001E-2</v>
      </c>
      <c r="DT59" s="231">
        <v>1350</v>
      </c>
      <c r="DU59" s="231">
        <v>1300</v>
      </c>
      <c r="DV59" s="228">
        <v>0.37</v>
      </c>
      <c r="DW59" s="228">
        <v>0.28999999999999998</v>
      </c>
      <c r="DX59" s="228">
        <v>0.08</v>
      </c>
      <c r="DY59" s="229">
        <v>0.27589999999999998</v>
      </c>
      <c r="DZ59" s="229">
        <v>1.89E-2</v>
      </c>
      <c r="EA59" s="230">
        <v>235625</v>
      </c>
      <c r="EB59" s="229">
        <v>6.1999999999999998E-3</v>
      </c>
      <c r="EC59" s="229">
        <v>1.89E-2</v>
      </c>
      <c r="ED59" s="228">
        <v>6.53</v>
      </c>
      <c r="EE59" s="229">
        <v>4.8999999999999998E-3</v>
      </c>
      <c r="EF59" s="230">
        <v>1083064</v>
      </c>
      <c r="EG59" s="230">
        <v>1561178</v>
      </c>
      <c r="EH59" s="229">
        <v>-0.30630000000000002</v>
      </c>
      <c r="EI59" s="229">
        <v>0.53849999999999998</v>
      </c>
      <c r="EJ59" s="231">
        <v>147507.21</v>
      </c>
      <c r="EK59" s="231">
        <v>51715.68</v>
      </c>
      <c r="EL59" s="231">
        <v>32531.97</v>
      </c>
      <c r="EM59" s="231">
        <v>4313</v>
      </c>
      <c r="EN59" s="231">
        <v>231754.86</v>
      </c>
      <c r="EO59" s="231">
        <v>383775.12</v>
      </c>
      <c r="EP59" s="231">
        <v>-152020.26</v>
      </c>
      <c r="EQ59" s="229">
        <v>-0.39610000000000001</v>
      </c>
      <c r="ER59" s="231">
        <v>133626</v>
      </c>
      <c r="ES59" s="231">
        <v>58415</v>
      </c>
      <c r="ET59" s="231">
        <v>198192</v>
      </c>
      <c r="EU59" s="231">
        <v>91531454</v>
      </c>
      <c r="EV59" s="231">
        <v>390233</v>
      </c>
      <c r="EW59" s="231">
        <v>387533</v>
      </c>
      <c r="EX59" s="231">
        <v>2700</v>
      </c>
      <c r="EY59" s="229">
        <v>7.0000000000000001E-3</v>
      </c>
      <c r="EZ59" s="229">
        <v>0.32240000000000002</v>
      </c>
      <c r="FA59" s="227" t="s">
        <v>568</v>
      </c>
      <c r="FB59" s="161">
        <f t="shared" si="0"/>
        <v>282500</v>
      </c>
    </row>
    <row r="60" spans="1:158" ht="17.25" thickBot="1" x14ac:dyDescent="0.3">
      <c r="A60" s="226">
        <v>46093</v>
      </c>
      <c r="B60" s="227" t="s">
        <v>162</v>
      </c>
      <c r="C60" s="227" t="s">
        <v>209</v>
      </c>
      <c r="D60" s="228">
        <v>100</v>
      </c>
      <c r="E60" s="231">
        <v>7005</v>
      </c>
      <c r="F60" s="231">
        <v>7277.5</v>
      </c>
      <c r="G60" s="228">
        <v>-272.5</v>
      </c>
      <c r="H60" s="229">
        <v>-3.7400000000000003E-2</v>
      </c>
      <c r="I60" s="231">
        <v>6975.5</v>
      </c>
      <c r="J60" s="231">
        <v>7253.5</v>
      </c>
      <c r="K60" s="228">
        <v>-278</v>
      </c>
      <c r="L60" s="229">
        <v>-3.8300000000000001E-2</v>
      </c>
      <c r="M60" s="231">
        <v>7005</v>
      </c>
      <c r="N60" s="231">
        <v>7277.5</v>
      </c>
      <c r="O60" s="228">
        <v>-272.5</v>
      </c>
      <c r="P60" s="229">
        <v>-3.7400000000000003E-2</v>
      </c>
      <c r="Q60" s="231">
        <v>7046.5</v>
      </c>
      <c r="R60" s="231">
        <v>7324.5</v>
      </c>
      <c r="S60" s="228">
        <v>-278</v>
      </c>
      <c r="T60" s="229">
        <v>-3.7999999999999999E-2</v>
      </c>
      <c r="U60" s="231">
        <v>7082</v>
      </c>
      <c r="V60" s="231">
        <v>7363.5</v>
      </c>
      <c r="W60" s="228">
        <v>-281.5</v>
      </c>
      <c r="X60" s="229">
        <v>-3.8199999999999998E-2</v>
      </c>
      <c r="Y60" s="228">
        <v>29.5</v>
      </c>
      <c r="Z60" s="228">
        <v>24</v>
      </c>
      <c r="AA60" s="228">
        <v>5.5</v>
      </c>
      <c r="AB60" s="229">
        <v>4.1999999999999997E-3</v>
      </c>
      <c r="AC60" s="228">
        <v>29.5</v>
      </c>
      <c r="AD60" s="228">
        <v>24</v>
      </c>
      <c r="AE60" s="228">
        <v>5.5</v>
      </c>
      <c r="AF60" s="229">
        <v>4.1999999999999997E-3</v>
      </c>
      <c r="AG60" s="228">
        <v>71</v>
      </c>
      <c r="AH60" s="228">
        <v>71</v>
      </c>
      <c r="AI60" s="228">
        <v>0</v>
      </c>
      <c r="AJ60" s="229">
        <v>1.0200000000000001E-2</v>
      </c>
      <c r="AK60" s="228">
        <v>106.5</v>
      </c>
      <c r="AL60" s="228">
        <v>110</v>
      </c>
      <c r="AM60" s="228">
        <v>-3.5</v>
      </c>
      <c r="AN60" s="229">
        <v>1.5299999999999999E-2</v>
      </c>
      <c r="AO60" s="231">
        <v>7057.98</v>
      </c>
      <c r="AP60" s="231">
        <v>7101.37</v>
      </c>
      <c r="AQ60" s="228">
        <v>0</v>
      </c>
      <c r="AR60" s="230">
        <v>1022400</v>
      </c>
      <c r="AS60" s="230">
        <v>534300</v>
      </c>
      <c r="AT60" s="230">
        <v>488100</v>
      </c>
      <c r="AU60" s="229">
        <v>0.91349999999999998</v>
      </c>
      <c r="AV60" s="230">
        <v>919100</v>
      </c>
      <c r="AW60" s="230">
        <v>496500</v>
      </c>
      <c r="AX60" s="230">
        <v>422600</v>
      </c>
      <c r="AY60" s="229">
        <v>0.85119999999999996</v>
      </c>
      <c r="AZ60" s="230">
        <v>95500</v>
      </c>
      <c r="BA60" s="230">
        <v>34700</v>
      </c>
      <c r="BB60" s="230">
        <v>60800</v>
      </c>
      <c r="BC60" s="229">
        <v>1.7522</v>
      </c>
      <c r="BD60" s="230">
        <v>7800</v>
      </c>
      <c r="BE60" s="230">
        <v>3100</v>
      </c>
      <c r="BF60" s="230">
        <v>4700</v>
      </c>
      <c r="BG60" s="229">
        <v>1.5161</v>
      </c>
      <c r="BH60" s="230">
        <v>3932700</v>
      </c>
      <c r="BI60" s="230">
        <v>2182900</v>
      </c>
      <c r="BJ60" s="230">
        <v>1749800</v>
      </c>
      <c r="BK60" s="229">
        <v>0.80159999999999998</v>
      </c>
      <c r="BL60" s="230">
        <v>2752200</v>
      </c>
      <c r="BM60" s="230">
        <v>1515100</v>
      </c>
      <c r="BN60" s="230">
        <v>1237100</v>
      </c>
      <c r="BO60" s="229">
        <v>0.8165</v>
      </c>
      <c r="BP60" s="230">
        <v>7707300</v>
      </c>
      <c r="BQ60" s="230">
        <v>4232300</v>
      </c>
      <c r="BR60" s="230">
        <v>3475000</v>
      </c>
      <c r="BS60" s="229">
        <v>0.82110000000000005</v>
      </c>
      <c r="BT60" s="230">
        <v>1317854</v>
      </c>
      <c r="BU60" s="230">
        <v>641722</v>
      </c>
      <c r="BV60" s="230">
        <v>676132</v>
      </c>
      <c r="BW60" s="229">
        <v>1.0536000000000001</v>
      </c>
      <c r="BX60" s="230">
        <v>3447900</v>
      </c>
      <c r="BY60" s="230">
        <v>3212200</v>
      </c>
      <c r="BZ60" s="230">
        <v>235700</v>
      </c>
      <c r="CA60" s="229">
        <v>7.3400000000000007E-2</v>
      </c>
      <c r="CB60" s="230">
        <v>3279800</v>
      </c>
      <c r="CC60" s="230">
        <v>3088700</v>
      </c>
      <c r="CD60" s="230">
        <v>191100</v>
      </c>
      <c r="CE60" s="229">
        <v>6.1899999999999997E-2</v>
      </c>
      <c r="CF60" s="230">
        <v>153400</v>
      </c>
      <c r="CG60" s="230">
        <v>110400</v>
      </c>
      <c r="CH60" s="230">
        <v>43000</v>
      </c>
      <c r="CI60" s="229">
        <v>0.38950000000000001</v>
      </c>
      <c r="CJ60" s="230">
        <v>14700</v>
      </c>
      <c r="CK60" s="230">
        <v>13100</v>
      </c>
      <c r="CL60" s="230">
        <v>1600</v>
      </c>
      <c r="CM60" s="229">
        <v>0.1221</v>
      </c>
      <c r="CN60" s="230">
        <v>2684600</v>
      </c>
      <c r="CO60" s="230">
        <v>2297600</v>
      </c>
      <c r="CP60" s="230">
        <v>387000</v>
      </c>
      <c r="CQ60" s="229">
        <v>0.16839999999999999</v>
      </c>
      <c r="CR60" s="230">
        <v>1449400</v>
      </c>
      <c r="CS60" s="230">
        <v>1340200</v>
      </c>
      <c r="CT60" s="230">
        <v>109200</v>
      </c>
      <c r="CU60" s="229">
        <v>8.1500000000000003E-2</v>
      </c>
      <c r="CV60" s="230">
        <v>7581900</v>
      </c>
      <c r="CW60" s="230">
        <v>6850000</v>
      </c>
      <c r="CX60" s="230">
        <v>731900</v>
      </c>
      <c r="CY60" s="229">
        <v>0.10680000000000001</v>
      </c>
      <c r="CZ60" s="228">
        <v>36.86</v>
      </c>
      <c r="DA60" s="228">
        <v>34.369999999999997</v>
      </c>
      <c r="DB60" s="228">
        <v>2.4900000000000002</v>
      </c>
      <c r="DC60" s="228">
        <v>2.4900000000000002</v>
      </c>
      <c r="DD60" s="228">
        <v>30.04</v>
      </c>
      <c r="DE60" s="228">
        <v>29.65</v>
      </c>
      <c r="DF60" s="228">
        <v>6.82</v>
      </c>
      <c r="DG60" s="228">
        <v>0.39</v>
      </c>
      <c r="DH60" s="228">
        <v>36.840000000000003</v>
      </c>
      <c r="DI60" s="228">
        <v>34.51</v>
      </c>
      <c r="DJ60" s="228">
        <v>2.33</v>
      </c>
      <c r="DK60" s="228">
        <v>2.33</v>
      </c>
      <c r="DL60" s="228">
        <v>36.89</v>
      </c>
      <c r="DM60" s="228">
        <v>34.17</v>
      </c>
      <c r="DN60" s="228">
        <v>2.72</v>
      </c>
      <c r="DO60" s="228">
        <v>2.72</v>
      </c>
      <c r="DP60" s="228">
        <v>0.54</v>
      </c>
      <c r="DQ60" s="228">
        <v>0.57999999999999996</v>
      </c>
      <c r="DR60" s="228">
        <v>-0.04</v>
      </c>
      <c r="DS60" s="229">
        <v>-6.9000000000000006E-2</v>
      </c>
      <c r="DT60" s="231">
        <v>8000</v>
      </c>
      <c r="DU60" s="231">
        <v>7000</v>
      </c>
      <c r="DV60" s="228">
        <v>0.7</v>
      </c>
      <c r="DW60" s="228">
        <v>0.69</v>
      </c>
      <c r="DX60" s="228">
        <v>0.01</v>
      </c>
      <c r="DY60" s="229">
        <v>1.4500000000000001E-2</v>
      </c>
      <c r="DZ60" s="229">
        <v>4.8800000000000003E-2</v>
      </c>
      <c r="EA60" s="230">
        <v>123500</v>
      </c>
      <c r="EB60" s="229">
        <v>5.8999999999999999E-3</v>
      </c>
      <c r="EC60" s="229">
        <v>4.8800000000000003E-2</v>
      </c>
      <c r="ED60" s="228">
        <v>43.39</v>
      </c>
      <c r="EE60" s="229">
        <v>6.1000000000000004E-3</v>
      </c>
      <c r="EF60" s="230">
        <v>786618</v>
      </c>
      <c r="EG60" s="230">
        <v>364936</v>
      </c>
      <c r="EH60" s="229">
        <v>1.1555</v>
      </c>
      <c r="EI60" s="229">
        <v>0.59689999999999999</v>
      </c>
      <c r="EJ60" s="231">
        <v>304672.92</v>
      </c>
      <c r="EK60" s="231">
        <v>194984.84</v>
      </c>
      <c r="EL60" s="231">
        <v>72209.460000000006</v>
      </c>
      <c r="EM60" s="231">
        <v>5428</v>
      </c>
      <c r="EN60" s="231">
        <v>571867.22</v>
      </c>
      <c r="EO60" s="231">
        <v>327026.87</v>
      </c>
      <c r="EP60" s="231">
        <v>244840.35</v>
      </c>
      <c r="EQ60" s="229">
        <v>0.74870000000000003</v>
      </c>
      <c r="ER60" s="231">
        <v>216138</v>
      </c>
      <c r="ES60" s="231">
        <v>107230</v>
      </c>
      <c r="ET60" s="231">
        <v>241600</v>
      </c>
      <c r="EU60" s="231">
        <v>19199175</v>
      </c>
      <c r="EV60" s="231">
        <v>564968</v>
      </c>
      <c r="EW60" s="231">
        <v>521264</v>
      </c>
      <c r="EX60" s="231">
        <v>43704</v>
      </c>
      <c r="EY60" s="229">
        <v>8.3799999999999999E-2</v>
      </c>
      <c r="EZ60" s="229">
        <v>0.39489999999999997</v>
      </c>
      <c r="FA60" s="227" t="s">
        <v>567</v>
      </c>
      <c r="FB60" s="161">
        <f t="shared" si="0"/>
        <v>168100</v>
      </c>
    </row>
    <row r="61" spans="1:158" ht="17.25" thickBot="1" x14ac:dyDescent="0.3">
      <c r="A61" s="226">
        <v>46093</v>
      </c>
      <c r="B61" s="227" t="s">
        <v>615</v>
      </c>
      <c r="C61" s="227" t="s">
        <v>666</v>
      </c>
      <c r="D61" s="228">
        <v>2425</v>
      </c>
      <c r="E61" s="228">
        <v>221.99</v>
      </c>
      <c r="F61" s="228">
        <v>224</v>
      </c>
      <c r="G61" s="228">
        <v>-2.0099999999999998</v>
      </c>
      <c r="H61" s="229">
        <v>-8.9999999999999993E-3</v>
      </c>
      <c r="I61" s="228">
        <v>221.17</v>
      </c>
      <c r="J61" s="228">
        <v>223.8</v>
      </c>
      <c r="K61" s="228">
        <v>-2.63</v>
      </c>
      <c r="L61" s="229">
        <v>-1.18E-2</v>
      </c>
      <c r="M61" s="228">
        <v>221.99</v>
      </c>
      <c r="N61" s="228">
        <v>224</v>
      </c>
      <c r="O61" s="228">
        <v>-2.0099999999999998</v>
      </c>
      <c r="P61" s="229">
        <v>-8.9999999999999993E-3</v>
      </c>
      <c r="Q61" s="228">
        <v>223.34</v>
      </c>
      <c r="R61" s="228">
        <v>225.45</v>
      </c>
      <c r="S61" s="228">
        <v>-2.11</v>
      </c>
      <c r="T61" s="229">
        <v>-9.4000000000000004E-3</v>
      </c>
      <c r="U61" s="228">
        <v>224.34</v>
      </c>
      <c r="V61" s="228">
        <v>226.69</v>
      </c>
      <c r="W61" s="228">
        <v>-2.35</v>
      </c>
      <c r="X61" s="229">
        <v>-1.04E-2</v>
      </c>
      <c r="Y61" s="228">
        <v>0.82</v>
      </c>
      <c r="Z61" s="228">
        <v>0.2</v>
      </c>
      <c r="AA61" s="228">
        <v>0.62</v>
      </c>
      <c r="AB61" s="229">
        <v>3.7000000000000002E-3</v>
      </c>
      <c r="AC61" s="228">
        <v>0.82</v>
      </c>
      <c r="AD61" s="228">
        <v>0.2</v>
      </c>
      <c r="AE61" s="228">
        <v>0.62</v>
      </c>
      <c r="AF61" s="229">
        <v>3.7000000000000002E-3</v>
      </c>
      <c r="AG61" s="228">
        <v>2.17</v>
      </c>
      <c r="AH61" s="228">
        <v>1.65</v>
      </c>
      <c r="AI61" s="228">
        <v>0.52</v>
      </c>
      <c r="AJ61" s="229">
        <v>9.7999999999999997E-3</v>
      </c>
      <c r="AK61" s="228">
        <v>3.17</v>
      </c>
      <c r="AL61" s="228">
        <v>2.89</v>
      </c>
      <c r="AM61" s="228">
        <v>0.28000000000000003</v>
      </c>
      <c r="AN61" s="229">
        <v>1.43E-2</v>
      </c>
      <c r="AO61" s="228">
        <v>219.72</v>
      </c>
      <c r="AP61" s="228">
        <v>220.63</v>
      </c>
      <c r="AQ61" s="228">
        <v>0</v>
      </c>
      <c r="AR61" s="230">
        <v>59713200</v>
      </c>
      <c r="AS61" s="230">
        <v>23107825</v>
      </c>
      <c r="AT61" s="230">
        <v>36605375</v>
      </c>
      <c r="AU61" s="229">
        <v>1.5841000000000001</v>
      </c>
      <c r="AV61" s="230">
        <v>45720950</v>
      </c>
      <c r="AW61" s="230">
        <v>20738600</v>
      </c>
      <c r="AX61" s="230">
        <v>24982350</v>
      </c>
      <c r="AY61" s="229">
        <v>1.2045999999999999</v>
      </c>
      <c r="AZ61" s="230">
        <v>6443225</v>
      </c>
      <c r="BA61" s="230">
        <v>2155825</v>
      </c>
      <c r="BB61" s="230">
        <v>4287400</v>
      </c>
      <c r="BC61" s="229">
        <v>1.9887999999999999</v>
      </c>
      <c r="BD61" s="230">
        <v>7549025</v>
      </c>
      <c r="BE61" s="230">
        <v>213400</v>
      </c>
      <c r="BF61" s="230">
        <v>7335625</v>
      </c>
      <c r="BG61" s="229">
        <v>34.375</v>
      </c>
      <c r="BH61" s="230">
        <v>116310275</v>
      </c>
      <c r="BI61" s="230">
        <v>70244975</v>
      </c>
      <c r="BJ61" s="230">
        <v>46065300</v>
      </c>
      <c r="BK61" s="229">
        <v>0.65580000000000005</v>
      </c>
      <c r="BL61" s="230">
        <v>140569975</v>
      </c>
      <c r="BM61" s="230">
        <v>50711600</v>
      </c>
      <c r="BN61" s="230">
        <v>89858375</v>
      </c>
      <c r="BO61" s="229">
        <v>1.7719</v>
      </c>
      <c r="BP61" s="230">
        <v>316593450</v>
      </c>
      <c r="BQ61" s="230">
        <v>144064400</v>
      </c>
      <c r="BR61" s="230">
        <v>172529050</v>
      </c>
      <c r="BS61" s="229">
        <v>1.1976</v>
      </c>
      <c r="BT61" s="230">
        <v>71921518</v>
      </c>
      <c r="BU61" s="230">
        <v>38807287</v>
      </c>
      <c r="BV61" s="230">
        <v>33114231</v>
      </c>
      <c r="BW61" s="229">
        <v>0.85329999999999995</v>
      </c>
      <c r="BX61" s="230">
        <v>300826100</v>
      </c>
      <c r="BY61" s="230">
        <v>298308950</v>
      </c>
      <c r="BZ61" s="230">
        <v>2517150</v>
      </c>
      <c r="CA61" s="229">
        <v>8.3999999999999995E-3</v>
      </c>
      <c r="CB61" s="230">
        <v>259331925</v>
      </c>
      <c r="CC61" s="230">
        <v>258776600</v>
      </c>
      <c r="CD61" s="230">
        <v>555325</v>
      </c>
      <c r="CE61" s="229">
        <v>2.0999999999999999E-3</v>
      </c>
      <c r="CF61" s="230">
        <v>26779275</v>
      </c>
      <c r="CG61" s="230">
        <v>25004175</v>
      </c>
      <c r="CH61" s="230">
        <v>1775100</v>
      </c>
      <c r="CI61" s="229">
        <v>7.0999999999999994E-2</v>
      </c>
      <c r="CJ61" s="230">
        <v>14714900</v>
      </c>
      <c r="CK61" s="230">
        <v>14528175</v>
      </c>
      <c r="CL61" s="230">
        <v>186725</v>
      </c>
      <c r="CM61" s="229">
        <v>1.29E-2</v>
      </c>
      <c r="CN61" s="230">
        <v>123408250</v>
      </c>
      <c r="CO61" s="230">
        <v>124390375</v>
      </c>
      <c r="CP61" s="230">
        <v>-982125</v>
      </c>
      <c r="CQ61" s="229">
        <v>-7.9000000000000008E-3</v>
      </c>
      <c r="CR61" s="230">
        <v>69970950</v>
      </c>
      <c r="CS61" s="230">
        <v>67402875</v>
      </c>
      <c r="CT61" s="230">
        <v>2568075</v>
      </c>
      <c r="CU61" s="229">
        <v>3.8100000000000002E-2</v>
      </c>
      <c r="CV61" s="230">
        <v>494205300</v>
      </c>
      <c r="CW61" s="230">
        <v>490102200</v>
      </c>
      <c r="CX61" s="230">
        <v>4103100</v>
      </c>
      <c r="CY61" s="229">
        <v>8.3999999999999995E-3</v>
      </c>
      <c r="CZ61" s="228">
        <v>48.98</v>
      </c>
      <c r="DA61" s="228">
        <v>47.75</v>
      </c>
      <c r="DB61" s="228">
        <v>1.23</v>
      </c>
      <c r="DC61" s="228">
        <v>1.23</v>
      </c>
      <c r="DD61" s="228">
        <v>44.47</v>
      </c>
      <c r="DE61" s="228">
        <v>44.55</v>
      </c>
      <c r="DF61" s="228">
        <v>4.51</v>
      </c>
      <c r="DG61" s="228">
        <v>-0.08</v>
      </c>
      <c r="DH61" s="228">
        <v>46.05</v>
      </c>
      <c r="DI61" s="228">
        <v>46.88</v>
      </c>
      <c r="DJ61" s="228">
        <v>-0.83</v>
      </c>
      <c r="DK61" s="228">
        <v>-0.83</v>
      </c>
      <c r="DL61" s="228">
        <v>51.4</v>
      </c>
      <c r="DM61" s="228">
        <v>48.96</v>
      </c>
      <c r="DN61" s="228">
        <v>2.44</v>
      </c>
      <c r="DO61" s="228">
        <v>2.44</v>
      </c>
      <c r="DP61" s="228">
        <v>0.56999999999999995</v>
      </c>
      <c r="DQ61" s="228">
        <v>0.54</v>
      </c>
      <c r="DR61" s="228">
        <v>0.03</v>
      </c>
      <c r="DS61" s="229">
        <v>5.5599999999999997E-2</v>
      </c>
      <c r="DT61" s="228">
        <v>250</v>
      </c>
      <c r="DU61" s="228">
        <v>220</v>
      </c>
      <c r="DV61" s="228">
        <v>1.21</v>
      </c>
      <c r="DW61" s="228">
        <v>0.72</v>
      </c>
      <c r="DX61" s="228">
        <v>0.49</v>
      </c>
      <c r="DY61" s="229">
        <v>0.68059999999999998</v>
      </c>
      <c r="DZ61" s="229">
        <v>0.13789999999999999</v>
      </c>
      <c r="EA61" s="230">
        <v>39532350</v>
      </c>
      <c r="EB61" s="229">
        <v>6.1000000000000004E-3</v>
      </c>
      <c r="EC61" s="229">
        <v>0.13789999999999999</v>
      </c>
      <c r="ED61" s="228">
        <v>0.91</v>
      </c>
      <c r="EE61" s="229">
        <v>4.1000000000000003E-3</v>
      </c>
      <c r="EF61" s="230">
        <v>32517603</v>
      </c>
      <c r="EG61" s="230">
        <v>21585714</v>
      </c>
      <c r="EH61" s="229">
        <v>0.50639999999999996</v>
      </c>
      <c r="EI61" s="229">
        <v>0.4521</v>
      </c>
      <c r="EJ61" s="231">
        <v>285195.94</v>
      </c>
      <c r="EK61" s="231">
        <v>301484.38</v>
      </c>
      <c r="EL61" s="231">
        <v>131677.01</v>
      </c>
      <c r="EM61" s="231">
        <v>18410</v>
      </c>
      <c r="EN61" s="231">
        <v>718357.33</v>
      </c>
      <c r="EO61" s="231">
        <v>342953.67</v>
      </c>
      <c r="EP61" s="231">
        <v>375403.66</v>
      </c>
      <c r="EQ61" s="229">
        <v>1.0946</v>
      </c>
      <c r="ER61" s="231">
        <v>327746</v>
      </c>
      <c r="ES61" s="231">
        <v>167175</v>
      </c>
      <c r="ET61" s="231">
        <v>668511</v>
      </c>
      <c r="EU61" s="231">
        <v>1251309857</v>
      </c>
      <c r="EV61" s="231">
        <v>1163432</v>
      </c>
      <c r="EW61" s="231">
        <v>1164184</v>
      </c>
      <c r="EX61" s="228">
        <v>-752</v>
      </c>
      <c r="EY61" s="229">
        <v>-5.9999999999999995E-4</v>
      </c>
      <c r="EZ61" s="229">
        <v>0.39500000000000002</v>
      </c>
      <c r="FA61" s="227" t="s">
        <v>567</v>
      </c>
      <c r="FB61" s="161">
        <f t="shared" si="0"/>
        <v>41494175</v>
      </c>
    </row>
    <row r="62" spans="1:158" ht="17.25" thickBot="1" x14ac:dyDescent="0.3">
      <c r="A62" s="226">
        <v>46093</v>
      </c>
      <c r="B62" s="227" t="s">
        <v>162</v>
      </c>
      <c r="C62" s="227" t="s">
        <v>211</v>
      </c>
      <c r="D62" s="228">
        <v>1800</v>
      </c>
      <c r="E62" s="228">
        <v>310.3</v>
      </c>
      <c r="F62" s="228">
        <v>311.7</v>
      </c>
      <c r="G62" s="228">
        <v>-1.4</v>
      </c>
      <c r="H62" s="229">
        <v>-4.4999999999999997E-3</v>
      </c>
      <c r="I62" s="228">
        <v>310</v>
      </c>
      <c r="J62" s="228">
        <v>311.5</v>
      </c>
      <c r="K62" s="228">
        <v>-1.5</v>
      </c>
      <c r="L62" s="229">
        <v>-4.7999999999999996E-3</v>
      </c>
      <c r="M62" s="228">
        <v>310.3</v>
      </c>
      <c r="N62" s="228">
        <v>311.7</v>
      </c>
      <c r="O62" s="228">
        <v>-1.4</v>
      </c>
      <c r="P62" s="229">
        <v>-4.4999999999999997E-3</v>
      </c>
      <c r="Q62" s="228">
        <v>312.95</v>
      </c>
      <c r="R62" s="228">
        <v>313.8</v>
      </c>
      <c r="S62" s="228">
        <v>-0.85</v>
      </c>
      <c r="T62" s="229">
        <v>-2.7000000000000001E-3</v>
      </c>
      <c r="U62" s="228">
        <v>314.25</v>
      </c>
      <c r="V62" s="228">
        <v>315.85000000000002</v>
      </c>
      <c r="W62" s="228">
        <v>-1.6</v>
      </c>
      <c r="X62" s="229">
        <v>-5.1000000000000004E-3</v>
      </c>
      <c r="Y62" s="228">
        <v>0.3</v>
      </c>
      <c r="Z62" s="228">
        <v>0.2</v>
      </c>
      <c r="AA62" s="228">
        <v>0.1</v>
      </c>
      <c r="AB62" s="229">
        <v>1E-3</v>
      </c>
      <c r="AC62" s="228">
        <v>0.3</v>
      </c>
      <c r="AD62" s="228">
        <v>0.2</v>
      </c>
      <c r="AE62" s="228">
        <v>0.1</v>
      </c>
      <c r="AF62" s="229">
        <v>1E-3</v>
      </c>
      <c r="AG62" s="228">
        <v>2.95</v>
      </c>
      <c r="AH62" s="228">
        <v>2.2999999999999998</v>
      </c>
      <c r="AI62" s="228">
        <v>0.65</v>
      </c>
      <c r="AJ62" s="229">
        <v>9.4999999999999998E-3</v>
      </c>
      <c r="AK62" s="228">
        <v>4.25</v>
      </c>
      <c r="AL62" s="228">
        <v>4.3499999999999996</v>
      </c>
      <c r="AM62" s="228">
        <v>-0.1</v>
      </c>
      <c r="AN62" s="229">
        <v>1.37E-2</v>
      </c>
      <c r="AO62" s="228">
        <v>310.08</v>
      </c>
      <c r="AP62" s="228">
        <v>312.2</v>
      </c>
      <c r="AQ62" s="228">
        <v>0</v>
      </c>
      <c r="AR62" s="230">
        <v>3054600</v>
      </c>
      <c r="AS62" s="230">
        <v>2676600</v>
      </c>
      <c r="AT62" s="230">
        <v>378000</v>
      </c>
      <c r="AU62" s="229">
        <v>0.14119999999999999</v>
      </c>
      <c r="AV62" s="230">
        <v>2538000</v>
      </c>
      <c r="AW62" s="230">
        <v>2354400</v>
      </c>
      <c r="AX62" s="230">
        <v>183600</v>
      </c>
      <c r="AY62" s="229">
        <v>7.8E-2</v>
      </c>
      <c r="AZ62" s="230">
        <v>466200</v>
      </c>
      <c r="BA62" s="230">
        <v>271800</v>
      </c>
      <c r="BB62" s="230">
        <v>194400</v>
      </c>
      <c r="BC62" s="229">
        <v>0.71519999999999995</v>
      </c>
      <c r="BD62" s="230">
        <v>50400</v>
      </c>
      <c r="BE62" s="230">
        <v>50400</v>
      </c>
      <c r="BF62" s="228">
        <v>0</v>
      </c>
      <c r="BG62" s="229">
        <v>0</v>
      </c>
      <c r="BH62" s="230">
        <v>5520600</v>
      </c>
      <c r="BI62" s="230">
        <v>4761000</v>
      </c>
      <c r="BJ62" s="230">
        <v>759600</v>
      </c>
      <c r="BK62" s="229">
        <v>0.1595</v>
      </c>
      <c r="BL62" s="230">
        <v>1803600</v>
      </c>
      <c r="BM62" s="230">
        <v>2127600</v>
      </c>
      <c r="BN62" s="230">
        <v>-324000</v>
      </c>
      <c r="BO62" s="229">
        <v>-0.15229999999999999</v>
      </c>
      <c r="BP62" s="230">
        <v>10378800</v>
      </c>
      <c r="BQ62" s="230">
        <v>9565200</v>
      </c>
      <c r="BR62" s="230">
        <v>813600</v>
      </c>
      <c r="BS62" s="229">
        <v>8.5099999999999995E-2</v>
      </c>
      <c r="BT62" s="230">
        <v>1517364</v>
      </c>
      <c r="BU62" s="230">
        <v>1348246</v>
      </c>
      <c r="BV62" s="230">
        <v>169118</v>
      </c>
      <c r="BW62" s="229">
        <v>0.12540000000000001</v>
      </c>
      <c r="BX62" s="230">
        <v>29556000</v>
      </c>
      <c r="BY62" s="230">
        <v>29577600</v>
      </c>
      <c r="BZ62" s="230">
        <v>-21600</v>
      </c>
      <c r="CA62" s="229">
        <v>-6.9999999999999999E-4</v>
      </c>
      <c r="CB62" s="230">
        <v>27732600</v>
      </c>
      <c r="CC62" s="230">
        <v>27871200</v>
      </c>
      <c r="CD62" s="230">
        <v>-138600</v>
      </c>
      <c r="CE62" s="229">
        <v>-5.0000000000000001E-3</v>
      </c>
      <c r="CF62" s="230">
        <v>1648800</v>
      </c>
      <c r="CG62" s="230">
        <v>1544400</v>
      </c>
      <c r="CH62" s="230">
        <v>104400</v>
      </c>
      <c r="CI62" s="229">
        <v>6.7599999999999993E-2</v>
      </c>
      <c r="CJ62" s="230">
        <v>174600</v>
      </c>
      <c r="CK62" s="230">
        <v>162000</v>
      </c>
      <c r="CL62" s="230">
        <v>12600</v>
      </c>
      <c r="CM62" s="229">
        <v>7.7799999999999994E-2</v>
      </c>
      <c r="CN62" s="230">
        <v>11547000</v>
      </c>
      <c r="CO62" s="230">
        <v>11001600</v>
      </c>
      <c r="CP62" s="230">
        <v>545400</v>
      </c>
      <c r="CQ62" s="229">
        <v>4.9599999999999998E-2</v>
      </c>
      <c r="CR62" s="230">
        <v>9252000</v>
      </c>
      <c r="CS62" s="230">
        <v>9185400</v>
      </c>
      <c r="CT62" s="230">
        <v>66600</v>
      </c>
      <c r="CU62" s="229">
        <v>7.3000000000000001E-3</v>
      </c>
      <c r="CV62" s="230">
        <v>50355000</v>
      </c>
      <c r="CW62" s="230">
        <v>49764600</v>
      </c>
      <c r="CX62" s="230">
        <v>590400</v>
      </c>
      <c r="CY62" s="229">
        <v>1.1900000000000001E-2</v>
      </c>
      <c r="CZ62" s="228">
        <v>34.72</v>
      </c>
      <c r="DA62" s="228">
        <v>34.590000000000003</v>
      </c>
      <c r="DB62" s="228">
        <v>0.13</v>
      </c>
      <c r="DC62" s="228">
        <v>0.13</v>
      </c>
      <c r="DD62" s="228">
        <v>32.85</v>
      </c>
      <c r="DE62" s="228">
        <v>32.93</v>
      </c>
      <c r="DF62" s="228">
        <v>1.87</v>
      </c>
      <c r="DG62" s="228">
        <v>-0.08</v>
      </c>
      <c r="DH62" s="228">
        <v>34.380000000000003</v>
      </c>
      <c r="DI62" s="228">
        <v>34.56</v>
      </c>
      <c r="DJ62" s="228">
        <v>-0.18</v>
      </c>
      <c r="DK62" s="228">
        <v>-0.18</v>
      </c>
      <c r="DL62" s="228">
        <v>35.76</v>
      </c>
      <c r="DM62" s="228">
        <v>34.65</v>
      </c>
      <c r="DN62" s="228">
        <v>1.1100000000000001</v>
      </c>
      <c r="DO62" s="228">
        <v>1.1100000000000001</v>
      </c>
      <c r="DP62" s="228">
        <v>0.8</v>
      </c>
      <c r="DQ62" s="228">
        <v>0.83</v>
      </c>
      <c r="DR62" s="228">
        <v>-0.03</v>
      </c>
      <c r="DS62" s="229">
        <v>-3.61E-2</v>
      </c>
      <c r="DT62" s="228">
        <v>340</v>
      </c>
      <c r="DU62" s="228">
        <v>340</v>
      </c>
      <c r="DV62" s="228">
        <v>0.33</v>
      </c>
      <c r="DW62" s="228">
        <v>0.45</v>
      </c>
      <c r="DX62" s="228">
        <v>-0.12</v>
      </c>
      <c r="DY62" s="229">
        <v>-0.26669999999999999</v>
      </c>
      <c r="DZ62" s="229">
        <v>6.1699999999999998E-2</v>
      </c>
      <c r="EA62" s="230">
        <v>1706400</v>
      </c>
      <c r="EB62" s="229">
        <v>8.5000000000000006E-3</v>
      </c>
      <c r="EC62" s="229">
        <v>6.1699999999999998E-2</v>
      </c>
      <c r="ED62" s="228">
        <v>2.12</v>
      </c>
      <c r="EE62" s="229">
        <v>6.7999999999999996E-3</v>
      </c>
      <c r="EF62" s="230">
        <v>484460</v>
      </c>
      <c r="EG62" s="230">
        <v>487109</v>
      </c>
      <c r="EH62" s="229">
        <v>-5.4000000000000003E-3</v>
      </c>
      <c r="EI62" s="229">
        <v>0.31929999999999997</v>
      </c>
      <c r="EJ62" s="231">
        <v>18406.669999999998</v>
      </c>
      <c r="EK62" s="231">
        <v>5525.19</v>
      </c>
      <c r="EL62" s="231">
        <v>9482.9500000000007</v>
      </c>
      <c r="EM62" s="231">
        <v>1516</v>
      </c>
      <c r="EN62" s="231">
        <v>33414.81</v>
      </c>
      <c r="EO62" s="231">
        <v>31272.45</v>
      </c>
      <c r="EP62" s="231">
        <v>2142.36</v>
      </c>
      <c r="EQ62" s="229">
        <v>6.8500000000000005E-2</v>
      </c>
      <c r="ER62" s="231">
        <v>39928</v>
      </c>
      <c r="ES62" s="231">
        <v>31493</v>
      </c>
      <c r="ET62" s="231">
        <v>91763</v>
      </c>
      <c r="EU62" s="231">
        <v>68856800</v>
      </c>
      <c r="EV62" s="231">
        <v>163183</v>
      </c>
      <c r="EW62" s="231">
        <v>161699</v>
      </c>
      <c r="EX62" s="231">
        <v>1484</v>
      </c>
      <c r="EY62" s="229">
        <v>9.1999999999999998E-3</v>
      </c>
      <c r="EZ62" s="229">
        <v>0.73129999999999995</v>
      </c>
      <c r="FA62" s="227" t="s">
        <v>568</v>
      </c>
      <c r="FB62" s="161">
        <f t="shared" si="0"/>
        <v>1823400</v>
      </c>
    </row>
    <row r="63" spans="1:158" ht="17.25" thickBot="1" x14ac:dyDescent="0.3">
      <c r="A63" s="226">
        <v>46093</v>
      </c>
      <c r="B63" s="227" t="s">
        <v>172</v>
      </c>
      <c r="C63" s="227" t="s">
        <v>212</v>
      </c>
      <c r="D63" s="228">
        <v>5000</v>
      </c>
      <c r="E63" s="228">
        <v>271.10000000000002</v>
      </c>
      <c r="F63" s="228">
        <v>270.5</v>
      </c>
      <c r="G63" s="228">
        <v>0.6</v>
      </c>
      <c r="H63" s="229">
        <v>2.2000000000000001E-3</v>
      </c>
      <c r="I63" s="228">
        <v>270.25</v>
      </c>
      <c r="J63" s="228">
        <v>269.45</v>
      </c>
      <c r="K63" s="228">
        <v>0.8</v>
      </c>
      <c r="L63" s="229">
        <v>3.0000000000000001E-3</v>
      </c>
      <c r="M63" s="228">
        <v>271.10000000000002</v>
      </c>
      <c r="N63" s="228">
        <v>270.5</v>
      </c>
      <c r="O63" s="228">
        <v>0.6</v>
      </c>
      <c r="P63" s="229">
        <v>2.2000000000000001E-3</v>
      </c>
      <c r="Q63" s="228">
        <v>272.85000000000002</v>
      </c>
      <c r="R63" s="228">
        <v>272.10000000000002</v>
      </c>
      <c r="S63" s="228">
        <v>0.75</v>
      </c>
      <c r="T63" s="229">
        <v>2.8E-3</v>
      </c>
      <c r="U63" s="228">
        <v>274.25</v>
      </c>
      <c r="V63" s="228">
        <v>273.55</v>
      </c>
      <c r="W63" s="228">
        <v>0.7</v>
      </c>
      <c r="X63" s="229">
        <v>2.5999999999999999E-3</v>
      </c>
      <c r="Y63" s="228">
        <v>0.85</v>
      </c>
      <c r="Z63" s="228">
        <v>1.05</v>
      </c>
      <c r="AA63" s="228">
        <v>-0.2</v>
      </c>
      <c r="AB63" s="229">
        <v>3.0999999999999999E-3</v>
      </c>
      <c r="AC63" s="228">
        <v>0.85</v>
      </c>
      <c r="AD63" s="228">
        <v>1.05</v>
      </c>
      <c r="AE63" s="228">
        <v>-0.2</v>
      </c>
      <c r="AF63" s="229">
        <v>3.0999999999999999E-3</v>
      </c>
      <c r="AG63" s="228">
        <v>2.6</v>
      </c>
      <c r="AH63" s="228">
        <v>2.65</v>
      </c>
      <c r="AI63" s="228">
        <v>-0.05</v>
      </c>
      <c r="AJ63" s="229">
        <v>9.5999999999999992E-3</v>
      </c>
      <c r="AK63" s="228">
        <v>4</v>
      </c>
      <c r="AL63" s="228">
        <v>4.0999999999999996</v>
      </c>
      <c r="AM63" s="228">
        <v>-0.1</v>
      </c>
      <c r="AN63" s="229">
        <v>1.4800000000000001E-2</v>
      </c>
      <c r="AO63" s="228">
        <v>270.57</v>
      </c>
      <c r="AP63" s="228">
        <v>271.95999999999998</v>
      </c>
      <c r="AQ63" s="228">
        <v>0</v>
      </c>
      <c r="AR63" s="230">
        <v>21920000</v>
      </c>
      <c r="AS63" s="230">
        <v>18260000</v>
      </c>
      <c r="AT63" s="230">
        <v>3660000</v>
      </c>
      <c r="AU63" s="229">
        <v>0.20039999999999999</v>
      </c>
      <c r="AV63" s="230">
        <v>20185000</v>
      </c>
      <c r="AW63" s="230">
        <v>16155000</v>
      </c>
      <c r="AX63" s="230">
        <v>4030000</v>
      </c>
      <c r="AY63" s="229">
        <v>0.2495</v>
      </c>
      <c r="AZ63" s="230">
        <v>1645000</v>
      </c>
      <c r="BA63" s="230">
        <v>1900000</v>
      </c>
      <c r="BB63" s="230">
        <v>-255000</v>
      </c>
      <c r="BC63" s="229">
        <v>-0.13420000000000001</v>
      </c>
      <c r="BD63" s="230">
        <v>90000</v>
      </c>
      <c r="BE63" s="230">
        <v>205000</v>
      </c>
      <c r="BF63" s="230">
        <v>-115000</v>
      </c>
      <c r="BG63" s="229">
        <v>-0.56100000000000005</v>
      </c>
      <c r="BH63" s="230">
        <v>68530000</v>
      </c>
      <c r="BI63" s="230">
        <v>73205000</v>
      </c>
      <c r="BJ63" s="230">
        <v>-4675000</v>
      </c>
      <c r="BK63" s="229">
        <v>-6.3899999999999998E-2</v>
      </c>
      <c r="BL63" s="230">
        <v>27915000</v>
      </c>
      <c r="BM63" s="230">
        <v>22590000</v>
      </c>
      <c r="BN63" s="230">
        <v>5325000</v>
      </c>
      <c r="BO63" s="229">
        <v>0.23569999999999999</v>
      </c>
      <c r="BP63" s="230">
        <v>118365000</v>
      </c>
      <c r="BQ63" s="230">
        <v>114055000</v>
      </c>
      <c r="BR63" s="230">
        <v>4310000</v>
      </c>
      <c r="BS63" s="229">
        <v>3.78E-2</v>
      </c>
      <c r="BT63" s="230">
        <v>8186523</v>
      </c>
      <c r="BU63" s="230">
        <v>9888530</v>
      </c>
      <c r="BV63" s="230">
        <v>-1702007</v>
      </c>
      <c r="BW63" s="229">
        <v>-0.1721</v>
      </c>
      <c r="BX63" s="230">
        <v>84505000</v>
      </c>
      <c r="BY63" s="230">
        <v>81745000</v>
      </c>
      <c r="BZ63" s="230">
        <v>2760000</v>
      </c>
      <c r="CA63" s="229">
        <v>3.3799999999999997E-2</v>
      </c>
      <c r="CB63" s="230">
        <v>79605000</v>
      </c>
      <c r="CC63" s="230">
        <v>77360000</v>
      </c>
      <c r="CD63" s="230">
        <v>2245000</v>
      </c>
      <c r="CE63" s="229">
        <v>2.9000000000000001E-2</v>
      </c>
      <c r="CF63" s="230">
        <v>4370000</v>
      </c>
      <c r="CG63" s="230">
        <v>3855000</v>
      </c>
      <c r="CH63" s="230">
        <v>515000</v>
      </c>
      <c r="CI63" s="229">
        <v>0.1336</v>
      </c>
      <c r="CJ63" s="230">
        <v>530000</v>
      </c>
      <c r="CK63" s="230">
        <v>530000</v>
      </c>
      <c r="CL63" s="228">
        <v>0</v>
      </c>
      <c r="CM63" s="229">
        <v>0</v>
      </c>
      <c r="CN63" s="230">
        <v>62375000</v>
      </c>
      <c r="CO63" s="230">
        <v>59385000</v>
      </c>
      <c r="CP63" s="230">
        <v>2990000</v>
      </c>
      <c r="CQ63" s="229">
        <v>5.0299999999999997E-2</v>
      </c>
      <c r="CR63" s="230">
        <v>32740000</v>
      </c>
      <c r="CS63" s="230">
        <v>31995000</v>
      </c>
      <c r="CT63" s="230">
        <v>745000</v>
      </c>
      <c r="CU63" s="229">
        <v>2.3300000000000001E-2</v>
      </c>
      <c r="CV63" s="230">
        <v>179620000</v>
      </c>
      <c r="CW63" s="230">
        <v>173125000</v>
      </c>
      <c r="CX63" s="230">
        <v>6495000</v>
      </c>
      <c r="CY63" s="229">
        <v>3.7499999999999999E-2</v>
      </c>
      <c r="CZ63" s="228">
        <v>32.96</v>
      </c>
      <c r="DA63" s="228">
        <v>33.43</v>
      </c>
      <c r="DB63" s="228">
        <v>-0.47</v>
      </c>
      <c r="DC63" s="228">
        <v>-0.47</v>
      </c>
      <c r="DD63" s="228">
        <v>30.4</v>
      </c>
      <c r="DE63" s="228">
        <v>30.47</v>
      </c>
      <c r="DF63" s="228">
        <v>2.56</v>
      </c>
      <c r="DG63" s="228">
        <v>-7.0000000000000007E-2</v>
      </c>
      <c r="DH63" s="228">
        <v>32.659999999999997</v>
      </c>
      <c r="DI63" s="228">
        <v>33.5</v>
      </c>
      <c r="DJ63" s="228">
        <v>-0.84</v>
      </c>
      <c r="DK63" s="228">
        <v>-0.84</v>
      </c>
      <c r="DL63" s="228">
        <v>33.71</v>
      </c>
      <c r="DM63" s="228">
        <v>33.200000000000003</v>
      </c>
      <c r="DN63" s="228">
        <v>0.51</v>
      </c>
      <c r="DO63" s="228">
        <v>0.51</v>
      </c>
      <c r="DP63" s="228">
        <v>0.52</v>
      </c>
      <c r="DQ63" s="228">
        <v>0.54</v>
      </c>
      <c r="DR63" s="228">
        <v>-0.02</v>
      </c>
      <c r="DS63" s="229">
        <v>-3.6999999999999998E-2</v>
      </c>
      <c r="DT63" s="228">
        <v>300</v>
      </c>
      <c r="DU63" s="228">
        <v>270</v>
      </c>
      <c r="DV63" s="228">
        <v>0.41</v>
      </c>
      <c r="DW63" s="228">
        <v>0.31</v>
      </c>
      <c r="DX63" s="228">
        <v>0.1</v>
      </c>
      <c r="DY63" s="229">
        <v>0.3226</v>
      </c>
      <c r="DZ63" s="229">
        <v>5.8000000000000003E-2</v>
      </c>
      <c r="EA63" s="230">
        <v>4385000</v>
      </c>
      <c r="EB63" s="229">
        <v>6.4999999999999997E-3</v>
      </c>
      <c r="EC63" s="229">
        <v>5.8000000000000003E-2</v>
      </c>
      <c r="ED63" s="228">
        <v>1.39</v>
      </c>
      <c r="EE63" s="229">
        <v>5.1000000000000004E-3</v>
      </c>
      <c r="EF63" s="230">
        <v>4446960</v>
      </c>
      <c r="EG63" s="230">
        <v>5791559</v>
      </c>
      <c r="EH63" s="229">
        <v>-0.23219999999999999</v>
      </c>
      <c r="EI63" s="229">
        <v>0.54320000000000002</v>
      </c>
      <c r="EJ63" s="231">
        <v>202450.02</v>
      </c>
      <c r="EK63" s="231">
        <v>74436.23</v>
      </c>
      <c r="EL63" s="231">
        <v>59333.27</v>
      </c>
      <c r="EM63" s="231">
        <v>4572</v>
      </c>
      <c r="EN63" s="231">
        <v>336219.52</v>
      </c>
      <c r="EO63" s="231">
        <v>329726.14</v>
      </c>
      <c r="EP63" s="231">
        <v>6493.38</v>
      </c>
      <c r="EQ63" s="229">
        <v>1.9699999999999999E-2</v>
      </c>
      <c r="ER63" s="231">
        <v>186485</v>
      </c>
      <c r="ES63" s="231">
        <v>90593</v>
      </c>
      <c r="ET63" s="231">
        <v>229186</v>
      </c>
      <c r="EU63" s="231">
        <v>320636733</v>
      </c>
      <c r="EV63" s="231">
        <v>506264</v>
      </c>
      <c r="EW63" s="231">
        <v>488173</v>
      </c>
      <c r="EX63" s="231">
        <v>18091</v>
      </c>
      <c r="EY63" s="229">
        <v>3.7100000000000001E-2</v>
      </c>
      <c r="EZ63" s="229">
        <v>0.56020000000000003</v>
      </c>
      <c r="FA63" s="227" t="s">
        <v>555</v>
      </c>
      <c r="FB63" s="161">
        <f t="shared" si="0"/>
        <v>4900000</v>
      </c>
    </row>
    <row r="64" spans="1:158" ht="17.25" thickBot="1" x14ac:dyDescent="0.3">
      <c r="A64" s="226">
        <v>46093</v>
      </c>
      <c r="B64" s="227" t="s">
        <v>181</v>
      </c>
      <c r="C64" s="227" t="s">
        <v>480</v>
      </c>
      <c r="D64" s="228">
        <v>60</v>
      </c>
      <c r="E64" s="231">
        <v>25750</v>
      </c>
      <c r="F64" s="231">
        <v>26003.8</v>
      </c>
      <c r="G64" s="228">
        <v>-253.8</v>
      </c>
      <c r="H64" s="229">
        <v>-9.7999999999999997E-3</v>
      </c>
      <c r="I64" s="231">
        <v>25663.200000000001</v>
      </c>
      <c r="J64" s="231">
        <v>25920.799999999999</v>
      </c>
      <c r="K64" s="228">
        <v>-257.60000000000002</v>
      </c>
      <c r="L64" s="229">
        <v>-9.9000000000000008E-3</v>
      </c>
      <c r="M64" s="231">
        <v>25750</v>
      </c>
      <c r="N64" s="231">
        <v>26003.8</v>
      </c>
      <c r="O64" s="228">
        <v>-253.8</v>
      </c>
      <c r="P64" s="229">
        <v>-9.7999999999999997E-3</v>
      </c>
      <c r="Q64" s="231">
        <v>25902.5</v>
      </c>
      <c r="R64" s="231">
        <v>26135.5</v>
      </c>
      <c r="S64" s="228">
        <v>-233</v>
      </c>
      <c r="T64" s="229">
        <v>-8.8999999999999999E-3</v>
      </c>
      <c r="U64" s="231">
        <v>26125</v>
      </c>
      <c r="V64" s="228">
        <v>0</v>
      </c>
      <c r="W64" s="231">
        <v>26125</v>
      </c>
      <c r="X64" s="229">
        <v>0</v>
      </c>
      <c r="Y64" s="228">
        <v>86.8</v>
      </c>
      <c r="Z64" s="228">
        <v>83</v>
      </c>
      <c r="AA64" s="228">
        <v>3.8</v>
      </c>
      <c r="AB64" s="229">
        <v>3.3999999999999998E-3</v>
      </c>
      <c r="AC64" s="228">
        <v>86.8</v>
      </c>
      <c r="AD64" s="228">
        <v>83</v>
      </c>
      <c r="AE64" s="228">
        <v>3.8</v>
      </c>
      <c r="AF64" s="229">
        <v>3.3999999999999998E-3</v>
      </c>
      <c r="AG64" s="228">
        <v>239.3</v>
      </c>
      <c r="AH64" s="228">
        <v>214.7</v>
      </c>
      <c r="AI64" s="228">
        <v>24.6</v>
      </c>
      <c r="AJ64" s="229">
        <v>9.2999999999999992E-3</v>
      </c>
      <c r="AK64" s="228">
        <v>461.8</v>
      </c>
      <c r="AL64" s="228">
        <v>0</v>
      </c>
      <c r="AM64" s="228">
        <v>461.8</v>
      </c>
      <c r="AN64" s="229">
        <v>1.7999999999999999E-2</v>
      </c>
      <c r="AO64" s="231">
        <v>25752.54</v>
      </c>
      <c r="AP64" s="231">
        <v>25915.08</v>
      </c>
      <c r="AQ64" s="228">
        <v>0</v>
      </c>
      <c r="AR64" s="230">
        <v>37560</v>
      </c>
      <c r="AS64" s="230">
        <v>20280</v>
      </c>
      <c r="AT64" s="230">
        <v>17280</v>
      </c>
      <c r="AU64" s="229">
        <v>0.85209999999999997</v>
      </c>
      <c r="AV64" s="230">
        <v>36240</v>
      </c>
      <c r="AW64" s="230">
        <v>19080</v>
      </c>
      <c r="AX64" s="230">
        <v>17160</v>
      </c>
      <c r="AY64" s="229">
        <v>0.89939999999999998</v>
      </c>
      <c r="AZ64" s="230">
        <v>1260</v>
      </c>
      <c r="BA64" s="230">
        <v>1200</v>
      </c>
      <c r="BB64" s="228">
        <v>60</v>
      </c>
      <c r="BC64" s="229">
        <v>0.05</v>
      </c>
      <c r="BD64" s="228">
        <v>60</v>
      </c>
      <c r="BE64" s="228">
        <v>0</v>
      </c>
      <c r="BF64" s="228">
        <v>60</v>
      </c>
      <c r="BG64" s="229">
        <v>0</v>
      </c>
      <c r="BH64" s="230">
        <v>904860</v>
      </c>
      <c r="BI64" s="230">
        <v>1268520</v>
      </c>
      <c r="BJ64" s="230">
        <v>-363660</v>
      </c>
      <c r="BK64" s="229">
        <v>-0.28670000000000001</v>
      </c>
      <c r="BL64" s="230">
        <v>1191240</v>
      </c>
      <c r="BM64" s="230">
        <v>1201140</v>
      </c>
      <c r="BN64" s="230">
        <v>-9900</v>
      </c>
      <c r="BO64" s="229">
        <v>-8.2000000000000007E-3</v>
      </c>
      <c r="BP64" s="230">
        <v>2133660</v>
      </c>
      <c r="BQ64" s="230">
        <v>2489940</v>
      </c>
      <c r="BR64" s="230">
        <v>-356280</v>
      </c>
      <c r="BS64" s="229">
        <v>-0.1431</v>
      </c>
      <c r="BT64" s="228">
        <v>0</v>
      </c>
      <c r="BU64" s="228">
        <v>0</v>
      </c>
      <c r="BV64" s="228">
        <v>0</v>
      </c>
      <c r="BW64" s="229">
        <v>0</v>
      </c>
      <c r="BX64" s="230">
        <v>70260</v>
      </c>
      <c r="BY64" s="230">
        <v>66420</v>
      </c>
      <c r="BZ64" s="230">
        <v>3840</v>
      </c>
      <c r="CA64" s="229">
        <v>5.7799999999999997E-2</v>
      </c>
      <c r="CB64" s="230">
        <v>68160</v>
      </c>
      <c r="CC64" s="230">
        <v>64860</v>
      </c>
      <c r="CD64" s="230">
        <v>3300</v>
      </c>
      <c r="CE64" s="229">
        <v>5.0900000000000001E-2</v>
      </c>
      <c r="CF64" s="230">
        <v>2040</v>
      </c>
      <c r="CG64" s="230">
        <v>1560</v>
      </c>
      <c r="CH64" s="228">
        <v>480</v>
      </c>
      <c r="CI64" s="229">
        <v>0.30769999999999997</v>
      </c>
      <c r="CJ64" s="228">
        <v>60</v>
      </c>
      <c r="CK64" s="228">
        <v>0</v>
      </c>
      <c r="CL64" s="228">
        <v>60</v>
      </c>
      <c r="CM64" s="229">
        <v>0</v>
      </c>
      <c r="CN64" s="230">
        <v>858120</v>
      </c>
      <c r="CO64" s="230">
        <v>823020</v>
      </c>
      <c r="CP64" s="230">
        <v>35100</v>
      </c>
      <c r="CQ64" s="229">
        <v>4.2599999999999999E-2</v>
      </c>
      <c r="CR64" s="230">
        <v>792660</v>
      </c>
      <c r="CS64" s="230">
        <v>758940</v>
      </c>
      <c r="CT64" s="230">
        <v>33720</v>
      </c>
      <c r="CU64" s="229">
        <v>4.4400000000000002E-2</v>
      </c>
      <c r="CV64" s="230">
        <v>1721040</v>
      </c>
      <c r="CW64" s="230">
        <v>1648380</v>
      </c>
      <c r="CX64" s="230">
        <v>72660</v>
      </c>
      <c r="CY64" s="229">
        <v>4.41E-2</v>
      </c>
      <c r="CZ64" s="228">
        <v>25.83</v>
      </c>
      <c r="DA64" s="228">
        <v>24.48</v>
      </c>
      <c r="DB64" s="228">
        <v>1.35</v>
      </c>
      <c r="DC64" s="228">
        <v>1.35</v>
      </c>
      <c r="DD64" s="228">
        <v>17.66</v>
      </c>
      <c r="DE64" s="228">
        <v>17.649999999999999</v>
      </c>
      <c r="DF64" s="228">
        <v>8.17</v>
      </c>
      <c r="DG64" s="228">
        <v>0.01</v>
      </c>
      <c r="DH64" s="228">
        <v>23.67</v>
      </c>
      <c r="DI64" s="228">
        <v>23.01</v>
      </c>
      <c r="DJ64" s="228">
        <v>0.66</v>
      </c>
      <c r="DK64" s="228">
        <v>0.66</v>
      </c>
      <c r="DL64" s="228">
        <v>27.46</v>
      </c>
      <c r="DM64" s="228">
        <v>26.03</v>
      </c>
      <c r="DN64" s="228">
        <v>1.43</v>
      </c>
      <c r="DO64" s="228">
        <v>1.43</v>
      </c>
      <c r="DP64" s="228">
        <v>0.92</v>
      </c>
      <c r="DQ64" s="228">
        <v>0.92</v>
      </c>
      <c r="DR64" s="228">
        <v>0</v>
      </c>
      <c r="DS64" s="229">
        <v>0</v>
      </c>
      <c r="DT64" s="231">
        <v>27500</v>
      </c>
      <c r="DU64" s="231">
        <v>27500</v>
      </c>
      <c r="DV64" s="228">
        <v>1.32</v>
      </c>
      <c r="DW64" s="228">
        <v>0.95</v>
      </c>
      <c r="DX64" s="228">
        <v>0.37</v>
      </c>
      <c r="DY64" s="229">
        <v>0.38950000000000001</v>
      </c>
      <c r="DZ64" s="229">
        <v>2.9899999999999999E-2</v>
      </c>
      <c r="EA64" s="230">
        <v>1560</v>
      </c>
      <c r="EB64" s="229">
        <v>5.8999999999999999E-3</v>
      </c>
      <c r="EC64" s="229">
        <v>2.9899999999999999E-2</v>
      </c>
      <c r="ED64" s="228">
        <v>162.54</v>
      </c>
      <c r="EE64" s="229">
        <v>6.3E-3</v>
      </c>
      <c r="EF64" s="228">
        <v>0</v>
      </c>
      <c r="EG64" s="228">
        <v>0</v>
      </c>
      <c r="EH64" s="229">
        <v>0</v>
      </c>
      <c r="EI64" s="229">
        <v>0</v>
      </c>
      <c r="EJ64" s="231">
        <v>245999.03</v>
      </c>
      <c r="EK64" s="231">
        <v>305184.2</v>
      </c>
      <c r="EL64" s="231">
        <v>9674.93</v>
      </c>
      <c r="EM64" s="228">
        <v>0</v>
      </c>
      <c r="EN64" s="231">
        <v>560858.16</v>
      </c>
      <c r="EO64" s="231">
        <v>666754.74</v>
      </c>
      <c r="EP64" s="231">
        <v>-105896.58</v>
      </c>
      <c r="EQ64" s="229">
        <v>-0.1588</v>
      </c>
      <c r="ER64" s="231">
        <v>239956</v>
      </c>
      <c r="ES64" s="231">
        <v>209575</v>
      </c>
      <c r="ET64" s="231">
        <v>18095</v>
      </c>
      <c r="EU64" s="228">
        <v>0</v>
      </c>
      <c r="EV64" s="231">
        <v>467626</v>
      </c>
      <c r="EW64" s="231">
        <v>449546</v>
      </c>
      <c r="EX64" s="231">
        <v>18080</v>
      </c>
      <c r="EY64" s="229">
        <v>4.02E-2</v>
      </c>
      <c r="EZ64" s="229">
        <v>0</v>
      </c>
      <c r="FA64" s="227" t="s">
        <v>567</v>
      </c>
      <c r="FB64" s="161">
        <f t="shared" si="0"/>
        <v>2100</v>
      </c>
    </row>
    <row r="65" spans="1:158" ht="17.25" thickBot="1" x14ac:dyDescent="0.3">
      <c r="A65" s="226">
        <v>46093</v>
      </c>
      <c r="B65" s="227" t="s">
        <v>170</v>
      </c>
      <c r="C65" s="227" t="s">
        <v>676</v>
      </c>
      <c r="D65" s="228">
        <v>775</v>
      </c>
      <c r="E65" s="228">
        <v>863.05</v>
      </c>
      <c r="F65" s="228">
        <v>882.2</v>
      </c>
      <c r="G65" s="228">
        <v>-19.149999999999999</v>
      </c>
      <c r="H65" s="229">
        <v>-2.1700000000000001E-2</v>
      </c>
      <c r="I65" s="228">
        <v>859.5</v>
      </c>
      <c r="J65" s="228">
        <v>881.2</v>
      </c>
      <c r="K65" s="228">
        <v>-21.7</v>
      </c>
      <c r="L65" s="229">
        <v>-2.46E-2</v>
      </c>
      <c r="M65" s="228">
        <v>863.05</v>
      </c>
      <c r="N65" s="228">
        <v>882.2</v>
      </c>
      <c r="O65" s="228">
        <v>-19.149999999999999</v>
      </c>
      <c r="P65" s="229">
        <v>-2.1700000000000001E-2</v>
      </c>
      <c r="Q65" s="228">
        <v>868</v>
      </c>
      <c r="R65" s="228">
        <v>889.3</v>
      </c>
      <c r="S65" s="228">
        <v>-21.3</v>
      </c>
      <c r="T65" s="229">
        <v>-2.4E-2</v>
      </c>
      <c r="U65" s="228">
        <v>870.8</v>
      </c>
      <c r="V65" s="228">
        <v>896</v>
      </c>
      <c r="W65" s="228">
        <v>-25.2</v>
      </c>
      <c r="X65" s="229">
        <v>-2.81E-2</v>
      </c>
      <c r="Y65" s="228">
        <v>3.55</v>
      </c>
      <c r="Z65" s="228">
        <v>1</v>
      </c>
      <c r="AA65" s="228">
        <v>2.5499999999999998</v>
      </c>
      <c r="AB65" s="229">
        <v>4.1000000000000003E-3</v>
      </c>
      <c r="AC65" s="228">
        <v>3.55</v>
      </c>
      <c r="AD65" s="228">
        <v>1</v>
      </c>
      <c r="AE65" s="228">
        <v>2.5499999999999998</v>
      </c>
      <c r="AF65" s="229">
        <v>4.1000000000000003E-3</v>
      </c>
      <c r="AG65" s="228">
        <v>8.5</v>
      </c>
      <c r="AH65" s="228">
        <v>8.1</v>
      </c>
      <c r="AI65" s="228">
        <v>0.4</v>
      </c>
      <c r="AJ65" s="229">
        <v>9.9000000000000008E-3</v>
      </c>
      <c r="AK65" s="228">
        <v>11.3</v>
      </c>
      <c r="AL65" s="228">
        <v>14.8</v>
      </c>
      <c r="AM65" s="228">
        <v>-3.5</v>
      </c>
      <c r="AN65" s="229">
        <v>1.3100000000000001E-2</v>
      </c>
      <c r="AO65" s="228">
        <v>863.52</v>
      </c>
      <c r="AP65" s="228">
        <v>869</v>
      </c>
      <c r="AQ65" s="228">
        <v>0</v>
      </c>
      <c r="AR65" s="230">
        <v>2074675</v>
      </c>
      <c r="AS65" s="230">
        <v>846300</v>
      </c>
      <c r="AT65" s="230">
        <v>1228375</v>
      </c>
      <c r="AU65" s="229">
        <v>1.4515</v>
      </c>
      <c r="AV65" s="230">
        <v>1939050</v>
      </c>
      <c r="AW65" s="230">
        <v>807550</v>
      </c>
      <c r="AX65" s="230">
        <v>1131500</v>
      </c>
      <c r="AY65" s="229">
        <v>1.4012</v>
      </c>
      <c r="AZ65" s="230">
        <v>130975</v>
      </c>
      <c r="BA65" s="230">
        <v>34100</v>
      </c>
      <c r="BB65" s="230">
        <v>96875</v>
      </c>
      <c r="BC65" s="229">
        <v>2.8409</v>
      </c>
      <c r="BD65" s="230">
        <v>4650</v>
      </c>
      <c r="BE65" s="230">
        <v>4650</v>
      </c>
      <c r="BF65" s="228">
        <v>0</v>
      </c>
      <c r="BG65" s="229">
        <v>0</v>
      </c>
      <c r="BH65" s="230">
        <v>2591600</v>
      </c>
      <c r="BI65" s="230">
        <v>2690025</v>
      </c>
      <c r="BJ65" s="230">
        <v>-98425</v>
      </c>
      <c r="BK65" s="229">
        <v>-3.6600000000000001E-2</v>
      </c>
      <c r="BL65" s="230">
        <v>741675</v>
      </c>
      <c r="BM65" s="230">
        <v>1016025</v>
      </c>
      <c r="BN65" s="230">
        <v>-274350</v>
      </c>
      <c r="BO65" s="229">
        <v>-0.27</v>
      </c>
      <c r="BP65" s="230">
        <v>5407950</v>
      </c>
      <c r="BQ65" s="230">
        <v>4552350</v>
      </c>
      <c r="BR65" s="230">
        <v>855600</v>
      </c>
      <c r="BS65" s="229">
        <v>0.18790000000000001</v>
      </c>
      <c r="BT65" s="230">
        <v>2413280</v>
      </c>
      <c r="BU65" s="230">
        <v>1380865</v>
      </c>
      <c r="BV65" s="230">
        <v>1032415</v>
      </c>
      <c r="BW65" s="229">
        <v>0.74770000000000003</v>
      </c>
      <c r="BX65" s="230">
        <v>11983825</v>
      </c>
      <c r="BY65" s="230">
        <v>11566875</v>
      </c>
      <c r="BZ65" s="230">
        <v>416950</v>
      </c>
      <c r="CA65" s="229">
        <v>3.5999999999999997E-2</v>
      </c>
      <c r="CB65" s="230">
        <v>11710250</v>
      </c>
      <c r="CC65" s="230">
        <v>11334375</v>
      </c>
      <c r="CD65" s="230">
        <v>375875</v>
      </c>
      <c r="CE65" s="229">
        <v>3.32E-2</v>
      </c>
      <c r="CF65" s="230">
        <v>251100</v>
      </c>
      <c r="CG65" s="230">
        <v>210800</v>
      </c>
      <c r="CH65" s="230">
        <v>40300</v>
      </c>
      <c r="CI65" s="229">
        <v>0.19120000000000001</v>
      </c>
      <c r="CJ65" s="230">
        <v>22475</v>
      </c>
      <c r="CK65" s="230">
        <v>21700</v>
      </c>
      <c r="CL65" s="228">
        <v>775</v>
      </c>
      <c r="CM65" s="229">
        <v>3.5700000000000003E-2</v>
      </c>
      <c r="CN65" s="230">
        <v>4232275</v>
      </c>
      <c r="CO65" s="230">
        <v>4030000</v>
      </c>
      <c r="CP65" s="230">
        <v>202275</v>
      </c>
      <c r="CQ65" s="229">
        <v>5.0200000000000002E-2</v>
      </c>
      <c r="CR65" s="230">
        <v>1780175</v>
      </c>
      <c r="CS65" s="230">
        <v>1715075</v>
      </c>
      <c r="CT65" s="230">
        <v>65100</v>
      </c>
      <c r="CU65" s="229">
        <v>3.7999999999999999E-2</v>
      </c>
      <c r="CV65" s="230">
        <v>17996275</v>
      </c>
      <c r="CW65" s="230">
        <v>17311950</v>
      </c>
      <c r="CX65" s="230">
        <v>684325</v>
      </c>
      <c r="CY65" s="229">
        <v>3.95E-2</v>
      </c>
      <c r="CZ65" s="228">
        <v>32.450000000000003</v>
      </c>
      <c r="DA65" s="228">
        <v>30.9</v>
      </c>
      <c r="DB65" s="228">
        <v>1.55</v>
      </c>
      <c r="DC65" s="228">
        <v>1.55</v>
      </c>
      <c r="DD65" s="228">
        <v>34.619999999999997</v>
      </c>
      <c r="DE65" s="228">
        <v>34.54</v>
      </c>
      <c r="DF65" s="228">
        <v>-2.17</v>
      </c>
      <c r="DG65" s="228">
        <v>0.08</v>
      </c>
      <c r="DH65" s="228">
        <v>32.299999999999997</v>
      </c>
      <c r="DI65" s="228">
        <v>30.6</v>
      </c>
      <c r="DJ65" s="228">
        <v>1.7</v>
      </c>
      <c r="DK65" s="228">
        <v>1.7</v>
      </c>
      <c r="DL65" s="228">
        <v>33</v>
      </c>
      <c r="DM65" s="228">
        <v>31.69</v>
      </c>
      <c r="DN65" s="228">
        <v>1.31</v>
      </c>
      <c r="DO65" s="228">
        <v>1.31</v>
      </c>
      <c r="DP65" s="228">
        <v>0.42</v>
      </c>
      <c r="DQ65" s="228">
        <v>0.43</v>
      </c>
      <c r="DR65" s="228">
        <v>-0.01</v>
      </c>
      <c r="DS65" s="229">
        <v>-2.3300000000000001E-2</v>
      </c>
      <c r="DT65" s="228">
        <v>960</v>
      </c>
      <c r="DU65" s="228">
        <v>880</v>
      </c>
      <c r="DV65" s="228">
        <v>0.28999999999999998</v>
      </c>
      <c r="DW65" s="228">
        <v>0.38</v>
      </c>
      <c r="DX65" s="228">
        <v>-0.09</v>
      </c>
      <c r="DY65" s="229">
        <v>-0.23680000000000001</v>
      </c>
      <c r="DZ65" s="229">
        <v>2.2800000000000001E-2</v>
      </c>
      <c r="EA65" s="230">
        <v>232500</v>
      </c>
      <c r="EB65" s="229">
        <v>5.7000000000000002E-3</v>
      </c>
      <c r="EC65" s="229">
        <v>2.2800000000000001E-2</v>
      </c>
      <c r="ED65" s="228">
        <v>5.48</v>
      </c>
      <c r="EE65" s="229">
        <v>6.3E-3</v>
      </c>
      <c r="EF65" s="230">
        <v>1603873</v>
      </c>
      <c r="EG65" s="230">
        <v>864086</v>
      </c>
      <c r="EH65" s="229">
        <v>0.85609999999999997</v>
      </c>
      <c r="EI65" s="229">
        <v>0.66459999999999997</v>
      </c>
      <c r="EJ65" s="231">
        <v>24183.55</v>
      </c>
      <c r="EK65" s="231">
        <v>6462.41</v>
      </c>
      <c r="EL65" s="231">
        <v>17922.78</v>
      </c>
      <c r="EM65" s="231">
        <v>1790</v>
      </c>
      <c r="EN65" s="231">
        <v>48568.74</v>
      </c>
      <c r="EO65" s="231">
        <v>41594.1</v>
      </c>
      <c r="EP65" s="231">
        <v>6974.64</v>
      </c>
      <c r="EQ65" s="229">
        <v>0.16769999999999999</v>
      </c>
      <c r="ER65" s="231">
        <v>40659</v>
      </c>
      <c r="ES65" s="231">
        <v>15994</v>
      </c>
      <c r="ET65" s="231">
        <v>103441</v>
      </c>
      <c r="EU65" s="231">
        <v>77949604</v>
      </c>
      <c r="EV65" s="231">
        <v>160094</v>
      </c>
      <c r="EW65" s="231">
        <v>156389</v>
      </c>
      <c r="EX65" s="231">
        <v>3705</v>
      </c>
      <c r="EY65" s="229">
        <v>2.3699999999999999E-2</v>
      </c>
      <c r="EZ65" s="229">
        <v>0.23089999999999999</v>
      </c>
      <c r="FA65" s="227" t="s">
        <v>567</v>
      </c>
      <c r="FB65" s="161">
        <f t="shared" si="0"/>
        <v>273575</v>
      </c>
    </row>
    <row r="66" spans="1:158" ht="17.25" thickBot="1" x14ac:dyDescent="0.3">
      <c r="A66" s="226">
        <v>46093</v>
      </c>
      <c r="B66" s="227" t="s">
        <v>193</v>
      </c>
      <c r="C66" s="227" t="s">
        <v>213</v>
      </c>
      <c r="D66" s="228">
        <v>3150</v>
      </c>
      <c r="E66" s="228">
        <v>152.94</v>
      </c>
      <c r="F66" s="228">
        <v>148.52000000000001</v>
      </c>
      <c r="G66" s="228">
        <v>4.42</v>
      </c>
      <c r="H66" s="229">
        <v>2.98E-2</v>
      </c>
      <c r="I66" s="228">
        <v>152.35</v>
      </c>
      <c r="J66" s="228">
        <v>147.97</v>
      </c>
      <c r="K66" s="228">
        <v>4.38</v>
      </c>
      <c r="L66" s="229">
        <v>2.9600000000000001E-2</v>
      </c>
      <c r="M66" s="228">
        <v>152.94</v>
      </c>
      <c r="N66" s="228">
        <v>148.52000000000001</v>
      </c>
      <c r="O66" s="228">
        <v>4.42</v>
      </c>
      <c r="P66" s="229">
        <v>2.98E-2</v>
      </c>
      <c r="Q66" s="228">
        <v>154</v>
      </c>
      <c r="R66" s="228">
        <v>149.6</v>
      </c>
      <c r="S66" s="228">
        <v>4.4000000000000004</v>
      </c>
      <c r="T66" s="229">
        <v>2.9399999999999999E-2</v>
      </c>
      <c r="U66" s="228">
        <v>154.83000000000001</v>
      </c>
      <c r="V66" s="228">
        <v>150.22</v>
      </c>
      <c r="W66" s="228">
        <v>4.6100000000000003</v>
      </c>
      <c r="X66" s="229">
        <v>3.0700000000000002E-2</v>
      </c>
      <c r="Y66" s="228">
        <v>0.59</v>
      </c>
      <c r="Z66" s="228">
        <v>0.55000000000000004</v>
      </c>
      <c r="AA66" s="228">
        <v>0.04</v>
      </c>
      <c r="AB66" s="229">
        <v>3.8999999999999998E-3</v>
      </c>
      <c r="AC66" s="228">
        <v>0.59</v>
      </c>
      <c r="AD66" s="228">
        <v>0.55000000000000004</v>
      </c>
      <c r="AE66" s="228">
        <v>0.04</v>
      </c>
      <c r="AF66" s="229">
        <v>3.8999999999999998E-3</v>
      </c>
      <c r="AG66" s="228">
        <v>1.65</v>
      </c>
      <c r="AH66" s="228">
        <v>1.63</v>
      </c>
      <c r="AI66" s="228">
        <v>0.02</v>
      </c>
      <c r="AJ66" s="229">
        <v>1.0800000000000001E-2</v>
      </c>
      <c r="AK66" s="228">
        <v>2.48</v>
      </c>
      <c r="AL66" s="228">
        <v>2.25</v>
      </c>
      <c r="AM66" s="228">
        <v>0.23</v>
      </c>
      <c r="AN66" s="229">
        <v>1.6299999999999999E-2</v>
      </c>
      <c r="AO66" s="228">
        <v>151.86000000000001</v>
      </c>
      <c r="AP66" s="228">
        <v>152.35</v>
      </c>
      <c r="AQ66" s="228">
        <v>0</v>
      </c>
      <c r="AR66" s="230">
        <v>17910900</v>
      </c>
      <c r="AS66" s="230">
        <v>19630800</v>
      </c>
      <c r="AT66" s="230">
        <v>-1719900</v>
      </c>
      <c r="AU66" s="229">
        <v>-8.7599999999999997E-2</v>
      </c>
      <c r="AV66" s="230">
        <v>15740550</v>
      </c>
      <c r="AW66" s="230">
        <v>16231950</v>
      </c>
      <c r="AX66" s="230">
        <v>-491400</v>
      </c>
      <c r="AY66" s="229">
        <v>-3.0300000000000001E-2</v>
      </c>
      <c r="AZ66" s="230">
        <v>1880550</v>
      </c>
      <c r="BA66" s="230">
        <v>3058650</v>
      </c>
      <c r="BB66" s="230">
        <v>-1178100</v>
      </c>
      <c r="BC66" s="229">
        <v>-0.38519999999999999</v>
      </c>
      <c r="BD66" s="230">
        <v>289800</v>
      </c>
      <c r="BE66" s="230">
        <v>340200</v>
      </c>
      <c r="BF66" s="230">
        <v>-50400</v>
      </c>
      <c r="BG66" s="229">
        <v>-0.14810000000000001</v>
      </c>
      <c r="BH66" s="230">
        <v>52523100</v>
      </c>
      <c r="BI66" s="230">
        <v>33138000</v>
      </c>
      <c r="BJ66" s="230">
        <v>19385100</v>
      </c>
      <c r="BK66" s="229">
        <v>0.58499999999999996</v>
      </c>
      <c r="BL66" s="230">
        <v>20979000</v>
      </c>
      <c r="BM66" s="230">
        <v>18707850</v>
      </c>
      <c r="BN66" s="230">
        <v>2271150</v>
      </c>
      <c r="BO66" s="229">
        <v>0.12139999999999999</v>
      </c>
      <c r="BP66" s="230">
        <v>91413000</v>
      </c>
      <c r="BQ66" s="230">
        <v>71476650</v>
      </c>
      <c r="BR66" s="230">
        <v>19936350</v>
      </c>
      <c r="BS66" s="229">
        <v>0.27889999999999998</v>
      </c>
      <c r="BT66" s="230">
        <v>16470030</v>
      </c>
      <c r="BU66" s="230">
        <v>23938426</v>
      </c>
      <c r="BV66" s="230">
        <v>-7468396</v>
      </c>
      <c r="BW66" s="229">
        <v>-0.312</v>
      </c>
      <c r="BX66" s="230">
        <v>108873450</v>
      </c>
      <c r="BY66" s="230">
        <v>107698500</v>
      </c>
      <c r="BZ66" s="230">
        <v>1174950</v>
      </c>
      <c r="CA66" s="229">
        <v>1.09E-2</v>
      </c>
      <c r="CB66" s="230">
        <v>100976400</v>
      </c>
      <c r="CC66" s="230">
        <v>99810900</v>
      </c>
      <c r="CD66" s="230">
        <v>1165500</v>
      </c>
      <c r="CE66" s="229">
        <v>1.17E-2</v>
      </c>
      <c r="CF66" s="230">
        <v>7008750</v>
      </c>
      <c r="CG66" s="230">
        <v>7002450</v>
      </c>
      <c r="CH66" s="230">
        <v>6300</v>
      </c>
      <c r="CI66" s="229">
        <v>8.9999999999999998E-4</v>
      </c>
      <c r="CJ66" s="230">
        <v>888300</v>
      </c>
      <c r="CK66" s="230">
        <v>885150</v>
      </c>
      <c r="CL66" s="230">
        <v>3150</v>
      </c>
      <c r="CM66" s="229">
        <v>3.5999999999999999E-3</v>
      </c>
      <c r="CN66" s="230">
        <v>38596950</v>
      </c>
      <c r="CO66" s="230">
        <v>37588950</v>
      </c>
      <c r="CP66" s="230">
        <v>1008000</v>
      </c>
      <c r="CQ66" s="229">
        <v>2.6800000000000001E-2</v>
      </c>
      <c r="CR66" s="230">
        <v>38946600</v>
      </c>
      <c r="CS66" s="230">
        <v>38351250</v>
      </c>
      <c r="CT66" s="230">
        <v>595350</v>
      </c>
      <c r="CU66" s="229">
        <v>1.55E-2</v>
      </c>
      <c r="CV66" s="230">
        <v>186417000</v>
      </c>
      <c r="CW66" s="230">
        <v>183638700</v>
      </c>
      <c r="CX66" s="230">
        <v>2778300</v>
      </c>
      <c r="CY66" s="229">
        <v>1.5100000000000001E-2</v>
      </c>
      <c r="CZ66" s="228">
        <v>41.16</v>
      </c>
      <c r="DA66" s="228">
        <v>40.06</v>
      </c>
      <c r="DB66" s="228">
        <v>1.1000000000000001</v>
      </c>
      <c r="DC66" s="228">
        <v>1.1000000000000001</v>
      </c>
      <c r="DD66" s="228">
        <v>34.369999999999997</v>
      </c>
      <c r="DE66" s="228">
        <v>34.229999999999997</v>
      </c>
      <c r="DF66" s="228">
        <v>6.79</v>
      </c>
      <c r="DG66" s="228">
        <v>0.14000000000000001</v>
      </c>
      <c r="DH66" s="228">
        <v>40.729999999999997</v>
      </c>
      <c r="DI66" s="228">
        <v>40.14</v>
      </c>
      <c r="DJ66" s="228">
        <v>0.59</v>
      </c>
      <c r="DK66" s="228">
        <v>0.59</v>
      </c>
      <c r="DL66" s="228">
        <v>42.22</v>
      </c>
      <c r="DM66" s="228">
        <v>39.9</v>
      </c>
      <c r="DN66" s="228">
        <v>2.3199999999999998</v>
      </c>
      <c r="DO66" s="228">
        <v>2.3199999999999998</v>
      </c>
      <c r="DP66" s="228">
        <v>1.01</v>
      </c>
      <c r="DQ66" s="228">
        <v>1.02</v>
      </c>
      <c r="DR66" s="228">
        <v>-0.01</v>
      </c>
      <c r="DS66" s="229">
        <v>-9.7999999999999997E-3</v>
      </c>
      <c r="DT66" s="228">
        <v>170</v>
      </c>
      <c r="DU66" s="228">
        <v>160</v>
      </c>
      <c r="DV66" s="228">
        <v>0.4</v>
      </c>
      <c r="DW66" s="228">
        <v>0.56000000000000005</v>
      </c>
      <c r="DX66" s="228">
        <v>-0.16</v>
      </c>
      <c r="DY66" s="229">
        <v>-0.28570000000000001</v>
      </c>
      <c r="DZ66" s="229">
        <v>7.2499999999999995E-2</v>
      </c>
      <c r="EA66" s="230">
        <v>7887600</v>
      </c>
      <c r="EB66" s="229">
        <v>6.8999999999999999E-3</v>
      </c>
      <c r="EC66" s="229">
        <v>7.2499999999999995E-2</v>
      </c>
      <c r="ED66" s="228">
        <v>0.49</v>
      </c>
      <c r="EE66" s="229">
        <v>3.2000000000000002E-3</v>
      </c>
      <c r="EF66" s="230">
        <v>5210079</v>
      </c>
      <c r="EG66" s="230">
        <v>13903945</v>
      </c>
      <c r="EH66" s="229">
        <v>-0.62529999999999997</v>
      </c>
      <c r="EI66" s="229">
        <v>0.31630000000000003</v>
      </c>
      <c r="EJ66" s="231">
        <v>84840.37</v>
      </c>
      <c r="EK66" s="231">
        <v>31755</v>
      </c>
      <c r="EL66" s="231">
        <v>27209.67</v>
      </c>
      <c r="EM66" s="231">
        <v>6893</v>
      </c>
      <c r="EN66" s="231">
        <v>143805.04</v>
      </c>
      <c r="EO66" s="231">
        <v>112088.78</v>
      </c>
      <c r="EP66" s="231">
        <v>31716.26</v>
      </c>
      <c r="EQ66" s="229">
        <v>0.28299999999999997</v>
      </c>
      <c r="ER66" s="231">
        <v>63985</v>
      </c>
      <c r="ES66" s="231">
        <v>62236</v>
      </c>
      <c r="ET66" s="231">
        <v>166602</v>
      </c>
      <c r="EU66" s="231">
        <v>435694919</v>
      </c>
      <c r="EV66" s="231">
        <v>292823</v>
      </c>
      <c r="EW66" s="231">
        <v>283787</v>
      </c>
      <c r="EX66" s="231">
        <v>9036</v>
      </c>
      <c r="EY66" s="229">
        <v>3.1800000000000002E-2</v>
      </c>
      <c r="EZ66" s="229">
        <v>0.4279</v>
      </c>
      <c r="FA66" s="227" t="s">
        <v>555</v>
      </c>
      <c r="FB66" s="161">
        <f t="shared" si="0"/>
        <v>7897050</v>
      </c>
    </row>
    <row r="67" spans="1:158" ht="17.25" thickBot="1" x14ac:dyDescent="0.3">
      <c r="A67" s="226">
        <v>46093</v>
      </c>
      <c r="B67" s="227" t="s">
        <v>170</v>
      </c>
      <c r="C67" s="227" t="s">
        <v>214</v>
      </c>
      <c r="D67" s="228">
        <v>375</v>
      </c>
      <c r="E67" s="231">
        <v>2263.5</v>
      </c>
      <c r="F67" s="231">
        <v>2278.1999999999998</v>
      </c>
      <c r="G67" s="228">
        <v>-14.7</v>
      </c>
      <c r="H67" s="229">
        <v>-6.4999999999999997E-3</v>
      </c>
      <c r="I67" s="231">
        <v>2256.4</v>
      </c>
      <c r="J67" s="231">
        <v>2272.6999999999998</v>
      </c>
      <c r="K67" s="228">
        <v>-16.3</v>
      </c>
      <c r="L67" s="229">
        <v>-7.1999999999999998E-3</v>
      </c>
      <c r="M67" s="231">
        <v>2263.5</v>
      </c>
      <c r="N67" s="231">
        <v>2278.1999999999998</v>
      </c>
      <c r="O67" s="228">
        <v>-14.7</v>
      </c>
      <c r="P67" s="229">
        <v>-6.4999999999999997E-3</v>
      </c>
      <c r="Q67" s="231">
        <v>2274.8000000000002</v>
      </c>
      <c r="R67" s="231">
        <v>2292.3000000000002</v>
      </c>
      <c r="S67" s="228">
        <v>-17.5</v>
      </c>
      <c r="T67" s="229">
        <v>-7.6E-3</v>
      </c>
      <c r="U67" s="231">
        <v>2292</v>
      </c>
      <c r="V67" s="231">
        <v>2300.8000000000002</v>
      </c>
      <c r="W67" s="228">
        <v>-8.8000000000000007</v>
      </c>
      <c r="X67" s="229">
        <v>-3.8E-3</v>
      </c>
      <c r="Y67" s="228">
        <v>7.1</v>
      </c>
      <c r="Z67" s="228">
        <v>5.5</v>
      </c>
      <c r="AA67" s="228">
        <v>1.6</v>
      </c>
      <c r="AB67" s="229">
        <v>3.0999999999999999E-3</v>
      </c>
      <c r="AC67" s="228">
        <v>7.1</v>
      </c>
      <c r="AD67" s="228">
        <v>5.5</v>
      </c>
      <c r="AE67" s="228">
        <v>1.6</v>
      </c>
      <c r="AF67" s="229">
        <v>3.0999999999999999E-3</v>
      </c>
      <c r="AG67" s="228">
        <v>18.399999999999999</v>
      </c>
      <c r="AH67" s="228">
        <v>19.600000000000001</v>
      </c>
      <c r="AI67" s="228">
        <v>-1.2</v>
      </c>
      <c r="AJ67" s="229">
        <v>8.2000000000000007E-3</v>
      </c>
      <c r="AK67" s="228">
        <v>35.6</v>
      </c>
      <c r="AL67" s="228">
        <v>28.1</v>
      </c>
      <c r="AM67" s="228">
        <v>7.5</v>
      </c>
      <c r="AN67" s="229">
        <v>1.5800000000000002E-2</v>
      </c>
      <c r="AO67" s="231">
        <v>2249.94</v>
      </c>
      <c r="AP67" s="231">
        <v>2262.27</v>
      </c>
      <c r="AQ67" s="228">
        <v>0</v>
      </c>
      <c r="AR67" s="230">
        <v>1610625</v>
      </c>
      <c r="AS67" s="230">
        <v>2328000</v>
      </c>
      <c r="AT67" s="230">
        <v>-717375</v>
      </c>
      <c r="AU67" s="229">
        <v>-0.30819999999999997</v>
      </c>
      <c r="AV67" s="230">
        <v>1554375</v>
      </c>
      <c r="AW67" s="230">
        <v>2242125</v>
      </c>
      <c r="AX67" s="230">
        <v>-687750</v>
      </c>
      <c r="AY67" s="229">
        <v>-0.30669999999999997</v>
      </c>
      <c r="AZ67" s="230">
        <v>50250</v>
      </c>
      <c r="BA67" s="230">
        <v>72750</v>
      </c>
      <c r="BB67" s="230">
        <v>-22500</v>
      </c>
      <c r="BC67" s="229">
        <v>-0.30930000000000002</v>
      </c>
      <c r="BD67" s="230">
        <v>6000</v>
      </c>
      <c r="BE67" s="230">
        <v>13125</v>
      </c>
      <c r="BF67" s="230">
        <v>-7125</v>
      </c>
      <c r="BG67" s="229">
        <v>-0.54290000000000005</v>
      </c>
      <c r="BH67" s="230">
        <v>3124125</v>
      </c>
      <c r="BI67" s="230">
        <v>11403375</v>
      </c>
      <c r="BJ67" s="230">
        <v>-8279250</v>
      </c>
      <c r="BK67" s="229">
        <v>-0.72599999999999998</v>
      </c>
      <c r="BL67" s="230">
        <v>2263125</v>
      </c>
      <c r="BM67" s="230">
        <v>3343875</v>
      </c>
      <c r="BN67" s="230">
        <v>-1080750</v>
      </c>
      <c r="BO67" s="229">
        <v>-0.32319999999999999</v>
      </c>
      <c r="BP67" s="230">
        <v>6997875</v>
      </c>
      <c r="BQ67" s="230">
        <v>17075250</v>
      </c>
      <c r="BR67" s="230">
        <v>-10077375</v>
      </c>
      <c r="BS67" s="229">
        <v>-0.59019999999999995</v>
      </c>
      <c r="BT67" s="230">
        <v>1009471</v>
      </c>
      <c r="BU67" s="230">
        <v>961988</v>
      </c>
      <c r="BV67" s="230">
        <v>47483</v>
      </c>
      <c r="BW67" s="229">
        <v>4.9399999999999999E-2</v>
      </c>
      <c r="BX67" s="230">
        <v>11619000</v>
      </c>
      <c r="BY67" s="230">
        <v>11639625</v>
      </c>
      <c r="BZ67" s="230">
        <v>-20625</v>
      </c>
      <c r="CA67" s="229">
        <v>-1.8E-3</v>
      </c>
      <c r="CB67" s="230">
        <v>11526000</v>
      </c>
      <c r="CC67" s="230">
        <v>11551125</v>
      </c>
      <c r="CD67" s="230">
        <v>-25125</v>
      </c>
      <c r="CE67" s="229">
        <v>-2.2000000000000001E-3</v>
      </c>
      <c r="CF67" s="230">
        <v>82875</v>
      </c>
      <c r="CG67" s="230">
        <v>80250</v>
      </c>
      <c r="CH67" s="230">
        <v>2625</v>
      </c>
      <c r="CI67" s="229">
        <v>3.27E-2</v>
      </c>
      <c r="CJ67" s="230">
        <v>10125</v>
      </c>
      <c r="CK67" s="230">
        <v>8250</v>
      </c>
      <c r="CL67" s="230">
        <v>1875</v>
      </c>
      <c r="CM67" s="229">
        <v>0.2273</v>
      </c>
      <c r="CN67" s="230">
        <v>2099250</v>
      </c>
      <c r="CO67" s="230">
        <v>2237625</v>
      </c>
      <c r="CP67" s="230">
        <v>-138375</v>
      </c>
      <c r="CQ67" s="229">
        <v>-6.1800000000000001E-2</v>
      </c>
      <c r="CR67" s="230">
        <v>1177500</v>
      </c>
      <c r="CS67" s="230">
        <v>1198875</v>
      </c>
      <c r="CT67" s="230">
        <v>-21375</v>
      </c>
      <c r="CU67" s="229">
        <v>-1.78E-2</v>
      </c>
      <c r="CV67" s="230">
        <v>14895750</v>
      </c>
      <c r="CW67" s="230">
        <v>15076125</v>
      </c>
      <c r="CX67" s="230">
        <v>-180375</v>
      </c>
      <c r="CY67" s="229">
        <v>-1.2E-2</v>
      </c>
      <c r="CZ67" s="228">
        <v>35.880000000000003</v>
      </c>
      <c r="DA67" s="228">
        <v>35.07</v>
      </c>
      <c r="DB67" s="228">
        <v>0.81</v>
      </c>
      <c r="DC67" s="228">
        <v>0.81</v>
      </c>
      <c r="DD67" s="228">
        <v>35.32</v>
      </c>
      <c r="DE67" s="228">
        <v>35.39</v>
      </c>
      <c r="DF67" s="228">
        <v>0.56000000000000005</v>
      </c>
      <c r="DG67" s="228">
        <v>-7.0000000000000007E-2</v>
      </c>
      <c r="DH67" s="228">
        <v>34.64</v>
      </c>
      <c r="DI67" s="228">
        <v>34.44</v>
      </c>
      <c r="DJ67" s="228">
        <v>0.2</v>
      </c>
      <c r="DK67" s="228">
        <v>0.2</v>
      </c>
      <c r="DL67" s="228">
        <v>37.590000000000003</v>
      </c>
      <c r="DM67" s="228">
        <v>37.19</v>
      </c>
      <c r="DN67" s="228">
        <v>0.4</v>
      </c>
      <c r="DO67" s="228">
        <v>0.4</v>
      </c>
      <c r="DP67" s="228">
        <v>0.56000000000000005</v>
      </c>
      <c r="DQ67" s="228">
        <v>0.54</v>
      </c>
      <c r="DR67" s="228">
        <v>0.02</v>
      </c>
      <c r="DS67" s="229">
        <v>3.6999999999999998E-2</v>
      </c>
      <c r="DT67" s="231">
        <v>2300</v>
      </c>
      <c r="DU67" s="231">
        <v>2200</v>
      </c>
      <c r="DV67" s="228">
        <v>0.72</v>
      </c>
      <c r="DW67" s="228">
        <v>0.28999999999999998</v>
      </c>
      <c r="DX67" s="228">
        <v>0.43</v>
      </c>
      <c r="DY67" s="229">
        <v>1.4827999999999999</v>
      </c>
      <c r="DZ67" s="229">
        <v>8.0000000000000002E-3</v>
      </c>
      <c r="EA67" s="230">
        <v>88500</v>
      </c>
      <c r="EB67" s="229">
        <v>5.0000000000000001E-3</v>
      </c>
      <c r="EC67" s="229">
        <v>8.0000000000000002E-3</v>
      </c>
      <c r="ED67" s="228">
        <v>12.33</v>
      </c>
      <c r="EE67" s="229">
        <v>5.4999999999999997E-3</v>
      </c>
      <c r="EF67" s="230">
        <v>469641</v>
      </c>
      <c r="EG67" s="230">
        <v>319200</v>
      </c>
      <c r="EH67" s="229">
        <v>0.4713</v>
      </c>
      <c r="EI67" s="229">
        <v>0.4652</v>
      </c>
      <c r="EJ67" s="231">
        <v>73803.67</v>
      </c>
      <c r="EK67" s="231">
        <v>50579.3</v>
      </c>
      <c r="EL67" s="231">
        <v>36245.870000000003</v>
      </c>
      <c r="EM67" s="231">
        <v>4609</v>
      </c>
      <c r="EN67" s="231">
        <v>160628.84</v>
      </c>
      <c r="EO67" s="231">
        <v>398743.49</v>
      </c>
      <c r="EP67" s="231">
        <v>-238114.65</v>
      </c>
      <c r="EQ67" s="229">
        <v>-0.59719999999999995</v>
      </c>
      <c r="ER67" s="231">
        <v>47185</v>
      </c>
      <c r="ES67" s="231">
        <v>24979</v>
      </c>
      <c r="ET67" s="231">
        <v>263008</v>
      </c>
      <c r="EU67" s="231">
        <v>22585180</v>
      </c>
      <c r="EV67" s="231">
        <v>335173</v>
      </c>
      <c r="EW67" s="231">
        <v>340997</v>
      </c>
      <c r="EX67" s="231">
        <v>-5824</v>
      </c>
      <c r="EY67" s="229">
        <v>-1.7100000000000001E-2</v>
      </c>
      <c r="EZ67" s="229">
        <v>0.65949999999999998</v>
      </c>
      <c r="FA67" s="227" t="s">
        <v>568</v>
      </c>
      <c r="FB67" s="161">
        <f t="shared" ref="FB67:FB130" si="1">BX67-CB67</f>
        <v>93000</v>
      </c>
    </row>
    <row r="68" spans="1:158" ht="17.25" thickBot="1" x14ac:dyDescent="0.3">
      <c r="A68" s="226">
        <v>46093</v>
      </c>
      <c r="B68" s="227" t="s">
        <v>215</v>
      </c>
      <c r="C68" s="227" t="s">
        <v>631</v>
      </c>
      <c r="D68" s="228">
        <v>6975</v>
      </c>
      <c r="E68" s="228">
        <v>93.69</v>
      </c>
      <c r="F68" s="228">
        <v>93.95</v>
      </c>
      <c r="G68" s="228">
        <v>-0.26</v>
      </c>
      <c r="H68" s="229">
        <v>-2.8E-3</v>
      </c>
      <c r="I68" s="228">
        <v>93.29</v>
      </c>
      <c r="J68" s="228">
        <v>93.79</v>
      </c>
      <c r="K68" s="228">
        <v>-0.5</v>
      </c>
      <c r="L68" s="229">
        <v>-5.3E-3</v>
      </c>
      <c r="M68" s="228">
        <v>93.69</v>
      </c>
      <c r="N68" s="228">
        <v>93.95</v>
      </c>
      <c r="O68" s="228">
        <v>-0.26</v>
      </c>
      <c r="P68" s="229">
        <v>-2.8E-3</v>
      </c>
      <c r="Q68" s="228">
        <v>94.28</v>
      </c>
      <c r="R68" s="228">
        <v>94.58</v>
      </c>
      <c r="S68" s="228">
        <v>-0.3</v>
      </c>
      <c r="T68" s="229">
        <v>-3.2000000000000002E-3</v>
      </c>
      <c r="U68" s="228">
        <v>94.8</v>
      </c>
      <c r="V68" s="228">
        <v>95.14</v>
      </c>
      <c r="W68" s="228">
        <v>-0.34</v>
      </c>
      <c r="X68" s="229">
        <v>-3.5999999999999999E-3</v>
      </c>
      <c r="Y68" s="228">
        <v>0.4</v>
      </c>
      <c r="Z68" s="228">
        <v>0.16</v>
      </c>
      <c r="AA68" s="228">
        <v>0.24</v>
      </c>
      <c r="AB68" s="229">
        <v>4.3E-3</v>
      </c>
      <c r="AC68" s="228">
        <v>0.4</v>
      </c>
      <c r="AD68" s="228">
        <v>0.16</v>
      </c>
      <c r="AE68" s="228">
        <v>0.24</v>
      </c>
      <c r="AF68" s="229">
        <v>4.3E-3</v>
      </c>
      <c r="AG68" s="228">
        <v>0.99</v>
      </c>
      <c r="AH68" s="228">
        <v>0.79</v>
      </c>
      <c r="AI68" s="228">
        <v>0.2</v>
      </c>
      <c r="AJ68" s="229">
        <v>1.06E-2</v>
      </c>
      <c r="AK68" s="228">
        <v>1.51</v>
      </c>
      <c r="AL68" s="228">
        <v>1.35</v>
      </c>
      <c r="AM68" s="228">
        <v>0.16</v>
      </c>
      <c r="AN68" s="229">
        <v>1.6199999999999999E-2</v>
      </c>
      <c r="AO68" s="228">
        <v>93.85</v>
      </c>
      <c r="AP68" s="228">
        <v>94.3</v>
      </c>
      <c r="AQ68" s="228">
        <v>0</v>
      </c>
      <c r="AR68" s="230">
        <v>22368825</v>
      </c>
      <c r="AS68" s="230">
        <v>14968350</v>
      </c>
      <c r="AT68" s="230">
        <v>7400475</v>
      </c>
      <c r="AU68" s="229">
        <v>0.49440000000000001</v>
      </c>
      <c r="AV68" s="230">
        <v>20562300</v>
      </c>
      <c r="AW68" s="230">
        <v>12192300</v>
      </c>
      <c r="AX68" s="230">
        <v>8370000</v>
      </c>
      <c r="AY68" s="229">
        <v>0.6865</v>
      </c>
      <c r="AZ68" s="230">
        <v>1213650</v>
      </c>
      <c r="BA68" s="230">
        <v>2162250</v>
      </c>
      <c r="BB68" s="230">
        <v>-948600</v>
      </c>
      <c r="BC68" s="229">
        <v>-0.43869999999999998</v>
      </c>
      <c r="BD68" s="230">
        <v>592875</v>
      </c>
      <c r="BE68" s="230">
        <v>613800</v>
      </c>
      <c r="BF68" s="230">
        <v>-20925</v>
      </c>
      <c r="BG68" s="229">
        <v>-3.4099999999999998E-2</v>
      </c>
      <c r="BH68" s="230">
        <v>20904075</v>
      </c>
      <c r="BI68" s="230">
        <v>26170200</v>
      </c>
      <c r="BJ68" s="230">
        <v>-5266125</v>
      </c>
      <c r="BK68" s="229">
        <v>-0.20119999999999999</v>
      </c>
      <c r="BL68" s="230">
        <v>22864050</v>
      </c>
      <c r="BM68" s="230">
        <v>16572600</v>
      </c>
      <c r="BN68" s="230">
        <v>6291450</v>
      </c>
      <c r="BO68" s="229">
        <v>0.37959999999999999</v>
      </c>
      <c r="BP68" s="230">
        <v>66136950</v>
      </c>
      <c r="BQ68" s="230">
        <v>57711150</v>
      </c>
      <c r="BR68" s="230">
        <v>8425800</v>
      </c>
      <c r="BS68" s="229">
        <v>0.14599999999999999</v>
      </c>
      <c r="BT68" s="230">
        <v>17490118</v>
      </c>
      <c r="BU68" s="230">
        <v>4362786</v>
      </c>
      <c r="BV68" s="230">
        <v>13127332</v>
      </c>
      <c r="BW68" s="229">
        <v>3.0089000000000001</v>
      </c>
      <c r="BX68" s="230">
        <v>143085150</v>
      </c>
      <c r="BY68" s="230">
        <v>143608275</v>
      </c>
      <c r="BZ68" s="230">
        <v>-523125</v>
      </c>
      <c r="CA68" s="229">
        <v>-3.5999999999999999E-3</v>
      </c>
      <c r="CB68" s="230">
        <v>137295900</v>
      </c>
      <c r="CC68" s="230">
        <v>138014325</v>
      </c>
      <c r="CD68" s="230">
        <v>-718425</v>
      </c>
      <c r="CE68" s="229">
        <v>-5.1999999999999998E-3</v>
      </c>
      <c r="CF68" s="230">
        <v>4401225</v>
      </c>
      <c r="CG68" s="230">
        <v>4219875</v>
      </c>
      <c r="CH68" s="230">
        <v>181350</v>
      </c>
      <c r="CI68" s="229">
        <v>4.2999999999999997E-2</v>
      </c>
      <c r="CJ68" s="230">
        <v>1388025</v>
      </c>
      <c r="CK68" s="230">
        <v>1374075</v>
      </c>
      <c r="CL68" s="230">
        <v>13950</v>
      </c>
      <c r="CM68" s="229">
        <v>1.0200000000000001E-2</v>
      </c>
      <c r="CN68" s="230">
        <v>58094775</v>
      </c>
      <c r="CO68" s="230">
        <v>56985750</v>
      </c>
      <c r="CP68" s="230">
        <v>1109025</v>
      </c>
      <c r="CQ68" s="229">
        <v>1.95E-2</v>
      </c>
      <c r="CR68" s="230">
        <v>36465300</v>
      </c>
      <c r="CS68" s="230">
        <v>36290925</v>
      </c>
      <c r="CT68" s="230">
        <v>174375</v>
      </c>
      <c r="CU68" s="229">
        <v>4.7999999999999996E-3</v>
      </c>
      <c r="CV68" s="230">
        <v>237645225</v>
      </c>
      <c r="CW68" s="230">
        <v>236884950</v>
      </c>
      <c r="CX68" s="230">
        <v>760275</v>
      </c>
      <c r="CY68" s="229">
        <v>3.2000000000000002E-3</v>
      </c>
      <c r="CZ68" s="228">
        <v>39.97</v>
      </c>
      <c r="DA68" s="228">
        <v>38.119999999999997</v>
      </c>
      <c r="DB68" s="228">
        <v>1.85</v>
      </c>
      <c r="DC68" s="228">
        <v>1.85</v>
      </c>
      <c r="DD68" s="228">
        <v>38.24</v>
      </c>
      <c r="DE68" s="228">
        <v>38.33</v>
      </c>
      <c r="DF68" s="228">
        <v>1.73</v>
      </c>
      <c r="DG68" s="228">
        <v>-0.09</v>
      </c>
      <c r="DH68" s="228">
        <v>38.950000000000003</v>
      </c>
      <c r="DI68" s="228">
        <v>37.76</v>
      </c>
      <c r="DJ68" s="228">
        <v>1.19</v>
      </c>
      <c r="DK68" s="228">
        <v>1.19</v>
      </c>
      <c r="DL68" s="228">
        <v>40.909999999999997</v>
      </c>
      <c r="DM68" s="228">
        <v>38.69</v>
      </c>
      <c r="DN68" s="228">
        <v>2.2200000000000002</v>
      </c>
      <c r="DO68" s="228">
        <v>2.2200000000000002</v>
      </c>
      <c r="DP68" s="228">
        <v>0.63</v>
      </c>
      <c r="DQ68" s="228">
        <v>0.64</v>
      </c>
      <c r="DR68" s="228">
        <v>-0.01</v>
      </c>
      <c r="DS68" s="229">
        <v>-1.5599999999999999E-2</v>
      </c>
      <c r="DT68" s="228">
        <v>105</v>
      </c>
      <c r="DU68" s="228">
        <v>95</v>
      </c>
      <c r="DV68" s="228">
        <v>1.0900000000000001</v>
      </c>
      <c r="DW68" s="228">
        <v>0.63</v>
      </c>
      <c r="DX68" s="228">
        <v>0.46</v>
      </c>
      <c r="DY68" s="229">
        <v>0.73019999999999996</v>
      </c>
      <c r="DZ68" s="229">
        <v>4.0500000000000001E-2</v>
      </c>
      <c r="EA68" s="230">
        <v>5593950</v>
      </c>
      <c r="EB68" s="229">
        <v>6.3E-3</v>
      </c>
      <c r="EC68" s="229">
        <v>4.0500000000000001E-2</v>
      </c>
      <c r="ED68" s="228">
        <v>0.45</v>
      </c>
      <c r="EE68" s="229">
        <v>4.7999999999999996E-3</v>
      </c>
      <c r="EF68" s="230">
        <v>8846739</v>
      </c>
      <c r="EG68" s="230">
        <v>1501044</v>
      </c>
      <c r="EH68" s="229">
        <v>4.8936999999999999</v>
      </c>
      <c r="EI68" s="229">
        <v>0.50580000000000003</v>
      </c>
      <c r="EJ68" s="231">
        <v>21009.33</v>
      </c>
      <c r="EK68" s="231">
        <v>21126.42</v>
      </c>
      <c r="EL68" s="231">
        <v>21001.57</v>
      </c>
      <c r="EM68" s="231">
        <v>3016</v>
      </c>
      <c r="EN68" s="231">
        <v>63137.32</v>
      </c>
      <c r="EO68" s="231">
        <v>56552.06</v>
      </c>
      <c r="EP68" s="231">
        <v>6585.26</v>
      </c>
      <c r="EQ68" s="229">
        <v>0.1164</v>
      </c>
      <c r="ER68" s="231">
        <v>59992</v>
      </c>
      <c r="ES68" s="231">
        <v>34321</v>
      </c>
      <c r="ET68" s="231">
        <v>134098</v>
      </c>
      <c r="EU68" s="231">
        <v>534704421</v>
      </c>
      <c r="EV68" s="231">
        <v>228411</v>
      </c>
      <c r="EW68" s="231">
        <v>228073</v>
      </c>
      <c r="EX68" s="228">
        <v>338</v>
      </c>
      <c r="EY68" s="229">
        <v>1.5E-3</v>
      </c>
      <c r="EZ68" s="229">
        <v>0.44440000000000002</v>
      </c>
      <c r="FA68" s="227" t="s">
        <v>568</v>
      </c>
      <c r="FB68" s="161">
        <f t="shared" si="1"/>
        <v>5789250</v>
      </c>
    </row>
    <row r="69" spans="1:158" ht="17.25" thickBot="1" x14ac:dyDescent="0.3">
      <c r="A69" s="226">
        <v>46093</v>
      </c>
      <c r="B69" s="227" t="s">
        <v>168</v>
      </c>
      <c r="C69" s="227" t="s">
        <v>217</v>
      </c>
      <c r="D69" s="228">
        <v>500</v>
      </c>
      <c r="E69" s="231">
        <v>1056.2</v>
      </c>
      <c r="F69" s="231">
        <v>1092.4000000000001</v>
      </c>
      <c r="G69" s="228">
        <v>-36.200000000000003</v>
      </c>
      <c r="H69" s="229">
        <v>-3.3099999999999997E-2</v>
      </c>
      <c r="I69" s="231">
        <v>1052.3</v>
      </c>
      <c r="J69" s="231">
        <v>1091.4000000000001</v>
      </c>
      <c r="K69" s="228">
        <v>-39.1</v>
      </c>
      <c r="L69" s="229">
        <v>-3.5799999999999998E-2</v>
      </c>
      <c r="M69" s="231">
        <v>1056.2</v>
      </c>
      <c r="N69" s="231">
        <v>1092.4000000000001</v>
      </c>
      <c r="O69" s="228">
        <v>-36.200000000000003</v>
      </c>
      <c r="P69" s="229">
        <v>-3.3099999999999997E-2</v>
      </c>
      <c r="Q69" s="231">
        <v>1061.9000000000001</v>
      </c>
      <c r="R69" s="231">
        <v>1102.0999999999999</v>
      </c>
      <c r="S69" s="228">
        <v>-40.200000000000003</v>
      </c>
      <c r="T69" s="229">
        <v>-3.6499999999999998E-2</v>
      </c>
      <c r="U69" s="231">
        <v>1061.5</v>
      </c>
      <c r="V69" s="231">
        <v>1112.4000000000001</v>
      </c>
      <c r="W69" s="228">
        <v>-50.9</v>
      </c>
      <c r="X69" s="229">
        <v>-4.58E-2</v>
      </c>
      <c r="Y69" s="228">
        <v>3.9</v>
      </c>
      <c r="Z69" s="228">
        <v>1</v>
      </c>
      <c r="AA69" s="228">
        <v>2.9</v>
      </c>
      <c r="AB69" s="229">
        <v>3.7000000000000002E-3</v>
      </c>
      <c r="AC69" s="228">
        <v>3.9</v>
      </c>
      <c r="AD69" s="228">
        <v>1</v>
      </c>
      <c r="AE69" s="228">
        <v>2.9</v>
      </c>
      <c r="AF69" s="229">
        <v>3.7000000000000002E-3</v>
      </c>
      <c r="AG69" s="228">
        <v>9.6</v>
      </c>
      <c r="AH69" s="228">
        <v>10.7</v>
      </c>
      <c r="AI69" s="228">
        <v>-1.1000000000000001</v>
      </c>
      <c r="AJ69" s="229">
        <v>9.1000000000000004E-3</v>
      </c>
      <c r="AK69" s="228">
        <v>9.1999999999999993</v>
      </c>
      <c r="AL69" s="228">
        <v>21</v>
      </c>
      <c r="AM69" s="228">
        <v>-11.8</v>
      </c>
      <c r="AN69" s="229">
        <v>8.6999999999999994E-3</v>
      </c>
      <c r="AO69" s="231">
        <v>1061.0999999999999</v>
      </c>
      <c r="AP69" s="231">
        <v>1067.52</v>
      </c>
      <c r="AQ69" s="228">
        <v>0</v>
      </c>
      <c r="AR69" s="230">
        <v>3617500</v>
      </c>
      <c r="AS69" s="230">
        <v>1315000</v>
      </c>
      <c r="AT69" s="230">
        <v>2302500</v>
      </c>
      <c r="AU69" s="229">
        <v>1.7509999999999999</v>
      </c>
      <c r="AV69" s="230">
        <v>3523000</v>
      </c>
      <c r="AW69" s="230">
        <v>1291500</v>
      </c>
      <c r="AX69" s="230">
        <v>2231500</v>
      </c>
      <c r="AY69" s="229">
        <v>1.7278</v>
      </c>
      <c r="AZ69" s="230">
        <v>90500</v>
      </c>
      <c r="BA69" s="230">
        <v>23000</v>
      </c>
      <c r="BB69" s="230">
        <v>67500</v>
      </c>
      <c r="BC69" s="229">
        <v>2.9348000000000001</v>
      </c>
      <c r="BD69" s="230">
        <v>4000</v>
      </c>
      <c r="BE69" s="228">
        <v>500</v>
      </c>
      <c r="BF69" s="230">
        <v>3500</v>
      </c>
      <c r="BG69" s="229">
        <v>7</v>
      </c>
      <c r="BH69" s="230">
        <v>2570000</v>
      </c>
      <c r="BI69" s="230">
        <v>982500</v>
      </c>
      <c r="BJ69" s="230">
        <v>1587500</v>
      </c>
      <c r="BK69" s="229">
        <v>1.6157999999999999</v>
      </c>
      <c r="BL69" s="230">
        <v>2053500</v>
      </c>
      <c r="BM69" s="230">
        <v>926000</v>
      </c>
      <c r="BN69" s="230">
        <v>1127500</v>
      </c>
      <c r="BO69" s="229">
        <v>1.2176</v>
      </c>
      <c r="BP69" s="230">
        <v>8241000</v>
      </c>
      <c r="BQ69" s="230">
        <v>3223500</v>
      </c>
      <c r="BR69" s="230">
        <v>5017500</v>
      </c>
      <c r="BS69" s="229">
        <v>1.5565</v>
      </c>
      <c r="BT69" s="230">
        <v>6150509</v>
      </c>
      <c r="BU69" s="230">
        <v>676709</v>
      </c>
      <c r="BV69" s="230">
        <v>5473800</v>
      </c>
      <c r="BW69" s="229">
        <v>8.0889000000000006</v>
      </c>
      <c r="BX69" s="230">
        <v>9260000</v>
      </c>
      <c r="BY69" s="230">
        <v>8709500</v>
      </c>
      <c r="BZ69" s="230">
        <v>550500</v>
      </c>
      <c r="CA69" s="229">
        <v>6.3200000000000006E-2</v>
      </c>
      <c r="CB69" s="230">
        <v>9182500</v>
      </c>
      <c r="CC69" s="230">
        <v>8657000</v>
      </c>
      <c r="CD69" s="230">
        <v>525500</v>
      </c>
      <c r="CE69" s="229">
        <v>6.0699999999999997E-2</v>
      </c>
      <c r="CF69" s="230">
        <v>72500</v>
      </c>
      <c r="CG69" s="230">
        <v>51000</v>
      </c>
      <c r="CH69" s="230">
        <v>21500</v>
      </c>
      <c r="CI69" s="229">
        <v>0.42159999999999997</v>
      </c>
      <c r="CJ69" s="230">
        <v>5000</v>
      </c>
      <c r="CK69" s="230">
        <v>1500</v>
      </c>
      <c r="CL69" s="230">
        <v>3500</v>
      </c>
      <c r="CM69" s="229">
        <v>2.3332999999999999</v>
      </c>
      <c r="CN69" s="230">
        <v>1887500</v>
      </c>
      <c r="CO69" s="230">
        <v>1554500</v>
      </c>
      <c r="CP69" s="230">
        <v>333000</v>
      </c>
      <c r="CQ69" s="229">
        <v>0.2142</v>
      </c>
      <c r="CR69" s="230">
        <v>1640500</v>
      </c>
      <c r="CS69" s="230">
        <v>1372000</v>
      </c>
      <c r="CT69" s="230">
        <v>268500</v>
      </c>
      <c r="CU69" s="229">
        <v>0.19570000000000001</v>
      </c>
      <c r="CV69" s="230">
        <v>12788000</v>
      </c>
      <c r="CW69" s="230">
        <v>11636000</v>
      </c>
      <c r="CX69" s="230">
        <v>1152000</v>
      </c>
      <c r="CY69" s="229">
        <v>9.9000000000000005E-2</v>
      </c>
      <c r="CZ69" s="228">
        <v>32.11</v>
      </c>
      <c r="DA69" s="228">
        <v>30.07</v>
      </c>
      <c r="DB69" s="228">
        <v>2.04</v>
      </c>
      <c r="DC69" s="228">
        <v>2.04</v>
      </c>
      <c r="DD69" s="228">
        <v>29.19</v>
      </c>
      <c r="DE69" s="228">
        <v>28.84</v>
      </c>
      <c r="DF69" s="228">
        <v>2.92</v>
      </c>
      <c r="DG69" s="228">
        <v>0.35</v>
      </c>
      <c r="DH69" s="228">
        <v>31.48</v>
      </c>
      <c r="DI69" s="228">
        <v>29.82</v>
      </c>
      <c r="DJ69" s="228">
        <v>1.66</v>
      </c>
      <c r="DK69" s="228">
        <v>1.66</v>
      </c>
      <c r="DL69" s="228">
        <v>32.89</v>
      </c>
      <c r="DM69" s="228">
        <v>30.34</v>
      </c>
      <c r="DN69" s="228">
        <v>2.5499999999999998</v>
      </c>
      <c r="DO69" s="228">
        <v>2.5499999999999998</v>
      </c>
      <c r="DP69" s="228">
        <v>0.87</v>
      </c>
      <c r="DQ69" s="228">
        <v>0.88</v>
      </c>
      <c r="DR69" s="228">
        <v>-0.01</v>
      </c>
      <c r="DS69" s="229">
        <v>-1.14E-2</v>
      </c>
      <c r="DT69" s="231">
        <v>1180</v>
      </c>
      <c r="DU69" s="231">
        <v>1100</v>
      </c>
      <c r="DV69" s="228">
        <v>0.8</v>
      </c>
      <c r="DW69" s="228">
        <v>0.94</v>
      </c>
      <c r="DX69" s="228">
        <v>-0.14000000000000001</v>
      </c>
      <c r="DY69" s="229">
        <v>-0.1489</v>
      </c>
      <c r="DZ69" s="229">
        <v>8.3999999999999995E-3</v>
      </c>
      <c r="EA69" s="230">
        <v>52500</v>
      </c>
      <c r="EB69" s="229">
        <v>5.4000000000000003E-3</v>
      </c>
      <c r="EC69" s="229">
        <v>8.3999999999999995E-3</v>
      </c>
      <c r="ED69" s="228">
        <v>6.42</v>
      </c>
      <c r="EE69" s="229">
        <v>6.1000000000000004E-3</v>
      </c>
      <c r="EF69" s="230">
        <v>4351045</v>
      </c>
      <c r="EG69" s="230">
        <v>440764</v>
      </c>
      <c r="EH69" s="229">
        <v>8.8716000000000008</v>
      </c>
      <c r="EI69" s="229">
        <v>0.70740000000000003</v>
      </c>
      <c r="EJ69" s="231">
        <v>29267.89</v>
      </c>
      <c r="EK69" s="231">
        <v>22403.13</v>
      </c>
      <c r="EL69" s="231">
        <v>38391.46</v>
      </c>
      <c r="EM69" s="231">
        <v>3410</v>
      </c>
      <c r="EN69" s="231">
        <v>90062.48</v>
      </c>
      <c r="EO69" s="231">
        <v>36424.68</v>
      </c>
      <c r="EP69" s="231">
        <v>53637.8</v>
      </c>
      <c r="EQ69" s="229">
        <v>1.4725999999999999</v>
      </c>
      <c r="ER69" s="231">
        <v>22134</v>
      </c>
      <c r="ES69" s="231">
        <v>18283</v>
      </c>
      <c r="ET69" s="231">
        <v>97809</v>
      </c>
      <c r="EU69" s="231">
        <v>72031016</v>
      </c>
      <c r="EV69" s="231">
        <v>138225</v>
      </c>
      <c r="EW69" s="231">
        <v>129269</v>
      </c>
      <c r="EX69" s="231">
        <v>8956</v>
      </c>
      <c r="EY69" s="229">
        <v>6.93E-2</v>
      </c>
      <c r="EZ69" s="229">
        <v>0.17749999999999999</v>
      </c>
      <c r="FA69" s="227" t="s">
        <v>567</v>
      </c>
      <c r="FB69" s="161">
        <f t="shared" si="1"/>
        <v>77500</v>
      </c>
    </row>
    <row r="70" spans="1:158" ht="17.25" thickBot="1" x14ac:dyDescent="0.3">
      <c r="A70" s="226">
        <v>46093</v>
      </c>
      <c r="B70" s="227" t="s">
        <v>206</v>
      </c>
      <c r="C70" s="227" t="s">
        <v>218</v>
      </c>
      <c r="D70" s="228">
        <v>275</v>
      </c>
      <c r="E70" s="231">
        <v>1622.5</v>
      </c>
      <c r="F70" s="231">
        <v>1655.3</v>
      </c>
      <c r="G70" s="228">
        <v>-32.799999999999997</v>
      </c>
      <c r="H70" s="229">
        <v>-1.9800000000000002E-2</v>
      </c>
      <c r="I70" s="231">
        <v>1616.3</v>
      </c>
      <c r="J70" s="231">
        <v>1651.1</v>
      </c>
      <c r="K70" s="228">
        <v>-34.799999999999997</v>
      </c>
      <c r="L70" s="229">
        <v>-2.1100000000000001E-2</v>
      </c>
      <c r="M70" s="231">
        <v>1622.5</v>
      </c>
      <c r="N70" s="231">
        <v>1655.3</v>
      </c>
      <c r="O70" s="228">
        <v>-32.799999999999997</v>
      </c>
      <c r="P70" s="229">
        <v>-1.9800000000000002E-2</v>
      </c>
      <c r="Q70" s="231">
        <v>1629.8</v>
      </c>
      <c r="R70" s="231">
        <v>1661.6</v>
      </c>
      <c r="S70" s="228">
        <v>-31.8</v>
      </c>
      <c r="T70" s="229">
        <v>-1.9099999999999999E-2</v>
      </c>
      <c r="U70" s="231">
        <v>1641</v>
      </c>
      <c r="V70" s="231">
        <v>1672.7</v>
      </c>
      <c r="W70" s="228">
        <v>-31.7</v>
      </c>
      <c r="X70" s="229">
        <v>-1.9E-2</v>
      </c>
      <c r="Y70" s="228">
        <v>6.2</v>
      </c>
      <c r="Z70" s="228">
        <v>4.2</v>
      </c>
      <c r="AA70" s="228">
        <v>2</v>
      </c>
      <c r="AB70" s="229">
        <v>3.8E-3</v>
      </c>
      <c r="AC70" s="228">
        <v>6.2</v>
      </c>
      <c r="AD70" s="228">
        <v>4.2</v>
      </c>
      <c r="AE70" s="228">
        <v>2</v>
      </c>
      <c r="AF70" s="229">
        <v>3.8E-3</v>
      </c>
      <c r="AG70" s="228">
        <v>13.5</v>
      </c>
      <c r="AH70" s="228">
        <v>10.5</v>
      </c>
      <c r="AI70" s="228">
        <v>3</v>
      </c>
      <c r="AJ70" s="229">
        <v>8.3999999999999995E-3</v>
      </c>
      <c r="AK70" s="228">
        <v>24.7</v>
      </c>
      <c r="AL70" s="228">
        <v>21.6</v>
      </c>
      <c r="AM70" s="228">
        <v>3.1</v>
      </c>
      <c r="AN70" s="229">
        <v>1.5299999999999999E-2</v>
      </c>
      <c r="AO70" s="231">
        <v>1627.49</v>
      </c>
      <c r="AP70" s="231">
        <v>1638.11</v>
      </c>
      <c r="AQ70" s="228">
        <v>0</v>
      </c>
      <c r="AR70" s="230">
        <v>1245750</v>
      </c>
      <c r="AS70" s="230">
        <v>1326325</v>
      </c>
      <c r="AT70" s="230">
        <v>-80575</v>
      </c>
      <c r="AU70" s="229">
        <v>-6.08E-2</v>
      </c>
      <c r="AV70" s="230">
        <v>1144000</v>
      </c>
      <c r="AW70" s="230">
        <v>1228150</v>
      </c>
      <c r="AX70" s="230">
        <v>-84150</v>
      </c>
      <c r="AY70" s="229">
        <v>-6.8500000000000005E-2</v>
      </c>
      <c r="AZ70" s="230">
        <v>91300</v>
      </c>
      <c r="BA70" s="230">
        <v>91850</v>
      </c>
      <c r="BB70" s="228">
        <v>-550</v>
      </c>
      <c r="BC70" s="229">
        <v>-6.0000000000000001E-3</v>
      </c>
      <c r="BD70" s="230">
        <v>10450</v>
      </c>
      <c r="BE70" s="230">
        <v>6325</v>
      </c>
      <c r="BF70" s="230">
        <v>4125</v>
      </c>
      <c r="BG70" s="229">
        <v>0.6522</v>
      </c>
      <c r="BH70" s="230">
        <v>1884850</v>
      </c>
      <c r="BI70" s="230">
        <v>1514425</v>
      </c>
      <c r="BJ70" s="230">
        <v>370425</v>
      </c>
      <c r="BK70" s="229">
        <v>0.24460000000000001</v>
      </c>
      <c r="BL70" s="230">
        <v>1597200</v>
      </c>
      <c r="BM70" s="230">
        <v>1131900</v>
      </c>
      <c r="BN70" s="230">
        <v>465300</v>
      </c>
      <c r="BO70" s="229">
        <v>0.41110000000000002</v>
      </c>
      <c r="BP70" s="230">
        <v>4727800</v>
      </c>
      <c r="BQ70" s="230">
        <v>3972650</v>
      </c>
      <c r="BR70" s="230">
        <v>755150</v>
      </c>
      <c r="BS70" s="229">
        <v>0.19009999999999999</v>
      </c>
      <c r="BT70" s="230">
        <v>779458</v>
      </c>
      <c r="BU70" s="230">
        <v>1211328</v>
      </c>
      <c r="BV70" s="230">
        <v>-431870</v>
      </c>
      <c r="BW70" s="229">
        <v>-0.35649999999999998</v>
      </c>
      <c r="BX70" s="230">
        <v>8650675</v>
      </c>
      <c r="BY70" s="230">
        <v>8490075</v>
      </c>
      <c r="BZ70" s="230">
        <v>160600</v>
      </c>
      <c r="CA70" s="229">
        <v>1.89E-2</v>
      </c>
      <c r="CB70" s="230">
        <v>8396300</v>
      </c>
      <c r="CC70" s="230">
        <v>8264300</v>
      </c>
      <c r="CD70" s="230">
        <v>132000</v>
      </c>
      <c r="CE70" s="229">
        <v>1.6E-2</v>
      </c>
      <c r="CF70" s="230">
        <v>209825</v>
      </c>
      <c r="CG70" s="230">
        <v>181775</v>
      </c>
      <c r="CH70" s="230">
        <v>28050</v>
      </c>
      <c r="CI70" s="229">
        <v>0.15429999999999999</v>
      </c>
      <c r="CJ70" s="230">
        <v>44550</v>
      </c>
      <c r="CK70" s="230">
        <v>44000</v>
      </c>
      <c r="CL70" s="228">
        <v>550</v>
      </c>
      <c r="CM70" s="229">
        <v>1.2500000000000001E-2</v>
      </c>
      <c r="CN70" s="230">
        <v>2815725</v>
      </c>
      <c r="CO70" s="230">
        <v>2814350</v>
      </c>
      <c r="CP70" s="230">
        <v>1375</v>
      </c>
      <c r="CQ70" s="229">
        <v>5.0000000000000001E-4</v>
      </c>
      <c r="CR70" s="230">
        <v>2037750</v>
      </c>
      <c r="CS70" s="230">
        <v>2042150</v>
      </c>
      <c r="CT70" s="230">
        <v>-4400</v>
      </c>
      <c r="CU70" s="229">
        <v>-2.2000000000000001E-3</v>
      </c>
      <c r="CV70" s="230">
        <v>13504150</v>
      </c>
      <c r="CW70" s="230">
        <v>13346575</v>
      </c>
      <c r="CX70" s="230">
        <v>157575</v>
      </c>
      <c r="CY70" s="229">
        <v>1.18E-2</v>
      </c>
      <c r="CZ70" s="228">
        <v>45.96</v>
      </c>
      <c r="DA70" s="228">
        <v>45.15</v>
      </c>
      <c r="DB70" s="228">
        <v>0.81</v>
      </c>
      <c r="DC70" s="228">
        <v>0.81</v>
      </c>
      <c r="DD70" s="228">
        <v>44.59</v>
      </c>
      <c r="DE70" s="228">
        <v>44.62</v>
      </c>
      <c r="DF70" s="228">
        <v>1.37</v>
      </c>
      <c r="DG70" s="228">
        <v>-0.03</v>
      </c>
      <c r="DH70" s="228">
        <v>44.31</v>
      </c>
      <c r="DI70" s="228">
        <v>44.18</v>
      </c>
      <c r="DJ70" s="228">
        <v>0.13</v>
      </c>
      <c r="DK70" s="228">
        <v>0.13</v>
      </c>
      <c r="DL70" s="228">
        <v>47.91</v>
      </c>
      <c r="DM70" s="228">
        <v>46.45</v>
      </c>
      <c r="DN70" s="228">
        <v>1.46</v>
      </c>
      <c r="DO70" s="228">
        <v>1.46</v>
      </c>
      <c r="DP70" s="228">
        <v>0.72</v>
      </c>
      <c r="DQ70" s="228">
        <v>0.73</v>
      </c>
      <c r="DR70" s="228">
        <v>-0.01</v>
      </c>
      <c r="DS70" s="229">
        <v>-1.37E-2</v>
      </c>
      <c r="DT70" s="231">
        <v>1700</v>
      </c>
      <c r="DU70" s="231">
        <v>1660</v>
      </c>
      <c r="DV70" s="228">
        <v>0.85</v>
      </c>
      <c r="DW70" s="228">
        <v>0.75</v>
      </c>
      <c r="DX70" s="228">
        <v>0.1</v>
      </c>
      <c r="DY70" s="229">
        <v>0.1333</v>
      </c>
      <c r="DZ70" s="229">
        <v>2.9399999999999999E-2</v>
      </c>
      <c r="EA70" s="230">
        <v>225775</v>
      </c>
      <c r="EB70" s="229">
        <v>4.4999999999999997E-3</v>
      </c>
      <c r="EC70" s="229">
        <v>2.9399999999999999E-2</v>
      </c>
      <c r="ED70" s="228">
        <v>10.62</v>
      </c>
      <c r="EE70" s="229">
        <v>6.4999999999999997E-3</v>
      </c>
      <c r="EF70" s="230">
        <v>359848</v>
      </c>
      <c r="EG70" s="230">
        <v>694720</v>
      </c>
      <c r="EH70" s="229">
        <v>-0.48199999999999998</v>
      </c>
      <c r="EI70" s="229">
        <v>0.4617</v>
      </c>
      <c r="EJ70" s="231">
        <v>33491.22</v>
      </c>
      <c r="EK70" s="231">
        <v>26423.22</v>
      </c>
      <c r="EL70" s="231">
        <v>20286.490000000002</v>
      </c>
      <c r="EM70" s="231">
        <v>6507</v>
      </c>
      <c r="EN70" s="231">
        <v>80200.929999999993</v>
      </c>
      <c r="EO70" s="231">
        <v>68818.899999999994</v>
      </c>
      <c r="EP70" s="231">
        <v>11382.03</v>
      </c>
      <c r="EQ70" s="229">
        <v>0.16539999999999999</v>
      </c>
      <c r="ER70" s="231">
        <v>51227</v>
      </c>
      <c r="ES70" s="231">
        <v>34481</v>
      </c>
      <c r="ET70" s="231">
        <v>140381</v>
      </c>
      <c r="EU70" s="231">
        <v>17263909</v>
      </c>
      <c r="EV70" s="231">
        <v>226089</v>
      </c>
      <c r="EW70" s="231">
        <v>226527</v>
      </c>
      <c r="EX70" s="228">
        <v>-438</v>
      </c>
      <c r="EY70" s="229">
        <v>-1.9E-3</v>
      </c>
      <c r="EZ70" s="229">
        <v>0.78220000000000001</v>
      </c>
      <c r="FA70" s="227" t="s">
        <v>567</v>
      </c>
      <c r="FB70" s="161">
        <f t="shared" si="1"/>
        <v>254375</v>
      </c>
    </row>
    <row r="71" spans="1:158" ht="17.25" thickBot="1" x14ac:dyDescent="0.3">
      <c r="A71" s="226">
        <v>46093</v>
      </c>
      <c r="B71" s="227" t="s">
        <v>157</v>
      </c>
      <c r="C71" s="227" t="s">
        <v>219</v>
      </c>
      <c r="D71" s="228">
        <v>250</v>
      </c>
      <c r="E71" s="231">
        <v>2675.6</v>
      </c>
      <c r="F71" s="231">
        <v>2734.4</v>
      </c>
      <c r="G71" s="228">
        <v>-58.8</v>
      </c>
      <c r="H71" s="229">
        <v>-2.1499999999999998E-2</v>
      </c>
      <c r="I71" s="231">
        <v>2673.1</v>
      </c>
      <c r="J71" s="231">
        <v>2735.6</v>
      </c>
      <c r="K71" s="228">
        <v>-62.5</v>
      </c>
      <c r="L71" s="229">
        <v>-2.2800000000000001E-2</v>
      </c>
      <c r="M71" s="231">
        <v>2675.6</v>
      </c>
      <c r="N71" s="231">
        <v>2734.4</v>
      </c>
      <c r="O71" s="228">
        <v>-58.8</v>
      </c>
      <c r="P71" s="229">
        <v>-2.1499999999999998E-2</v>
      </c>
      <c r="Q71" s="231">
        <v>2692.1</v>
      </c>
      <c r="R71" s="231">
        <v>2748.8</v>
      </c>
      <c r="S71" s="228">
        <v>-56.7</v>
      </c>
      <c r="T71" s="229">
        <v>-2.06E-2</v>
      </c>
      <c r="U71" s="231">
        <v>2728</v>
      </c>
      <c r="V71" s="231">
        <v>2758</v>
      </c>
      <c r="W71" s="228">
        <v>-30</v>
      </c>
      <c r="X71" s="229">
        <v>-1.09E-2</v>
      </c>
      <c r="Y71" s="228">
        <v>2.5</v>
      </c>
      <c r="Z71" s="228">
        <v>-1.2</v>
      </c>
      <c r="AA71" s="228">
        <v>3.7</v>
      </c>
      <c r="AB71" s="229">
        <v>8.9999999999999998E-4</v>
      </c>
      <c r="AC71" s="228">
        <v>2.5</v>
      </c>
      <c r="AD71" s="228">
        <v>-1.2</v>
      </c>
      <c r="AE71" s="228">
        <v>3.7</v>
      </c>
      <c r="AF71" s="229">
        <v>8.9999999999999998E-4</v>
      </c>
      <c r="AG71" s="228">
        <v>19</v>
      </c>
      <c r="AH71" s="228">
        <v>13.2</v>
      </c>
      <c r="AI71" s="228">
        <v>5.8</v>
      </c>
      <c r="AJ71" s="229">
        <v>7.1000000000000004E-3</v>
      </c>
      <c r="AK71" s="228">
        <v>54.9</v>
      </c>
      <c r="AL71" s="228">
        <v>22.4</v>
      </c>
      <c r="AM71" s="228">
        <v>32.5</v>
      </c>
      <c r="AN71" s="229">
        <v>2.0500000000000001E-2</v>
      </c>
      <c r="AO71" s="231">
        <v>2690.6</v>
      </c>
      <c r="AP71" s="231">
        <v>2709.97</v>
      </c>
      <c r="AQ71" s="228">
        <v>0</v>
      </c>
      <c r="AR71" s="230">
        <v>1226000</v>
      </c>
      <c r="AS71" s="230">
        <v>1430250</v>
      </c>
      <c r="AT71" s="230">
        <v>-204250</v>
      </c>
      <c r="AU71" s="229">
        <v>-0.14280000000000001</v>
      </c>
      <c r="AV71" s="230">
        <v>1078750</v>
      </c>
      <c r="AW71" s="230">
        <v>1387750</v>
      </c>
      <c r="AX71" s="230">
        <v>-309000</v>
      </c>
      <c r="AY71" s="229">
        <v>-0.22270000000000001</v>
      </c>
      <c r="AZ71" s="230">
        <v>145250</v>
      </c>
      <c r="BA71" s="230">
        <v>42250</v>
      </c>
      <c r="BB71" s="230">
        <v>103000</v>
      </c>
      <c r="BC71" s="229">
        <v>2.4379</v>
      </c>
      <c r="BD71" s="230">
        <v>2000</v>
      </c>
      <c r="BE71" s="228">
        <v>250</v>
      </c>
      <c r="BF71" s="230">
        <v>1750</v>
      </c>
      <c r="BG71" s="229">
        <v>7</v>
      </c>
      <c r="BH71" s="230">
        <v>1416750</v>
      </c>
      <c r="BI71" s="230">
        <v>1786500</v>
      </c>
      <c r="BJ71" s="230">
        <v>-369750</v>
      </c>
      <c r="BK71" s="229">
        <v>-0.20699999999999999</v>
      </c>
      <c r="BL71" s="230">
        <v>1004000</v>
      </c>
      <c r="BM71" s="230">
        <v>1230500</v>
      </c>
      <c r="BN71" s="230">
        <v>-226500</v>
      </c>
      <c r="BO71" s="229">
        <v>-0.18410000000000001</v>
      </c>
      <c r="BP71" s="230">
        <v>3646750</v>
      </c>
      <c r="BQ71" s="230">
        <v>4447250</v>
      </c>
      <c r="BR71" s="230">
        <v>-800500</v>
      </c>
      <c r="BS71" s="229">
        <v>-0.18</v>
      </c>
      <c r="BT71" s="230">
        <v>960166</v>
      </c>
      <c r="BU71" s="230">
        <v>1522995</v>
      </c>
      <c r="BV71" s="230">
        <v>-562829</v>
      </c>
      <c r="BW71" s="229">
        <v>-0.36959999999999998</v>
      </c>
      <c r="BX71" s="230">
        <v>15053750</v>
      </c>
      <c r="BY71" s="230">
        <v>14989000</v>
      </c>
      <c r="BZ71" s="230">
        <v>64750</v>
      </c>
      <c r="CA71" s="229">
        <v>4.3E-3</v>
      </c>
      <c r="CB71" s="230">
        <v>14845500</v>
      </c>
      <c r="CC71" s="230">
        <v>14907000</v>
      </c>
      <c r="CD71" s="230">
        <v>-61500</v>
      </c>
      <c r="CE71" s="229">
        <v>-4.1000000000000003E-3</v>
      </c>
      <c r="CF71" s="230">
        <v>201250</v>
      </c>
      <c r="CG71" s="230">
        <v>75250</v>
      </c>
      <c r="CH71" s="230">
        <v>126000</v>
      </c>
      <c r="CI71" s="229">
        <v>1.6744000000000001</v>
      </c>
      <c r="CJ71" s="230">
        <v>7000</v>
      </c>
      <c r="CK71" s="230">
        <v>6750</v>
      </c>
      <c r="CL71" s="228">
        <v>250</v>
      </c>
      <c r="CM71" s="229">
        <v>3.6999999999999998E-2</v>
      </c>
      <c r="CN71" s="230">
        <v>1975500</v>
      </c>
      <c r="CO71" s="230">
        <v>1888000</v>
      </c>
      <c r="CP71" s="230">
        <v>87500</v>
      </c>
      <c r="CQ71" s="229">
        <v>4.6300000000000001E-2</v>
      </c>
      <c r="CR71" s="230">
        <v>1130000</v>
      </c>
      <c r="CS71" s="230">
        <v>1127750</v>
      </c>
      <c r="CT71" s="230">
        <v>2250</v>
      </c>
      <c r="CU71" s="229">
        <v>2E-3</v>
      </c>
      <c r="CV71" s="230">
        <v>18159250</v>
      </c>
      <c r="CW71" s="230">
        <v>18004750</v>
      </c>
      <c r="CX71" s="230">
        <v>154500</v>
      </c>
      <c r="CY71" s="229">
        <v>8.6E-3</v>
      </c>
      <c r="CZ71" s="228">
        <v>27.04</v>
      </c>
      <c r="DA71" s="228">
        <v>25.65</v>
      </c>
      <c r="DB71" s="228">
        <v>1.39</v>
      </c>
      <c r="DC71" s="228">
        <v>1.39</v>
      </c>
      <c r="DD71" s="228">
        <v>25.93</v>
      </c>
      <c r="DE71" s="228">
        <v>25.82</v>
      </c>
      <c r="DF71" s="228">
        <v>1.1100000000000001</v>
      </c>
      <c r="DG71" s="228">
        <v>0.11</v>
      </c>
      <c r="DH71" s="228">
        <v>26.47</v>
      </c>
      <c r="DI71" s="228">
        <v>24.87</v>
      </c>
      <c r="DJ71" s="228">
        <v>1.6</v>
      </c>
      <c r="DK71" s="228">
        <v>1.6</v>
      </c>
      <c r="DL71" s="228">
        <v>27.84</v>
      </c>
      <c r="DM71" s="228">
        <v>26.79</v>
      </c>
      <c r="DN71" s="228">
        <v>1.05</v>
      </c>
      <c r="DO71" s="228">
        <v>1.05</v>
      </c>
      <c r="DP71" s="228">
        <v>0.56999999999999995</v>
      </c>
      <c r="DQ71" s="228">
        <v>0.6</v>
      </c>
      <c r="DR71" s="228">
        <v>-0.03</v>
      </c>
      <c r="DS71" s="229">
        <v>-0.05</v>
      </c>
      <c r="DT71" s="231">
        <v>2860</v>
      </c>
      <c r="DU71" s="231">
        <v>2500</v>
      </c>
      <c r="DV71" s="228">
        <v>0.71</v>
      </c>
      <c r="DW71" s="228">
        <v>0.69</v>
      </c>
      <c r="DX71" s="228">
        <v>0.02</v>
      </c>
      <c r="DY71" s="229">
        <v>2.9000000000000001E-2</v>
      </c>
      <c r="DZ71" s="229">
        <v>1.38E-2</v>
      </c>
      <c r="EA71" s="230">
        <v>82000</v>
      </c>
      <c r="EB71" s="229">
        <v>6.1999999999999998E-3</v>
      </c>
      <c r="EC71" s="229">
        <v>1.38E-2</v>
      </c>
      <c r="ED71" s="228">
        <v>19.37</v>
      </c>
      <c r="EE71" s="229">
        <v>7.1999999999999998E-3</v>
      </c>
      <c r="EF71" s="230">
        <v>509213</v>
      </c>
      <c r="EG71" s="230">
        <v>1126184</v>
      </c>
      <c r="EH71" s="229">
        <v>-0.54779999999999995</v>
      </c>
      <c r="EI71" s="229">
        <v>0.53029999999999999</v>
      </c>
      <c r="EJ71" s="231">
        <v>40195.31</v>
      </c>
      <c r="EK71" s="231">
        <v>27043.55</v>
      </c>
      <c r="EL71" s="231">
        <v>33015.620000000003</v>
      </c>
      <c r="EM71" s="231">
        <v>6584</v>
      </c>
      <c r="EN71" s="231">
        <v>100254.48</v>
      </c>
      <c r="EO71" s="231">
        <v>123972.06</v>
      </c>
      <c r="EP71" s="231">
        <v>-23717.58</v>
      </c>
      <c r="EQ71" s="229">
        <v>-0.1913</v>
      </c>
      <c r="ER71" s="231">
        <v>57351</v>
      </c>
      <c r="ES71" s="231">
        <v>30402</v>
      </c>
      <c r="ET71" s="231">
        <v>402815</v>
      </c>
      <c r="EU71" s="231">
        <v>38505832</v>
      </c>
      <c r="EV71" s="231">
        <v>490568</v>
      </c>
      <c r="EW71" s="231">
        <v>495186</v>
      </c>
      <c r="EX71" s="231">
        <v>-4618</v>
      </c>
      <c r="EY71" s="229">
        <v>-9.2999999999999992E-3</v>
      </c>
      <c r="EZ71" s="229">
        <v>0.47160000000000002</v>
      </c>
      <c r="FA71" s="227" t="s">
        <v>567</v>
      </c>
      <c r="FB71" s="161">
        <f t="shared" si="1"/>
        <v>208250</v>
      </c>
    </row>
    <row r="72" spans="1:158" ht="17.25" thickBot="1" x14ac:dyDescent="0.3">
      <c r="A72" s="226">
        <v>46093</v>
      </c>
      <c r="B72" s="227" t="s">
        <v>184</v>
      </c>
      <c r="C72" s="227" t="s">
        <v>513</v>
      </c>
      <c r="D72" s="228">
        <v>150</v>
      </c>
      <c r="E72" s="231">
        <v>4017.5</v>
      </c>
      <c r="F72" s="231">
        <v>4008</v>
      </c>
      <c r="G72" s="228">
        <v>9.5</v>
      </c>
      <c r="H72" s="229">
        <v>2.3999999999999998E-3</v>
      </c>
      <c r="I72" s="231">
        <v>4013.5</v>
      </c>
      <c r="J72" s="231">
        <v>4005.1</v>
      </c>
      <c r="K72" s="228">
        <v>8.4</v>
      </c>
      <c r="L72" s="229">
        <v>2.0999999999999999E-3</v>
      </c>
      <c r="M72" s="231">
        <v>4017.5</v>
      </c>
      <c r="N72" s="231">
        <v>4008</v>
      </c>
      <c r="O72" s="228">
        <v>9.5</v>
      </c>
      <c r="P72" s="229">
        <v>2.3999999999999998E-3</v>
      </c>
      <c r="Q72" s="231">
        <v>4045.7</v>
      </c>
      <c r="R72" s="231">
        <v>4031.6</v>
      </c>
      <c r="S72" s="228">
        <v>14.1</v>
      </c>
      <c r="T72" s="229">
        <v>3.5000000000000001E-3</v>
      </c>
      <c r="U72" s="231">
        <v>4061.5</v>
      </c>
      <c r="V72" s="231">
        <v>4049.4</v>
      </c>
      <c r="W72" s="228">
        <v>12.1</v>
      </c>
      <c r="X72" s="229">
        <v>3.0000000000000001E-3</v>
      </c>
      <c r="Y72" s="228">
        <v>4</v>
      </c>
      <c r="Z72" s="228">
        <v>2.9</v>
      </c>
      <c r="AA72" s="228">
        <v>1.1000000000000001</v>
      </c>
      <c r="AB72" s="229">
        <v>1E-3</v>
      </c>
      <c r="AC72" s="228">
        <v>4</v>
      </c>
      <c r="AD72" s="228">
        <v>2.9</v>
      </c>
      <c r="AE72" s="228">
        <v>1.1000000000000001</v>
      </c>
      <c r="AF72" s="229">
        <v>1E-3</v>
      </c>
      <c r="AG72" s="228">
        <v>32.200000000000003</v>
      </c>
      <c r="AH72" s="228">
        <v>26.5</v>
      </c>
      <c r="AI72" s="228">
        <v>5.7</v>
      </c>
      <c r="AJ72" s="229">
        <v>8.0000000000000002E-3</v>
      </c>
      <c r="AK72" s="228">
        <v>48</v>
      </c>
      <c r="AL72" s="228">
        <v>44.3</v>
      </c>
      <c r="AM72" s="228">
        <v>3.7</v>
      </c>
      <c r="AN72" s="229">
        <v>1.2E-2</v>
      </c>
      <c r="AO72" s="231">
        <v>3997.16</v>
      </c>
      <c r="AP72" s="231">
        <v>4020.54</v>
      </c>
      <c r="AQ72" s="228">
        <v>0</v>
      </c>
      <c r="AR72" s="230">
        <v>1035750</v>
      </c>
      <c r="AS72" s="230">
        <v>1694550</v>
      </c>
      <c r="AT72" s="230">
        <v>-658800</v>
      </c>
      <c r="AU72" s="229">
        <v>-0.38879999999999998</v>
      </c>
      <c r="AV72" s="230">
        <v>885150</v>
      </c>
      <c r="AW72" s="230">
        <v>1518750</v>
      </c>
      <c r="AX72" s="230">
        <v>-633600</v>
      </c>
      <c r="AY72" s="229">
        <v>-0.41720000000000002</v>
      </c>
      <c r="AZ72" s="230">
        <v>135750</v>
      </c>
      <c r="BA72" s="230">
        <v>149400</v>
      </c>
      <c r="BB72" s="230">
        <v>-13650</v>
      </c>
      <c r="BC72" s="229">
        <v>-9.1399999999999995E-2</v>
      </c>
      <c r="BD72" s="230">
        <v>14850</v>
      </c>
      <c r="BE72" s="230">
        <v>26400</v>
      </c>
      <c r="BF72" s="230">
        <v>-11550</v>
      </c>
      <c r="BG72" s="229">
        <v>-0.4375</v>
      </c>
      <c r="BH72" s="230">
        <v>4825650</v>
      </c>
      <c r="BI72" s="230">
        <v>5513550</v>
      </c>
      <c r="BJ72" s="230">
        <v>-687900</v>
      </c>
      <c r="BK72" s="229">
        <v>-0.12479999999999999</v>
      </c>
      <c r="BL72" s="230">
        <v>1534350</v>
      </c>
      <c r="BM72" s="230">
        <v>2284650</v>
      </c>
      <c r="BN72" s="230">
        <v>-750300</v>
      </c>
      <c r="BO72" s="229">
        <v>-0.32840000000000003</v>
      </c>
      <c r="BP72" s="230">
        <v>7395750</v>
      </c>
      <c r="BQ72" s="230">
        <v>9492750</v>
      </c>
      <c r="BR72" s="230">
        <v>-2097000</v>
      </c>
      <c r="BS72" s="229">
        <v>-0.22090000000000001</v>
      </c>
      <c r="BT72" s="230">
        <v>1035566</v>
      </c>
      <c r="BU72" s="230">
        <v>1717779</v>
      </c>
      <c r="BV72" s="230">
        <v>-682213</v>
      </c>
      <c r="BW72" s="229">
        <v>-0.39710000000000001</v>
      </c>
      <c r="BX72" s="230">
        <v>10398300</v>
      </c>
      <c r="BY72" s="230">
        <v>10559550</v>
      </c>
      <c r="BZ72" s="230">
        <v>-161250</v>
      </c>
      <c r="CA72" s="229">
        <v>-1.5299999999999999E-2</v>
      </c>
      <c r="CB72" s="230">
        <v>9562350</v>
      </c>
      <c r="CC72" s="230">
        <v>9724200</v>
      </c>
      <c r="CD72" s="230">
        <v>-161850</v>
      </c>
      <c r="CE72" s="229">
        <v>-1.66E-2</v>
      </c>
      <c r="CF72" s="230">
        <v>669300</v>
      </c>
      <c r="CG72" s="230">
        <v>668400</v>
      </c>
      <c r="CH72" s="228">
        <v>900</v>
      </c>
      <c r="CI72" s="229">
        <v>1.2999999999999999E-3</v>
      </c>
      <c r="CJ72" s="230">
        <v>166650</v>
      </c>
      <c r="CK72" s="230">
        <v>166950</v>
      </c>
      <c r="CL72" s="228">
        <v>-300</v>
      </c>
      <c r="CM72" s="229">
        <v>-1.8E-3</v>
      </c>
      <c r="CN72" s="230">
        <v>5596950</v>
      </c>
      <c r="CO72" s="230">
        <v>5633250</v>
      </c>
      <c r="CP72" s="230">
        <v>-36300</v>
      </c>
      <c r="CQ72" s="229">
        <v>-6.4000000000000003E-3</v>
      </c>
      <c r="CR72" s="230">
        <v>3665850</v>
      </c>
      <c r="CS72" s="230">
        <v>3731850</v>
      </c>
      <c r="CT72" s="230">
        <v>-66000</v>
      </c>
      <c r="CU72" s="229">
        <v>-1.77E-2</v>
      </c>
      <c r="CV72" s="230">
        <v>19661100</v>
      </c>
      <c r="CW72" s="230">
        <v>19924650</v>
      </c>
      <c r="CX72" s="230">
        <v>-263550</v>
      </c>
      <c r="CY72" s="229">
        <v>-1.32E-2</v>
      </c>
      <c r="CZ72" s="228">
        <v>37.65</v>
      </c>
      <c r="DA72" s="228">
        <v>35.53</v>
      </c>
      <c r="DB72" s="228">
        <v>2.12</v>
      </c>
      <c r="DC72" s="228">
        <v>2.12</v>
      </c>
      <c r="DD72" s="228">
        <v>38.159999999999997</v>
      </c>
      <c r="DE72" s="228">
        <v>38.26</v>
      </c>
      <c r="DF72" s="228">
        <v>-0.51</v>
      </c>
      <c r="DG72" s="228">
        <v>-0.1</v>
      </c>
      <c r="DH72" s="228">
        <v>37.880000000000003</v>
      </c>
      <c r="DI72" s="228">
        <v>34.880000000000003</v>
      </c>
      <c r="DJ72" s="228">
        <v>3</v>
      </c>
      <c r="DK72" s="228">
        <v>3</v>
      </c>
      <c r="DL72" s="228">
        <v>36.93</v>
      </c>
      <c r="DM72" s="228">
        <v>37.11</v>
      </c>
      <c r="DN72" s="228">
        <v>-0.18</v>
      </c>
      <c r="DO72" s="228">
        <v>-0.18</v>
      </c>
      <c r="DP72" s="228">
        <v>0.65</v>
      </c>
      <c r="DQ72" s="228">
        <v>0.66</v>
      </c>
      <c r="DR72" s="228">
        <v>-0.01</v>
      </c>
      <c r="DS72" s="229">
        <v>-1.52E-2</v>
      </c>
      <c r="DT72" s="231">
        <v>4200</v>
      </c>
      <c r="DU72" s="231">
        <v>4000</v>
      </c>
      <c r="DV72" s="228">
        <v>0.32</v>
      </c>
      <c r="DW72" s="228">
        <v>0.41</v>
      </c>
      <c r="DX72" s="228">
        <v>-0.09</v>
      </c>
      <c r="DY72" s="229">
        <v>-0.2195</v>
      </c>
      <c r="DZ72" s="229">
        <v>8.0399999999999999E-2</v>
      </c>
      <c r="EA72" s="230">
        <v>835350</v>
      </c>
      <c r="EB72" s="229">
        <v>7.0000000000000001E-3</v>
      </c>
      <c r="EC72" s="229">
        <v>8.0399999999999999E-2</v>
      </c>
      <c r="ED72" s="228">
        <v>23.38</v>
      </c>
      <c r="EE72" s="229">
        <v>5.7999999999999996E-3</v>
      </c>
      <c r="EF72" s="230">
        <v>421291</v>
      </c>
      <c r="EG72" s="230">
        <v>922020</v>
      </c>
      <c r="EH72" s="229">
        <v>-0.54310000000000003</v>
      </c>
      <c r="EI72" s="229">
        <v>0.40679999999999999</v>
      </c>
      <c r="EJ72" s="231">
        <v>213061.61</v>
      </c>
      <c r="EK72" s="231">
        <v>60496.5</v>
      </c>
      <c r="EL72" s="231">
        <v>41438.29</v>
      </c>
      <c r="EM72" s="231">
        <v>15328</v>
      </c>
      <c r="EN72" s="231">
        <v>314996.40000000002</v>
      </c>
      <c r="EO72" s="231">
        <v>395067.15</v>
      </c>
      <c r="EP72" s="231">
        <v>-80070.75</v>
      </c>
      <c r="EQ72" s="229">
        <v>-0.20269999999999999</v>
      </c>
      <c r="ER72" s="231">
        <v>242700</v>
      </c>
      <c r="ES72" s="231">
        <v>148446</v>
      </c>
      <c r="ET72" s="231">
        <v>418014</v>
      </c>
      <c r="EU72" s="231">
        <v>28450886</v>
      </c>
      <c r="EV72" s="231">
        <v>809160</v>
      </c>
      <c r="EW72" s="231">
        <v>818654</v>
      </c>
      <c r="EX72" s="231">
        <v>-9494</v>
      </c>
      <c r="EY72" s="229">
        <v>-1.1599999999999999E-2</v>
      </c>
      <c r="EZ72" s="229">
        <v>0.69110000000000005</v>
      </c>
      <c r="FA72" s="227" t="s">
        <v>556</v>
      </c>
      <c r="FB72" s="161">
        <f t="shared" si="1"/>
        <v>835950</v>
      </c>
    </row>
    <row r="73" spans="1:158" ht="17.25" thickBot="1" x14ac:dyDescent="0.3">
      <c r="A73" s="226">
        <v>46093</v>
      </c>
      <c r="B73" s="227" t="s">
        <v>184</v>
      </c>
      <c r="C73" s="227" t="s">
        <v>220</v>
      </c>
      <c r="D73" s="228">
        <v>500</v>
      </c>
      <c r="E73" s="231">
        <v>1355.6</v>
      </c>
      <c r="F73" s="231">
        <v>1370.8</v>
      </c>
      <c r="G73" s="228">
        <v>-15.2</v>
      </c>
      <c r="H73" s="229">
        <v>-1.11E-2</v>
      </c>
      <c r="I73" s="231">
        <v>1354</v>
      </c>
      <c r="J73" s="231">
        <v>1365.5</v>
      </c>
      <c r="K73" s="228">
        <v>-11.5</v>
      </c>
      <c r="L73" s="229">
        <v>-8.3999999999999995E-3</v>
      </c>
      <c r="M73" s="231">
        <v>1355.6</v>
      </c>
      <c r="N73" s="231">
        <v>1370.8</v>
      </c>
      <c r="O73" s="228">
        <v>-15.2</v>
      </c>
      <c r="P73" s="229">
        <v>-1.11E-2</v>
      </c>
      <c r="Q73" s="231">
        <v>1363.7</v>
      </c>
      <c r="R73" s="231">
        <v>1379</v>
      </c>
      <c r="S73" s="228">
        <v>-15.3</v>
      </c>
      <c r="T73" s="229">
        <v>-1.11E-2</v>
      </c>
      <c r="U73" s="231">
        <v>1370.7</v>
      </c>
      <c r="V73" s="231">
        <v>1381</v>
      </c>
      <c r="W73" s="228">
        <v>-10.3</v>
      </c>
      <c r="X73" s="229">
        <v>-7.4999999999999997E-3</v>
      </c>
      <c r="Y73" s="228">
        <v>1.6</v>
      </c>
      <c r="Z73" s="228">
        <v>5.3</v>
      </c>
      <c r="AA73" s="228">
        <v>-3.7</v>
      </c>
      <c r="AB73" s="229">
        <v>1.1999999999999999E-3</v>
      </c>
      <c r="AC73" s="228">
        <v>1.6</v>
      </c>
      <c r="AD73" s="228">
        <v>5.3</v>
      </c>
      <c r="AE73" s="228">
        <v>-3.7</v>
      </c>
      <c r="AF73" s="229">
        <v>1.1999999999999999E-3</v>
      </c>
      <c r="AG73" s="228">
        <v>9.6999999999999993</v>
      </c>
      <c r="AH73" s="228">
        <v>13.5</v>
      </c>
      <c r="AI73" s="228">
        <v>-3.8</v>
      </c>
      <c r="AJ73" s="229">
        <v>7.1999999999999998E-3</v>
      </c>
      <c r="AK73" s="228">
        <v>16.7</v>
      </c>
      <c r="AL73" s="228">
        <v>15.5</v>
      </c>
      <c r="AM73" s="228">
        <v>1.2</v>
      </c>
      <c r="AN73" s="229">
        <v>1.23E-2</v>
      </c>
      <c r="AO73" s="231">
        <v>1353.27</v>
      </c>
      <c r="AP73" s="231">
        <v>1361.33</v>
      </c>
      <c r="AQ73" s="228">
        <v>0</v>
      </c>
      <c r="AR73" s="230">
        <v>1328000</v>
      </c>
      <c r="AS73" s="230">
        <v>2188000</v>
      </c>
      <c r="AT73" s="230">
        <v>-860000</v>
      </c>
      <c r="AU73" s="229">
        <v>-0.3931</v>
      </c>
      <c r="AV73" s="230">
        <v>1288500</v>
      </c>
      <c r="AW73" s="230">
        <v>2105000</v>
      </c>
      <c r="AX73" s="230">
        <v>-816500</v>
      </c>
      <c r="AY73" s="229">
        <v>-0.38790000000000002</v>
      </c>
      <c r="AZ73" s="230">
        <v>37500</v>
      </c>
      <c r="BA73" s="230">
        <v>78500</v>
      </c>
      <c r="BB73" s="230">
        <v>-41000</v>
      </c>
      <c r="BC73" s="229">
        <v>-0.52229999999999999</v>
      </c>
      <c r="BD73" s="230">
        <v>2000</v>
      </c>
      <c r="BE73" s="230">
        <v>4500</v>
      </c>
      <c r="BF73" s="230">
        <v>-2500</v>
      </c>
      <c r="BG73" s="229">
        <v>-0.55559999999999998</v>
      </c>
      <c r="BH73" s="230">
        <v>2555000</v>
      </c>
      <c r="BI73" s="230">
        <v>8352000</v>
      </c>
      <c r="BJ73" s="230">
        <v>-5797000</v>
      </c>
      <c r="BK73" s="229">
        <v>-0.69410000000000005</v>
      </c>
      <c r="BL73" s="230">
        <v>1729000</v>
      </c>
      <c r="BM73" s="230">
        <v>2632500</v>
      </c>
      <c r="BN73" s="230">
        <v>-903500</v>
      </c>
      <c r="BO73" s="229">
        <v>-0.34320000000000001</v>
      </c>
      <c r="BP73" s="230">
        <v>5612000</v>
      </c>
      <c r="BQ73" s="230">
        <v>13172500</v>
      </c>
      <c r="BR73" s="230">
        <v>-7560500</v>
      </c>
      <c r="BS73" s="229">
        <v>-0.57399999999999995</v>
      </c>
      <c r="BT73" s="230">
        <v>868868</v>
      </c>
      <c r="BU73" s="230">
        <v>778168</v>
      </c>
      <c r="BV73" s="230">
        <v>90700</v>
      </c>
      <c r="BW73" s="229">
        <v>0.1166</v>
      </c>
      <c r="BX73" s="230">
        <v>9068500</v>
      </c>
      <c r="BY73" s="230">
        <v>9217000</v>
      </c>
      <c r="BZ73" s="230">
        <v>-148500</v>
      </c>
      <c r="CA73" s="229">
        <v>-1.61E-2</v>
      </c>
      <c r="CB73" s="230">
        <v>8902500</v>
      </c>
      <c r="CC73" s="230">
        <v>9055000</v>
      </c>
      <c r="CD73" s="230">
        <v>-152500</v>
      </c>
      <c r="CE73" s="229">
        <v>-1.6799999999999999E-2</v>
      </c>
      <c r="CF73" s="230">
        <v>155000</v>
      </c>
      <c r="CG73" s="230">
        <v>152500</v>
      </c>
      <c r="CH73" s="230">
        <v>2500</v>
      </c>
      <c r="CI73" s="229">
        <v>1.6400000000000001E-2</v>
      </c>
      <c r="CJ73" s="230">
        <v>11000</v>
      </c>
      <c r="CK73" s="230">
        <v>9500</v>
      </c>
      <c r="CL73" s="230">
        <v>1500</v>
      </c>
      <c r="CM73" s="229">
        <v>0.15790000000000001</v>
      </c>
      <c r="CN73" s="230">
        <v>2593000</v>
      </c>
      <c r="CO73" s="230">
        <v>2502000</v>
      </c>
      <c r="CP73" s="230">
        <v>91000</v>
      </c>
      <c r="CQ73" s="229">
        <v>3.6400000000000002E-2</v>
      </c>
      <c r="CR73" s="230">
        <v>1943000</v>
      </c>
      <c r="CS73" s="230">
        <v>2090500</v>
      </c>
      <c r="CT73" s="230">
        <v>-147500</v>
      </c>
      <c r="CU73" s="229">
        <v>-7.0599999999999996E-2</v>
      </c>
      <c r="CV73" s="230">
        <v>13604500</v>
      </c>
      <c r="CW73" s="230">
        <v>13809500</v>
      </c>
      <c r="CX73" s="230">
        <v>-205000</v>
      </c>
      <c r="CY73" s="229">
        <v>-1.4800000000000001E-2</v>
      </c>
      <c r="CZ73" s="228">
        <v>29.19</v>
      </c>
      <c r="DA73" s="228">
        <v>29.83</v>
      </c>
      <c r="DB73" s="228">
        <v>-0.64</v>
      </c>
      <c r="DC73" s="228">
        <v>-0.64</v>
      </c>
      <c r="DD73" s="228">
        <v>28.16</v>
      </c>
      <c r="DE73" s="228">
        <v>28.19</v>
      </c>
      <c r="DF73" s="228">
        <v>1.03</v>
      </c>
      <c r="DG73" s="228">
        <v>-0.03</v>
      </c>
      <c r="DH73" s="228">
        <v>28.32</v>
      </c>
      <c r="DI73" s="228">
        <v>29.38</v>
      </c>
      <c r="DJ73" s="228">
        <v>-1.06</v>
      </c>
      <c r="DK73" s="228">
        <v>-1.06</v>
      </c>
      <c r="DL73" s="228">
        <v>30.47</v>
      </c>
      <c r="DM73" s="228">
        <v>31.24</v>
      </c>
      <c r="DN73" s="228">
        <v>-0.77</v>
      </c>
      <c r="DO73" s="228">
        <v>-0.77</v>
      </c>
      <c r="DP73" s="228">
        <v>0.75</v>
      </c>
      <c r="DQ73" s="228">
        <v>0.84</v>
      </c>
      <c r="DR73" s="228">
        <v>-0.09</v>
      </c>
      <c r="DS73" s="229">
        <v>-0.1071</v>
      </c>
      <c r="DT73" s="231">
        <v>1400</v>
      </c>
      <c r="DU73" s="231">
        <v>1400</v>
      </c>
      <c r="DV73" s="228">
        <v>0.68</v>
      </c>
      <c r="DW73" s="228">
        <v>0.32</v>
      </c>
      <c r="DX73" s="228">
        <v>0.36</v>
      </c>
      <c r="DY73" s="229">
        <v>1.125</v>
      </c>
      <c r="DZ73" s="229">
        <v>1.83E-2</v>
      </c>
      <c r="EA73" s="230">
        <v>162000</v>
      </c>
      <c r="EB73" s="229">
        <v>6.0000000000000001E-3</v>
      </c>
      <c r="EC73" s="229">
        <v>1.83E-2</v>
      </c>
      <c r="ED73" s="228">
        <v>8.06</v>
      </c>
      <c r="EE73" s="229">
        <v>6.0000000000000001E-3</v>
      </c>
      <c r="EF73" s="230">
        <v>514506</v>
      </c>
      <c r="EG73" s="230">
        <v>258426</v>
      </c>
      <c r="EH73" s="229">
        <v>0.9909</v>
      </c>
      <c r="EI73" s="229">
        <v>0.59219999999999995</v>
      </c>
      <c r="EJ73" s="231">
        <v>36474.11</v>
      </c>
      <c r="EK73" s="231">
        <v>23244.48</v>
      </c>
      <c r="EL73" s="231">
        <v>17974.77</v>
      </c>
      <c r="EM73" s="231">
        <v>3391</v>
      </c>
      <c r="EN73" s="231">
        <v>77693.36</v>
      </c>
      <c r="EO73" s="231">
        <v>187402.09</v>
      </c>
      <c r="EP73" s="231">
        <v>-109708.73</v>
      </c>
      <c r="EQ73" s="229">
        <v>-0.58540000000000003</v>
      </c>
      <c r="ER73" s="231">
        <v>37327</v>
      </c>
      <c r="ES73" s="231">
        <v>26002</v>
      </c>
      <c r="ET73" s="231">
        <v>122947</v>
      </c>
      <c r="EU73" s="231">
        <v>35667502</v>
      </c>
      <c r="EV73" s="231">
        <v>186276</v>
      </c>
      <c r="EW73" s="231">
        <v>190229</v>
      </c>
      <c r="EX73" s="231">
        <v>-3953</v>
      </c>
      <c r="EY73" s="229">
        <v>-2.0799999999999999E-2</v>
      </c>
      <c r="EZ73" s="229">
        <v>0.38140000000000002</v>
      </c>
      <c r="FA73" s="227" t="s">
        <v>568</v>
      </c>
      <c r="FB73" s="161">
        <f t="shared" si="1"/>
        <v>166000</v>
      </c>
    </row>
    <row r="74" spans="1:158" ht="17.25" thickBot="1" x14ac:dyDescent="0.3">
      <c r="A74" s="226">
        <v>46093</v>
      </c>
      <c r="B74" s="227" t="s">
        <v>221</v>
      </c>
      <c r="C74" s="227" t="s">
        <v>222</v>
      </c>
      <c r="D74" s="228">
        <v>350</v>
      </c>
      <c r="E74" s="231">
        <v>1352.4</v>
      </c>
      <c r="F74" s="231">
        <v>1348.6</v>
      </c>
      <c r="G74" s="228">
        <v>3.8</v>
      </c>
      <c r="H74" s="229">
        <v>2.8E-3</v>
      </c>
      <c r="I74" s="231">
        <v>1358.1</v>
      </c>
      <c r="J74" s="231">
        <v>1350.3</v>
      </c>
      <c r="K74" s="228">
        <v>7.8</v>
      </c>
      <c r="L74" s="229">
        <v>5.7999999999999996E-3</v>
      </c>
      <c r="M74" s="231">
        <v>1352.4</v>
      </c>
      <c r="N74" s="231">
        <v>1348.6</v>
      </c>
      <c r="O74" s="228">
        <v>3.8</v>
      </c>
      <c r="P74" s="229">
        <v>2.8E-3</v>
      </c>
      <c r="Q74" s="231">
        <v>1349</v>
      </c>
      <c r="R74" s="231">
        <v>1346.6</v>
      </c>
      <c r="S74" s="228">
        <v>2.4</v>
      </c>
      <c r="T74" s="229">
        <v>1.8E-3</v>
      </c>
      <c r="U74" s="231">
        <v>1350.2</v>
      </c>
      <c r="V74" s="231">
        <v>1350</v>
      </c>
      <c r="W74" s="228">
        <v>0.2</v>
      </c>
      <c r="X74" s="229">
        <v>1E-4</v>
      </c>
      <c r="Y74" s="228">
        <v>-5.7</v>
      </c>
      <c r="Z74" s="228">
        <v>-1.7</v>
      </c>
      <c r="AA74" s="228">
        <v>-4</v>
      </c>
      <c r="AB74" s="229">
        <v>-4.1999999999999997E-3</v>
      </c>
      <c r="AC74" s="228">
        <v>-5.7</v>
      </c>
      <c r="AD74" s="228">
        <v>-1.7</v>
      </c>
      <c r="AE74" s="228">
        <v>-4</v>
      </c>
      <c r="AF74" s="229">
        <v>-4.1999999999999997E-3</v>
      </c>
      <c r="AG74" s="228">
        <v>-9.1</v>
      </c>
      <c r="AH74" s="228">
        <v>-3.7</v>
      </c>
      <c r="AI74" s="228">
        <v>-5.4</v>
      </c>
      <c r="AJ74" s="229">
        <v>-6.7000000000000002E-3</v>
      </c>
      <c r="AK74" s="228">
        <v>-7.9</v>
      </c>
      <c r="AL74" s="228">
        <v>-0.3</v>
      </c>
      <c r="AM74" s="228">
        <v>-7.6</v>
      </c>
      <c r="AN74" s="229">
        <v>-5.7999999999999996E-3</v>
      </c>
      <c r="AO74" s="231">
        <v>1350.65</v>
      </c>
      <c r="AP74" s="231">
        <v>1348.87</v>
      </c>
      <c r="AQ74" s="228">
        <v>0</v>
      </c>
      <c r="AR74" s="230">
        <v>2832550</v>
      </c>
      <c r="AS74" s="230">
        <v>2054500</v>
      </c>
      <c r="AT74" s="230">
        <v>778050</v>
      </c>
      <c r="AU74" s="229">
        <v>0.37869999999999998</v>
      </c>
      <c r="AV74" s="230">
        <v>2681350</v>
      </c>
      <c r="AW74" s="230">
        <v>1924650</v>
      </c>
      <c r="AX74" s="230">
        <v>756700</v>
      </c>
      <c r="AY74" s="229">
        <v>0.39319999999999999</v>
      </c>
      <c r="AZ74" s="230">
        <v>139650</v>
      </c>
      <c r="BA74" s="230">
        <v>122150</v>
      </c>
      <c r="BB74" s="230">
        <v>17500</v>
      </c>
      <c r="BC74" s="229">
        <v>0.14330000000000001</v>
      </c>
      <c r="BD74" s="230">
        <v>11550</v>
      </c>
      <c r="BE74" s="230">
        <v>7700</v>
      </c>
      <c r="BF74" s="230">
        <v>3850</v>
      </c>
      <c r="BG74" s="229">
        <v>0.5</v>
      </c>
      <c r="BH74" s="230">
        <v>7359800</v>
      </c>
      <c r="BI74" s="230">
        <v>3781050</v>
      </c>
      <c r="BJ74" s="230">
        <v>3578750</v>
      </c>
      <c r="BK74" s="229">
        <v>0.94650000000000001</v>
      </c>
      <c r="BL74" s="230">
        <v>3528350</v>
      </c>
      <c r="BM74" s="230">
        <v>3290700</v>
      </c>
      <c r="BN74" s="230">
        <v>237650</v>
      </c>
      <c r="BO74" s="229">
        <v>7.22E-2</v>
      </c>
      <c r="BP74" s="230">
        <v>13720700</v>
      </c>
      <c r="BQ74" s="230">
        <v>9126250</v>
      </c>
      <c r="BR74" s="230">
        <v>4594450</v>
      </c>
      <c r="BS74" s="229">
        <v>0.50339999999999996</v>
      </c>
      <c r="BT74" s="230">
        <v>2698994</v>
      </c>
      <c r="BU74" s="230">
        <v>1899067</v>
      </c>
      <c r="BV74" s="230">
        <v>799927</v>
      </c>
      <c r="BW74" s="229">
        <v>0.42120000000000002</v>
      </c>
      <c r="BX74" s="230">
        <v>28075250</v>
      </c>
      <c r="BY74" s="230">
        <v>27202350</v>
      </c>
      <c r="BZ74" s="230">
        <v>872900</v>
      </c>
      <c r="CA74" s="229">
        <v>3.2099999999999997E-2</v>
      </c>
      <c r="CB74" s="230">
        <v>27395900</v>
      </c>
      <c r="CC74" s="230">
        <v>26587050</v>
      </c>
      <c r="CD74" s="230">
        <v>808850</v>
      </c>
      <c r="CE74" s="229">
        <v>3.04E-2</v>
      </c>
      <c r="CF74" s="230">
        <v>611450</v>
      </c>
      <c r="CG74" s="230">
        <v>552650</v>
      </c>
      <c r="CH74" s="230">
        <v>58800</v>
      </c>
      <c r="CI74" s="229">
        <v>0.10639999999999999</v>
      </c>
      <c r="CJ74" s="230">
        <v>67900</v>
      </c>
      <c r="CK74" s="230">
        <v>62650</v>
      </c>
      <c r="CL74" s="230">
        <v>5250</v>
      </c>
      <c r="CM74" s="229">
        <v>8.3799999999999999E-2</v>
      </c>
      <c r="CN74" s="230">
        <v>6809250</v>
      </c>
      <c r="CO74" s="230">
        <v>6152300</v>
      </c>
      <c r="CP74" s="230">
        <v>656950</v>
      </c>
      <c r="CQ74" s="229">
        <v>0.10680000000000001</v>
      </c>
      <c r="CR74" s="230">
        <v>3376800</v>
      </c>
      <c r="CS74" s="230">
        <v>3396400</v>
      </c>
      <c r="CT74" s="230">
        <v>-19600</v>
      </c>
      <c r="CU74" s="229">
        <v>-5.7999999999999996E-3</v>
      </c>
      <c r="CV74" s="230">
        <v>38261300</v>
      </c>
      <c r="CW74" s="230">
        <v>36751050</v>
      </c>
      <c r="CX74" s="230">
        <v>1510250</v>
      </c>
      <c r="CY74" s="229">
        <v>4.1099999999999998E-2</v>
      </c>
      <c r="CZ74" s="228">
        <v>31.16</v>
      </c>
      <c r="DA74" s="228">
        <v>32.43</v>
      </c>
      <c r="DB74" s="228">
        <v>-1.27</v>
      </c>
      <c r="DC74" s="228">
        <v>-1.27</v>
      </c>
      <c r="DD74" s="228">
        <v>28.92</v>
      </c>
      <c r="DE74" s="228">
        <v>28.98</v>
      </c>
      <c r="DF74" s="228">
        <v>2.2400000000000002</v>
      </c>
      <c r="DG74" s="228">
        <v>-0.06</v>
      </c>
      <c r="DH74" s="228">
        <v>30.18</v>
      </c>
      <c r="DI74" s="228">
        <v>31.42</v>
      </c>
      <c r="DJ74" s="228">
        <v>-1.24</v>
      </c>
      <c r="DK74" s="228">
        <v>-1.24</v>
      </c>
      <c r="DL74" s="228">
        <v>33.200000000000003</v>
      </c>
      <c r="DM74" s="228">
        <v>33.590000000000003</v>
      </c>
      <c r="DN74" s="228">
        <v>-0.39</v>
      </c>
      <c r="DO74" s="228">
        <v>-0.39</v>
      </c>
      <c r="DP74" s="228">
        <v>0.5</v>
      </c>
      <c r="DQ74" s="228">
        <v>0.55000000000000004</v>
      </c>
      <c r="DR74" s="228">
        <v>-0.05</v>
      </c>
      <c r="DS74" s="229">
        <v>-9.0899999999999995E-2</v>
      </c>
      <c r="DT74" s="231">
        <v>1500</v>
      </c>
      <c r="DU74" s="231">
        <v>1360</v>
      </c>
      <c r="DV74" s="228">
        <v>0.48</v>
      </c>
      <c r="DW74" s="228">
        <v>0.87</v>
      </c>
      <c r="DX74" s="228">
        <v>-0.39</v>
      </c>
      <c r="DY74" s="229">
        <v>-0.44829999999999998</v>
      </c>
      <c r="DZ74" s="229">
        <v>2.4199999999999999E-2</v>
      </c>
      <c r="EA74" s="230">
        <v>615300</v>
      </c>
      <c r="EB74" s="229">
        <v>-2.5000000000000001E-3</v>
      </c>
      <c r="EC74" s="229">
        <v>2.4199999999999999E-2</v>
      </c>
      <c r="ED74" s="228">
        <v>-1.78</v>
      </c>
      <c r="EE74" s="229">
        <v>-1.2999999999999999E-3</v>
      </c>
      <c r="EF74" s="230">
        <v>1654020</v>
      </c>
      <c r="EG74" s="230">
        <v>1215633</v>
      </c>
      <c r="EH74" s="229">
        <v>0.36059999999999998</v>
      </c>
      <c r="EI74" s="229">
        <v>0.61280000000000001</v>
      </c>
      <c r="EJ74" s="231">
        <v>104826.94</v>
      </c>
      <c r="EK74" s="231">
        <v>47181.51</v>
      </c>
      <c r="EL74" s="231">
        <v>38254.879999999997</v>
      </c>
      <c r="EM74" s="231">
        <v>6638</v>
      </c>
      <c r="EN74" s="231">
        <v>190263.33</v>
      </c>
      <c r="EO74" s="231">
        <v>126762.03</v>
      </c>
      <c r="EP74" s="231">
        <v>63501.3</v>
      </c>
      <c r="EQ74" s="229">
        <v>0.50090000000000001</v>
      </c>
      <c r="ER74" s="231">
        <v>100228</v>
      </c>
      <c r="ES74" s="231">
        <v>45541</v>
      </c>
      <c r="ET74" s="231">
        <v>379667</v>
      </c>
      <c r="EU74" s="231">
        <v>106857976</v>
      </c>
      <c r="EV74" s="231">
        <v>525437</v>
      </c>
      <c r="EW74" s="231">
        <v>503798</v>
      </c>
      <c r="EX74" s="231">
        <v>21639</v>
      </c>
      <c r="EY74" s="229">
        <v>4.2999999999999997E-2</v>
      </c>
      <c r="EZ74" s="229">
        <v>0.35809999999999997</v>
      </c>
      <c r="FA74" s="227" t="s">
        <v>555</v>
      </c>
      <c r="FB74" s="161">
        <f t="shared" si="1"/>
        <v>679350</v>
      </c>
    </row>
    <row r="75" spans="1:158" ht="17.25" thickBot="1" x14ac:dyDescent="0.3">
      <c r="A75" s="226">
        <v>46093</v>
      </c>
      <c r="B75" s="227" t="s">
        <v>175</v>
      </c>
      <c r="C75" s="227" t="s">
        <v>475</v>
      </c>
      <c r="D75" s="228">
        <v>300</v>
      </c>
      <c r="E75" s="231">
        <v>2434.8000000000002</v>
      </c>
      <c r="F75" s="231">
        <v>2457.1</v>
      </c>
      <c r="G75" s="228">
        <v>-22.3</v>
      </c>
      <c r="H75" s="229">
        <v>-9.1000000000000004E-3</v>
      </c>
      <c r="I75" s="231">
        <v>2429</v>
      </c>
      <c r="J75" s="231">
        <v>2448.1999999999998</v>
      </c>
      <c r="K75" s="228">
        <v>-19.2</v>
      </c>
      <c r="L75" s="229">
        <v>-7.7999999999999996E-3</v>
      </c>
      <c r="M75" s="231">
        <v>2434.8000000000002</v>
      </c>
      <c r="N75" s="231">
        <v>2457.1</v>
      </c>
      <c r="O75" s="228">
        <v>-22.3</v>
      </c>
      <c r="P75" s="229">
        <v>-9.1000000000000004E-3</v>
      </c>
      <c r="Q75" s="231">
        <v>2448.4</v>
      </c>
      <c r="R75" s="231">
        <v>2471.3000000000002</v>
      </c>
      <c r="S75" s="228">
        <v>-22.9</v>
      </c>
      <c r="T75" s="229">
        <v>-9.2999999999999992E-3</v>
      </c>
      <c r="U75" s="231">
        <v>2462.1</v>
      </c>
      <c r="V75" s="231">
        <v>2502</v>
      </c>
      <c r="W75" s="228">
        <v>-39.9</v>
      </c>
      <c r="X75" s="229">
        <v>-1.5900000000000001E-2</v>
      </c>
      <c r="Y75" s="228">
        <v>5.8</v>
      </c>
      <c r="Z75" s="228">
        <v>8.9</v>
      </c>
      <c r="AA75" s="228">
        <v>-3.1</v>
      </c>
      <c r="AB75" s="229">
        <v>2.3999999999999998E-3</v>
      </c>
      <c r="AC75" s="228">
        <v>5.8</v>
      </c>
      <c r="AD75" s="228">
        <v>8.9</v>
      </c>
      <c r="AE75" s="228">
        <v>-3.1</v>
      </c>
      <c r="AF75" s="229">
        <v>2.3999999999999998E-3</v>
      </c>
      <c r="AG75" s="228">
        <v>19.399999999999999</v>
      </c>
      <c r="AH75" s="228">
        <v>23.1</v>
      </c>
      <c r="AI75" s="228">
        <v>-3.7</v>
      </c>
      <c r="AJ75" s="229">
        <v>8.0000000000000002E-3</v>
      </c>
      <c r="AK75" s="228">
        <v>33.1</v>
      </c>
      <c r="AL75" s="228">
        <v>53.8</v>
      </c>
      <c r="AM75" s="228">
        <v>-20.7</v>
      </c>
      <c r="AN75" s="229">
        <v>1.3599999999999999E-2</v>
      </c>
      <c r="AO75" s="231">
        <v>2449.94</v>
      </c>
      <c r="AP75" s="231">
        <v>2462.41</v>
      </c>
      <c r="AQ75" s="228">
        <v>0</v>
      </c>
      <c r="AR75" s="230">
        <v>879300</v>
      </c>
      <c r="AS75" s="230">
        <v>1075200</v>
      </c>
      <c r="AT75" s="230">
        <v>-195900</v>
      </c>
      <c r="AU75" s="229">
        <v>-0.1822</v>
      </c>
      <c r="AV75" s="230">
        <v>829500</v>
      </c>
      <c r="AW75" s="230">
        <v>995400</v>
      </c>
      <c r="AX75" s="230">
        <v>-165900</v>
      </c>
      <c r="AY75" s="229">
        <v>-0.16669999999999999</v>
      </c>
      <c r="AZ75" s="230">
        <v>46500</v>
      </c>
      <c r="BA75" s="230">
        <v>77100</v>
      </c>
      <c r="BB75" s="230">
        <v>-30600</v>
      </c>
      <c r="BC75" s="229">
        <v>-0.39689999999999998</v>
      </c>
      <c r="BD75" s="230">
        <v>3300</v>
      </c>
      <c r="BE75" s="230">
        <v>2700</v>
      </c>
      <c r="BF75" s="228">
        <v>600</v>
      </c>
      <c r="BG75" s="229">
        <v>0.22220000000000001</v>
      </c>
      <c r="BH75" s="230">
        <v>1199100</v>
      </c>
      <c r="BI75" s="230">
        <v>1461300</v>
      </c>
      <c r="BJ75" s="230">
        <v>-262200</v>
      </c>
      <c r="BK75" s="229">
        <v>-0.1794</v>
      </c>
      <c r="BL75" s="230">
        <v>642900</v>
      </c>
      <c r="BM75" s="230">
        <v>699000</v>
      </c>
      <c r="BN75" s="230">
        <v>-56100</v>
      </c>
      <c r="BO75" s="229">
        <v>-8.0299999999999996E-2</v>
      </c>
      <c r="BP75" s="230">
        <v>2721300</v>
      </c>
      <c r="BQ75" s="230">
        <v>3235500</v>
      </c>
      <c r="BR75" s="230">
        <v>-514200</v>
      </c>
      <c r="BS75" s="229">
        <v>-0.15890000000000001</v>
      </c>
      <c r="BT75" s="230">
        <v>1023659</v>
      </c>
      <c r="BU75" s="230">
        <v>1480256</v>
      </c>
      <c r="BV75" s="230">
        <v>-456597</v>
      </c>
      <c r="BW75" s="229">
        <v>-0.3085</v>
      </c>
      <c r="BX75" s="230">
        <v>5658000</v>
      </c>
      <c r="BY75" s="230">
        <v>5657700</v>
      </c>
      <c r="BZ75" s="228">
        <v>300</v>
      </c>
      <c r="CA75" s="229">
        <v>1E-4</v>
      </c>
      <c r="CB75" s="230">
        <v>5539500</v>
      </c>
      <c r="CC75" s="230">
        <v>5548200</v>
      </c>
      <c r="CD75" s="230">
        <v>-8700</v>
      </c>
      <c r="CE75" s="229">
        <v>-1.6000000000000001E-3</v>
      </c>
      <c r="CF75" s="230">
        <v>109200</v>
      </c>
      <c r="CG75" s="230">
        <v>101400</v>
      </c>
      <c r="CH75" s="230">
        <v>7800</v>
      </c>
      <c r="CI75" s="229">
        <v>7.6899999999999996E-2</v>
      </c>
      <c r="CJ75" s="230">
        <v>9300</v>
      </c>
      <c r="CK75" s="230">
        <v>8100</v>
      </c>
      <c r="CL75" s="230">
        <v>1200</v>
      </c>
      <c r="CM75" s="229">
        <v>0.14810000000000001</v>
      </c>
      <c r="CN75" s="230">
        <v>1617300</v>
      </c>
      <c r="CO75" s="230">
        <v>1493700</v>
      </c>
      <c r="CP75" s="230">
        <v>123600</v>
      </c>
      <c r="CQ75" s="229">
        <v>8.2699999999999996E-2</v>
      </c>
      <c r="CR75" s="230">
        <v>1037400</v>
      </c>
      <c r="CS75" s="230">
        <v>1021800</v>
      </c>
      <c r="CT75" s="230">
        <v>15600</v>
      </c>
      <c r="CU75" s="229">
        <v>1.5299999999999999E-2</v>
      </c>
      <c r="CV75" s="230">
        <v>8312700</v>
      </c>
      <c r="CW75" s="230">
        <v>8173200</v>
      </c>
      <c r="CX75" s="230">
        <v>139500</v>
      </c>
      <c r="CY75" s="229">
        <v>1.7100000000000001E-2</v>
      </c>
      <c r="CZ75" s="228">
        <v>36.01</v>
      </c>
      <c r="DA75" s="228">
        <v>35.32</v>
      </c>
      <c r="DB75" s="228">
        <v>0.69</v>
      </c>
      <c r="DC75" s="228">
        <v>0.69</v>
      </c>
      <c r="DD75" s="228">
        <v>34.68</v>
      </c>
      <c r="DE75" s="228">
        <v>34.75</v>
      </c>
      <c r="DF75" s="228">
        <v>1.33</v>
      </c>
      <c r="DG75" s="228">
        <v>-7.0000000000000007E-2</v>
      </c>
      <c r="DH75" s="228">
        <v>35.229999999999997</v>
      </c>
      <c r="DI75" s="228">
        <v>34.67</v>
      </c>
      <c r="DJ75" s="228">
        <v>0.56000000000000005</v>
      </c>
      <c r="DK75" s="228">
        <v>0.56000000000000005</v>
      </c>
      <c r="DL75" s="228">
        <v>37.450000000000003</v>
      </c>
      <c r="DM75" s="228">
        <v>36.68</v>
      </c>
      <c r="DN75" s="228">
        <v>0.77</v>
      </c>
      <c r="DO75" s="228">
        <v>0.77</v>
      </c>
      <c r="DP75" s="228">
        <v>0.64</v>
      </c>
      <c r="DQ75" s="228">
        <v>0.68</v>
      </c>
      <c r="DR75" s="228">
        <v>-0.04</v>
      </c>
      <c r="DS75" s="229">
        <v>-5.8799999999999998E-2</v>
      </c>
      <c r="DT75" s="231">
        <v>2700</v>
      </c>
      <c r="DU75" s="231">
        <v>2360</v>
      </c>
      <c r="DV75" s="228">
        <v>0.54</v>
      </c>
      <c r="DW75" s="228">
        <v>0.48</v>
      </c>
      <c r="DX75" s="228">
        <v>0.06</v>
      </c>
      <c r="DY75" s="229">
        <v>0.125</v>
      </c>
      <c r="DZ75" s="229">
        <v>2.0899999999999998E-2</v>
      </c>
      <c r="EA75" s="230">
        <v>109500</v>
      </c>
      <c r="EB75" s="229">
        <v>5.5999999999999999E-3</v>
      </c>
      <c r="EC75" s="229">
        <v>2.0899999999999998E-2</v>
      </c>
      <c r="ED75" s="228">
        <v>12.47</v>
      </c>
      <c r="EE75" s="229">
        <v>5.1000000000000004E-3</v>
      </c>
      <c r="EF75" s="230">
        <v>641428</v>
      </c>
      <c r="EG75" s="230">
        <v>942187</v>
      </c>
      <c r="EH75" s="229">
        <v>-0.31919999999999998</v>
      </c>
      <c r="EI75" s="229">
        <v>0.62660000000000005</v>
      </c>
      <c r="EJ75" s="231">
        <v>31514.11</v>
      </c>
      <c r="EK75" s="231">
        <v>15645.6</v>
      </c>
      <c r="EL75" s="231">
        <v>21548.66</v>
      </c>
      <c r="EM75" s="231">
        <v>4320</v>
      </c>
      <c r="EN75" s="231">
        <v>68708.37</v>
      </c>
      <c r="EO75" s="231">
        <v>82735.990000000005</v>
      </c>
      <c r="EP75" s="231">
        <v>-14027.62</v>
      </c>
      <c r="EQ75" s="229">
        <v>-0.16950000000000001</v>
      </c>
      <c r="ER75" s="231">
        <v>43776</v>
      </c>
      <c r="ES75" s="231">
        <v>26072</v>
      </c>
      <c r="ET75" s="231">
        <v>137778</v>
      </c>
      <c r="EU75" s="231">
        <v>30592324</v>
      </c>
      <c r="EV75" s="231">
        <v>207626</v>
      </c>
      <c r="EW75" s="231">
        <v>205280</v>
      </c>
      <c r="EX75" s="231">
        <v>2346</v>
      </c>
      <c r="EY75" s="229">
        <v>1.14E-2</v>
      </c>
      <c r="EZ75" s="229">
        <v>0.2717</v>
      </c>
      <c r="FA75" s="227" t="s">
        <v>567</v>
      </c>
      <c r="FB75" s="161">
        <f t="shared" si="1"/>
        <v>118500</v>
      </c>
    </row>
    <row r="76" spans="1:158" ht="17.25" thickBot="1" x14ac:dyDescent="0.3">
      <c r="A76" s="226">
        <v>46093</v>
      </c>
      <c r="B76" s="227" t="s">
        <v>172</v>
      </c>
      <c r="C76" s="227" t="s">
        <v>224</v>
      </c>
      <c r="D76" s="228">
        <v>550</v>
      </c>
      <c r="E76" s="228">
        <v>835.3</v>
      </c>
      <c r="F76" s="228">
        <v>837.95</v>
      </c>
      <c r="G76" s="228">
        <v>-2.65</v>
      </c>
      <c r="H76" s="229">
        <v>-3.2000000000000002E-3</v>
      </c>
      <c r="I76" s="228">
        <v>832.75</v>
      </c>
      <c r="J76" s="228">
        <v>833.95</v>
      </c>
      <c r="K76" s="228">
        <v>-1.2</v>
      </c>
      <c r="L76" s="229">
        <v>-1.4E-3</v>
      </c>
      <c r="M76" s="228">
        <v>835.3</v>
      </c>
      <c r="N76" s="228">
        <v>837.95</v>
      </c>
      <c r="O76" s="228">
        <v>-2.65</v>
      </c>
      <c r="P76" s="229">
        <v>-3.2000000000000002E-3</v>
      </c>
      <c r="Q76" s="228">
        <v>840.6</v>
      </c>
      <c r="R76" s="228">
        <v>843.3</v>
      </c>
      <c r="S76" s="228">
        <v>-2.7</v>
      </c>
      <c r="T76" s="229">
        <v>-3.2000000000000002E-3</v>
      </c>
      <c r="U76" s="228">
        <v>840.9</v>
      </c>
      <c r="V76" s="228">
        <v>843.9</v>
      </c>
      <c r="W76" s="228">
        <v>-3</v>
      </c>
      <c r="X76" s="229">
        <v>-3.5999999999999999E-3</v>
      </c>
      <c r="Y76" s="228">
        <v>2.5499999999999998</v>
      </c>
      <c r="Z76" s="228">
        <v>4</v>
      </c>
      <c r="AA76" s="228">
        <v>-1.45</v>
      </c>
      <c r="AB76" s="229">
        <v>3.0999999999999999E-3</v>
      </c>
      <c r="AC76" s="228">
        <v>2.5499999999999998</v>
      </c>
      <c r="AD76" s="228">
        <v>4</v>
      </c>
      <c r="AE76" s="228">
        <v>-1.45</v>
      </c>
      <c r="AF76" s="229">
        <v>3.0999999999999999E-3</v>
      </c>
      <c r="AG76" s="228">
        <v>7.85</v>
      </c>
      <c r="AH76" s="228">
        <v>9.35</v>
      </c>
      <c r="AI76" s="228">
        <v>-1.5</v>
      </c>
      <c r="AJ76" s="229">
        <v>9.4000000000000004E-3</v>
      </c>
      <c r="AK76" s="228">
        <v>8.15</v>
      </c>
      <c r="AL76" s="228">
        <v>9.9499999999999993</v>
      </c>
      <c r="AM76" s="228">
        <v>-1.8</v>
      </c>
      <c r="AN76" s="229">
        <v>9.7999999999999997E-3</v>
      </c>
      <c r="AO76" s="228">
        <v>835.59</v>
      </c>
      <c r="AP76" s="228">
        <v>841.48</v>
      </c>
      <c r="AQ76" s="228">
        <v>0</v>
      </c>
      <c r="AR76" s="230">
        <v>28918450</v>
      </c>
      <c r="AS76" s="230">
        <v>29739050</v>
      </c>
      <c r="AT76" s="230">
        <v>-820600</v>
      </c>
      <c r="AU76" s="229">
        <v>-2.76E-2</v>
      </c>
      <c r="AV76" s="230">
        <v>25702050</v>
      </c>
      <c r="AW76" s="230">
        <v>24401850</v>
      </c>
      <c r="AX76" s="230">
        <v>1300200</v>
      </c>
      <c r="AY76" s="229">
        <v>5.33E-2</v>
      </c>
      <c r="AZ76" s="230">
        <v>2945800</v>
      </c>
      <c r="BA76" s="230">
        <v>4756950</v>
      </c>
      <c r="BB76" s="230">
        <v>-1811150</v>
      </c>
      <c r="BC76" s="229">
        <v>-0.38069999999999998</v>
      </c>
      <c r="BD76" s="230">
        <v>270600</v>
      </c>
      <c r="BE76" s="230">
        <v>580250</v>
      </c>
      <c r="BF76" s="230">
        <v>-309650</v>
      </c>
      <c r="BG76" s="229">
        <v>-0.53359999999999996</v>
      </c>
      <c r="BH76" s="230">
        <v>60388900</v>
      </c>
      <c r="BI76" s="230">
        <v>93139750</v>
      </c>
      <c r="BJ76" s="230">
        <v>-32750850</v>
      </c>
      <c r="BK76" s="229">
        <v>-0.35160000000000002</v>
      </c>
      <c r="BL76" s="230">
        <v>34502600</v>
      </c>
      <c r="BM76" s="230">
        <v>46240150</v>
      </c>
      <c r="BN76" s="230">
        <v>-11737550</v>
      </c>
      <c r="BO76" s="229">
        <v>-0.25380000000000003</v>
      </c>
      <c r="BP76" s="230">
        <v>123809950</v>
      </c>
      <c r="BQ76" s="230">
        <v>169118950</v>
      </c>
      <c r="BR76" s="230">
        <v>-45309000</v>
      </c>
      <c r="BS76" s="229">
        <v>-0.26790000000000003</v>
      </c>
      <c r="BT76" s="230">
        <v>48611393</v>
      </c>
      <c r="BU76" s="230">
        <v>43388954</v>
      </c>
      <c r="BV76" s="230">
        <v>5222439</v>
      </c>
      <c r="BW76" s="229">
        <v>0.12039999999999999</v>
      </c>
      <c r="BX76" s="230">
        <v>325217200</v>
      </c>
      <c r="BY76" s="230">
        <v>331980550</v>
      </c>
      <c r="BZ76" s="230">
        <v>-6763350</v>
      </c>
      <c r="CA76" s="229">
        <v>-2.0400000000000001E-2</v>
      </c>
      <c r="CB76" s="230">
        <v>283992500</v>
      </c>
      <c r="CC76" s="230">
        <v>292554900</v>
      </c>
      <c r="CD76" s="230">
        <v>-8562400</v>
      </c>
      <c r="CE76" s="229">
        <v>-2.93E-2</v>
      </c>
      <c r="CF76" s="230">
        <v>39629700</v>
      </c>
      <c r="CG76" s="230">
        <v>37898850</v>
      </c>
      <c r="CH76" s="230">
        <v>1730850</v>
      </c>
      <c r="CI76" s="229">
        <v>4.5699999999999998E-2</v>
      </c>
      <c r="CJ76" s="230">
        <v>1595000</v>
      </c>
      <c r="CK76" s="230">
        <v>1526800</v>
      </c>
      <c r="CL76" s="230">
        <v>68200</v>
      </c>
      <c r="CM76" s="229">
        <v>4.4699999999999997E-2</v>
      </c>
      <c r="CN76" s="230">
        <v>87743150</v>
      </c>
      <c r="CO76" s="230">
        <v>86414350</v>
      </c>
      <c r="CP76" s="230">
        <v>1328800</v>
      </c>
      <c r="CQ76" s="229">
        <v>1.54E-2</v>
      </c>
      <c r="CR76" s="230">
        <v>45431650</v>
      </c>
      <c r="CS76" s="230">
        <v>44047850</v>
      </c>
      <c r="CT76" s="230">
        <v>1383800</v>
      </c>
      <c r="CU76" s="229">
        <v>3.1399999999999997E-2</v>
      </c>
      <c r="CV76" s="230">
        <v>458392000</v>
      </c>
      <c r="CW76" s="230">
        <v>462442750</v>
      </c>
      <c r="CX76" s="230">
        <v>-4050750</v>
      </c>
      <c r="CY76" s="229">
        <v>-8.8000000000000005E-3</v>
      </c>
      <c r="CZ76" s="228">
        <v>25.32</v>
      </c>
      <c r="DA76" s="228">
        <v>25.07</v>
      </c>
      <c r="DB76" s="228">
        <v>0.25</v>
      </c>
      <c r="DC76" s="228">
        <v>0.25</v>
      </c>
      <c r="DD76" s="228">
        <v>20.03</v>
      </c>
      <c r="DE76" s="228">
        <v>20.079999999999998</v>
      </c>
      <c r="DF76" s="228">
        <v>5.29</v>
      </c>
      <c r="DG76" s="228">
        <v>-0.05</v>
      </c>
      <c r="DH76" s="228">
        <v>24.94</v>
      </c>
      <c r="DI76" s="228">
        <v>24.69</v>
      </c>
      <c r="DJ76" s="228">
        <v>0.25</v>
      </c>
      <c r="DK76" s="228">
        <v>0.25</v>
      </c>
      <c r="DL76" s="228">
        <v>25.99</v>
      </c>
      <c r="DM76" s="228">
        <v>25.83</v>
      </c>
      <c r="DN76" s="228">
        <v>0.16</v>
      </c>
      <c r="DO76" s="228">
        <v>0.16</v>
      </c>
      <c r="DP76" s="228">
        <v>0.52</v>
      </c>
      <c r="DQ76" s="228">
        <v>0.51</v>
      </c>
      <c r="DR76" s="228">
        <v>0.01</v>
      </c>
      <c r="DS76" s="229">
        <v>1.9599999999999999E-2</v>
      </c>
      <c r="DT76" s="228">
        <v>900</v>
      </c>
      <c r="DU76" s="228">
        <v>800</v>
      </c>
      <c r="DV76" s="228">
        <v>0.56999999999999995</v>
      </c>
      <c r="DW76" s="228">
        <v>0.5</v>
      </c>
      <c r="DX76" s="228">
        <v>7.0000000000000007E-2</v>
      </c>
      <c r="DY76" s="229">
        <v>0.14000000000000001</v>
      </c>
      <c r="DZ76" s="229">
        <v>0.1268</v>
      </c>
      <c r="EA76" s="230">
        <v>39425650</v>
      </c>
      <c r="EB76" s="229">
        <v>6.3E-3</v>
      </c>
      <c r="EC76" s="229">
        <v>0.1268</v>
      </c>
      <c r="ED76" s="228">
        <v>5.89</v>
      </c>
      <c r="EE76" s="229">
        <v>7.0000000000000001E-3</v>
      </c>
      <c r="EF76" s="230">
        <v>28868523</v>
      </c>
      <c r="EG76" s="230">
        <v>27382379</v>
      </c>
      <c r="EH76" s="229">
        <v>5.4300000000000001E-2</v>
      </c>
      <c r="EI76" s="229">
        <v>0.59389999999999998</v>
      </c>
      <c r="EJ76" s="231">
        <v>528697.82999999996</v>
      </c>
      <c r="EK76" s="231">
        <v>288244.99</v>
      </c>
      <c r="EL76" s="231">
        <v>241829.14</v>
      </c>
      <c r="EM76" s="231">
        <v>67308</v>
      </c>
      <c r="EN76" s="231">
        <v>1058771.96</v>
      </c>
      <c r="EO76" s="231">
        <v>1460643.93</v>
      </c>
      <c r="EP76" s="231">
        <v>-401871.97</v>
      </c>
      <c r="EQ76" s="229">
        <v>-0.27510000000000001</v>
      </c>
      <c r="ER76" s="231">
        <v>792642</v>
      </c>
      <c r="ES76" s="231">
        <v>394777</v>
      </c>
      <c r="ET76" s="231">
        <v>2718729</v>
      </c>
      <c r="EU76" s="231">
        <v>1330694977</v>
      </c>
      <c r="EV76" s="231">
        <v>3906148</v>
      </c>
      <c r="EW76" s="231">
        <v>3949872</v>
      </c>
      <c r="EX76" s="231">
        <v>-43724</v>
      </c>
      <c r="EY76" s="229">
        <v>-1.11E-2</v>
      </c>
      <c r="EZ76" s="229">
        <v>0.34449999999999997</v>
      </c>
      <c r="FA76" s="227" t="s">
        <v>568</v>
      </c>
      <c r="FB76" s="161">
        <f t="shared" si="1"/>
        <v>41224700</v>
      </c>
    </row>
    <row r="77" spans="1:158" ht="17.25" thickBot="1" x14ac:dyDescent="0.3">
      <c r="A77" s="226">
        <v>46093</v>
      </c>
      <c r="B77" s="227" t="s">
        <v>175</v>
      </c>
      <c r="C77" s="227" t="s">
        <v>225</v>
      </c>
      <c r="D77" s="228">
        <v>1100</v>
      </c>
      <c r="E77" s="228">
        <v>646.6</v>
      </c>
      <c r="F77" s="228">
        <v>649</v>
      </c>
      <c r="G77" s="228">
        <v>-2.4</v>
      </c>
      <c r="H77" s="229">
        <v>-3.7000000000000002E-3</v>
      </c>
      <c r="I77" s="228">
        <v>645.70000000000005</v>
      </c>
      <c r="J77" s="228">
        <v>647.9</v>
      </c>
      <c r="K77" s="228">
        <v>-2.2000000000000002</v>
      </c>
      <c r="L77" s="229">
        <v>-3.3999999999999998E-3</v>
      </c>
      <c r="M77" s="228">
        <v>646.6</v>
      </c>
      <c r="N77" s="228">
        <v>649</v>
      </c>
      <c r="O77" s="228">
        <v>-2.4</v>
      </c>
      <c r="P77" s="229">
        <v>-3.7000000000000002E-3</v>
      </c>
      <c r="Q77" s="228">
        <v>650.65</v>
      </c>
      <c r="R77" s="228">
        <v>653.4</v>
      </c>
      <c r="S77" s="228">
        <v>-2.75</v>
      </c>
      <c r="T77" s="229">
        <v>-4.1999999999999997E-3</v>
      </c>
      <c r="U77" s="228">
        <v>653.65</v>
      </c>
      <c r="V77" s="228">
        <v>656.5</v>
      </c>
      <c r="W77" s="228">
        <v>-2.85</v>
      </c>
      <c r="X77" s="229">
        <v>-4.3E-3</v>
      </c>
      <c r="Y77" s="228">
        <v>0.9</v>
      </c>
      <c r="Z77" s="228">
        <v>1.1000000000000001</v>
      </c>
      <c r="AA77" s="228">
        <v>-0.2</v>
      </c>
      <c r="AB77" s="229">
        <v>1.4E-3</v>
      </c>
      <c r="AC77" s="228">
        <v>0.9</v>
      </c>
      <c r="AD77" s="228">
        <v>1.1000000000000001</v>
      </c>
      <c r="AE77" s="228">
        <v>-0.2</v>
      </c>
      <c r="AF77" s="229">
        <v>1.4E-3</v>
      </c>
      <c r="AG77" s="228">
        <v>4.95</v>
      </c>
      <c r="AH77" s="228">
        <v>5.5</v>
      </c>
      <c r="AI77" s="228">
        <v>-0.55000000000000004</v>
      </c>
      <c r="AJ77" s="229">
        <v>7.7000000000000002E-3</v>
      </c>
      <c r="AK77" s="228">
        <v>7.95</v>
      </c>
      <c r="AL77" s="228">
        <v>8.6</v>
      </c>
      <c r="AM77" s="228">
        <v>-0.65</v>
      </c>
      <c r="AN77" s="229">
        <v>1.23E-2</v>
      </c>
      <c r="AO77" s="228">
        <v>644.67999999999995</v>
      </c>
      <c r="AP77" s="228">
        <v>647.62</v>
      </c>
      <c r="AQ77" s="228">
        <v>0</v>
      </c>
      <c r="AR77" s="230">
        <v>2420000</v>
      </c>
      <c r="AS77" s="230">
        <v>3086600</v>
      </c>
      <c r="AT77" s="230">
        <v>-666600</v>
      </c>
      <c r="AU77" s="229">
        <v>-0.216</v>
      </c>
      <c r="AV77" s="230">
        <v>2173600</v>
      </c>
      <c r="AW77" s="230">
        <v>2907300</v>
      </c>
      <c r="AX77" s="230">
        <v>-733700</v>
      </c>
      <c r="AY77" s="229">
        <v>-0.25240000000000001</v>
      </c>
      <c r="AZ77" s="230">
        <v>238700</v>
      </c>
      <c r="BA77" s="230">
        <v>162800</v>
      </c>
      <c r="BB77" s="230">
        <v>75900</v>
      </c>
      <c r="BC77" s="229">
        <v>0.4662</v>
      </c>
      <c r="BD77" s="230">
        <v>7700</v>
      </c>
      <c r="BE77" s="230">
        <v>16500</v>
      </c>
      <c r="BF77" s="230">
        <v>-8800</v>
      </c>
      <c r="BG77" s="229">
        <v>-0.5333</v>
      </c>
      <c r="BH77" s="230">
        <v>7673600</v>
      </c>
      <c r="BI77" s="230">
        <v>6704500</v>
      </c>
      <c r="BJ77" s="230">
        <v>969100</v>
      </c>
      <c r="BK77" s="229">
        <v>0.14449999999999999</v>
      </c>
      <c r="BL77" s="230">
        <v>3165800</v>
      </c>
      <c r="BM77" s="230">
        <v>3342900</v>
      </c>
      <c r="BN77" s="230">
        <v>-177100</v>
      </c>
      <c r="BO77" s="229">
        <v>-5.2999999999999999E-2</v>
      </c>
      <c r="BP77" s="230">
        <v>13259400</v>
      </c>
      <c r="BQ77" s="230">
        <v>13134000</v>
      </c>
      <c r="BR77" s="230">
        <v>125400</v>
      </c>
      <c r="BS77" s="229">
        <v>9.4999999999999998E-3</v>
      </c>
      <c r="BT77" s="230">
        <v>3371249</v>
      </c>
      <c r="BU77" s="230">
        <v>1362040</v>
      </c>
      <c r="BV77" s="230">
        <v>2009209</v>
      </c>
      <c r="BW77" s="229">
        <v>1.4751000000000001</v>
      </c>
      <c r="BX77" s="230">
        <v>37788300</v>
      </c>
      <c r="BY77" s="230">
        <v>37826800</v>
      </c>
      <c r="BZ77" s="230">
        <v>-38500</v>
      </c>
      <c r="CA77" s="229">
        <v>-1E-3</v>
      </c>
      <c r="CB77" s="230">
        <v>36470500</v>
      </c>
      <c r="CC77" s="230">
        <v>36597000</v>
      </c>
      <c r="CD77" s="230">
        <v>-126500</v>
      </c>
      <c r="CE77" s="229">
        <v>-3.5000000000000001E-3</v>
      </c>
      <c r="CF77" s="230">
        <v>1223200</v>
      </c>
      <c r="CG77" s="230">
        <v>1137400</v>
      </c>
      <c r="CH77" s="230">
        <v>85800</v>
      </c>
      <c r="CI77" s="229">
        <v>7.5399999999999995E-2</v>
      </c>
      <c r="CJ77" s="230">
        <v>94600</v>
      </c>
      <c r="CK77" s="230">
        <v>92400</v>
      </c>
      <c r="CL77" s="230">
        <v>2200</v>
      </c>
      <c r="CM77" s="229">
        <v>2.3800000000000002E-2</v>
      </c>
      <c r="CN77" s="230">
        <v>14316500</v>
      </c>
      <c r="CO77" s="230">
        <v>14609100</v>
      </c>
      <c r="CP77" s="230">
        <v>-292600</v>
      </c>
      <c r="CQ77" s="229">
        <v>-0.02</v>
      </c>
      <c r="CR77" s="230">
        <v>5615500</v>
      </c>
      <c r="CS77" s="230">
        <v>5381200</v>
      </c>
      <c r="CT77" s="230">
        <v>234300</v>
      </c>
      <c r="CU77" s="229">
        <v>4.3499999999999997E-2</v>
      </c>
      <c r="CV77" s="230">
        <v>57720300</v>
      </c>
      <c r="CW77" s="230">
        <v>57817100</v>
      </c>
      <c r="CX77" s="230">
        <v>-96800</v>
      </c>
      <c r="CY77" s="229">
        <v>-1.6999999999999999E-3</v>
      </c>
      <c r="CZ77" s="228">
        <v>27.47</v>
      </c>
      <c r="DA77" s="228">
        <v>27.18</v>
      </c>
      <c r="DB77" s="228">
        <v>0.28999999999999998</v>
      </c>
      <c r="DC77" s="228">
        <v>0.28999999999999998</v>
      </c>
      <c r="DD77" s="228">
        <v>25.05</v>
      </c>
      <c r="DE77" s="228">
        <v>25.11</v>
      </c>
      <c r="DF77" s="228">
        <v>2.42</v>
      </c>
      <c r="DG77" s="228">
        <v>-0.06</v>
      </c>
      <c r="DH77" s="228">
        <v>27.44</v>
      </c>
      <c r="DI77" s="228">
        <v>27.41</v>
      </c>
      <c r="DJ77" s="228">
        <v>0.03</v>
      </c>
      <c r="DK77" s="228">
        <v>0.03</v>
      </c>
      <c r="DL77" s="228">
        <v>27.55</v>
      </c>
      <c r="DM77" s="228">
        <v>26.72</v>
      </c>
      <c r="DN77" s="228">
        <v>0.83</v>
      </c>
      <c r="DO77" s="228">
        <v>0.83</v>
      </c>
      <c r="DP77" s="228">
        <v>0.39</v>
      </c>
      <c r="DQ77" s="228">
        <v>0.37</v>
      </c>
      <c r="DR77" s="228">
        <v>0.02</v>
      </c>
      <c r="DS77" s="229">
        <v>5.4100000000000002E-2</v>
      </c>
      <c r="DT77" s="228">
        <v>750</v>
      </c>
      <c r="DU77" s="228">
        <v>620</v>
      </c>
      <c r="DV77" s="228">
        <v>0.41</v>
      </c>
      <c r="DW77" s="228">
        <v>0.5</v>
      </c>
      <c r="DX77" s="228">
        <v>-0.09</v>
      </c>
      <c r="DY77" s="229">
        <v>-0.18</v>
      </c>
      <c r="DZ77" s="229">
        <v>3.49E-2</v>
      </c>
      <c r="EA77" s="230">
        <v>1229800</v>
      </c>
      <c r="EB77" s="229">
        <v>6.3E-3</v>
      </c>
      <c r="EC77" s="229">
        <v>3.49E-2</v>
      </c>
      <c r="ED77" s="228">
        <v>2.94</v>
      </c>
      <c r="EE77" s="229">
        <v>4.5999999999999999E-3</v>
      </c>
      <c r="EF77" s="230">
        <v>2080781</v>
      </c>
      <c r="EG77" s="230">
        <v>825145</v>
      </c>
      <c r="EH77" s="229">
        <v>1.5217000000000001</v>
      </c>
      <c r="EI77" s="229">
        <v>0.61719999999999997</v>
      </c>
      <c r="EJ77" s="231">
        <v>53620.62</v>
      </c>
      <c r="EK77" s="231">
        <v>20463.39</v>
      </c>
      <c r="EL77" s="231">
        <v>15608.83</v>
      </c>
      <c r="EM77" s="231">
        <v>3822</v>
      </c>
      <c r="EN77" s="231">
        <v>89692.84</v>
      </c>
      <c r="EO77" s="231">
        <v>88727.17</v>
      </c>
      <c r="EP77" s="228">
        <v>965.67</v>
      </c>
      <c r="EQ77" s="229">
        <v>1.09E-2</v>
      </c>
      <c r="ER77" s="231">
        <v>105956</v>
      </c>
      <c r="ES77" s="231">
        <v>37874</v>
      </c>
      <c r="ET77" s="231">
        <v>244395</v>
      </c>
      <c r="EU77" s="231">
        <v>128849634</v>
      </c>
      <c r="EV77" s="231">
        <v>388225</v>
      </c>
      <c r="EW77" s="231">
        <v>390511</v>
      </c>
      <c r="EX77" s="231">
        <v>-2286</v>
      </c>
      <c r="EY77" s="229">
        <v>-5.8999999999999999E-3</v>
      </c>
      <c r="EZ77" s="229">
        <v>0.44800000000000001</v>
      </c>
      <c r="FA77" s="227" t="s">
        <v>568</v>
      </c>
      <c r="FB77" s="161">
        <f t="shared" si="1"/>
        <v>1317800</v>
      </c>
    </row>
    <row r="78" spans="1:158" ht="17.25" thickBot="1" x14ac:dyDescent="0.3">
      <c r="A78" s="226">
        <v>46093</v>
      </c>
      <c r="B78" s="227" t="s">
        <v>162</v>
      </c>
      <c r="C78" s="227" t="s">
        <v>226</v>
      </c>
      <c r="D78" s="228">
        <v>150</v>
      </c>
      <c r="E78" s="231">
        <v>5403</v>
      </c>
      <c r="F78" s="231">
        <v>5582.5</v>
      </c>
      <c r="G78" s="228">
        <v>-179.5</v>
      </c>
      <c r="H78" s="229">
        <v>-3.2199999999999999E-2</v>
      </c>
      <c r="I78" s="231">
        <v>5394.5</v>
      </c>
      <c r="J78" s="231">
        <v>5575</v>
      </c>
      <c r="K78" s="228">
        <v>-180.5</v>
      </c>
      <c r="L78" s="229">
        <v>-3.2399999999999998E-2</v>
      </c>
      <c r="M78" s="231">
        <v>5403</v>
      </c>
      <c r="N78" s="231">
        <v>5582.5</v>
      </c>
      <c r="O78" s="228">
        <v>-179.5</v>
      </c>
      <c r="P78" s="229">
        <v>-3.2199999999999999E-2</v>
      </c>
      <c r="Q78" s="231">
        <v>5431.5</v>
      </c>
      <c r="R78" s="231">
        <v>5609</v>
      </c>
      <c r="S78" s="228">
        <v>-177.5</v>
      </c>
      <c r="T78" s="229">
        <v>-3.1600000000000003E-2</v>
      </c>
      <c r="U78" s="231">
        <v>5454</v>
      </c>
      <c r="V78" s="231">
        <v>5636.5</v>
      </c>
      <c r="W78" s="228">
        <v>-182.5</v>
      </c>
      <c r="X78" s="229">
        <v>-3.2399999999999998E-2</v>
      </c>
      <c r="Y78" s="228">
        <v>8.5</v>
      </c>
      <c r="Z78" s="228">
        <v>7.5</v>
      </c>
      <c r="AA78" s="228">
        <v>1</v>
      </c>
      <c r="AB78" s="229">
        <v>1.6000000000000001E-3</v>
      </c>
      <c r="AC78" s="228">
        <v>8.5</v>
      </c>
      <c r="AD78" s="228">
        <v>7.5</v>
      </c>
      <c r="AE78" s="228">
        <v>1</v>
      </c>
      <c r="AF78" s="229">
        <v>1.6000000000000001E-3</v>
      </c>
      <c r="AG78" s="228">
        <v>37</v>
      </c>
      <c r="AH78" s="228">
        <v>34</v>
      </c>
      <c r="AI78" s="228">
        <v>3</v>
      </c>
      <c r="AJ78" s="229">
        <v>6.8999999999999999E-3</v>
      </c>
      <c r="AK78" s="228">
        <v>59.5</v>
      </c>
      <c r="AL78" s="228">
        <v>61.5</v>
      </c>
      <c r="AM78" s="228">
        <v>-2</v>
      </c>
      <c r="AN78" s="229">
        <v>1.0999999999999999E-2</v>
      </c>
      <c r="AO78" s="231">
        <v>5442.13</v>
      </c>
      <c r="AP78" s="231">
        <v>5471.04</v>
      </c>
      <c r="AQ78" s="228">
        <v>0</v>
      </c>
      <c r="AR78" s="230">
        <v>839700</v>
      </c>
      <c r="AS78" s="230">
        <v>771750</v>
      </c>
      <c r="AT78" s="230">
        <v>67950</v>
      </c>
      <c r="AU78" s="229">
        <v>8.7999999999999995E-2</v>
      </c>
      <c r="AV78" s="230">
        <v>802200</v>
      </c>
      <c r="AW78" s="230">
        <v>731850</v>
      </c>
      <c r="AX78" s="230">
        <v>70350</v>
      </c>
      <c r="AY78" s="229">
        <v>9.6100000000000005E-2</v>
      </c>
      <c r="AZ78" s="230">
        <v>31800</v>
      </c>
      <c r="BA78" s="230">
        <v>35700</v>
      </c>
      <c r="BB78" s="230">
        <v>-3900</v>
      </c>
      <c r="BC78" s="229">
        <v>-0.10920000000000001</v>
      </c>
      <c r="BD78" s="230">
        <v>5700</v>
      </c>
      <c r="BE78" s="230">
        <v>4200</v>
      </c>
      <c r="BF78" s="230">
        <v>1500</v>
      </c>
      <c r="BG78" s="229">
        <v>0.35709999999999997</v>
      </c>
      <c r="BH78" s="230">
        <v>3137400</v>
      </c>
      <c r="BI78" s="230">
        <v>3536100</v>
      </c>
      <c r="BJ78" s="230">
        <v>-398700</v>
      </c>
      <c r="BK78" s="229">
        <v>-0.1128</v>
      </c>
      <c r="BL78" s="230">
        <v>2040150</v>
      </c>
      <c r="BM78" s="230">
        <v>2014200</v>
      </c>
      <c r="BN78" s="230">
        <v>25950</v>
      </c>
      <c r="BO78" s="229">
        <v>1.29E-2</v>
      </c>
      <c r="BP78" s="230">
        <v>6017250</v>
      </c>
      <c r="BQ78" s="230">
        <v>6322050</v>
      </c>
      <c r="BR78" s="230">
        <v>-304800</v>
      </c>
      <c r="BS78" s="229">
        <v>-4.82E-2</v>
      </c>
      <c r="BT78" s="230">
        <v>508250</v>
      </c>
      <c r="BU78" s="230">
        <v>529877</v>
      </c>
      <c r="BV78" s="230">
        <v>-21627</v>
      </c>
      <c r="BW78" s="229">
        <v>-4.0800000000000003E-2</v>
      </c>
      <c r="BX78" s="230">
        <v>3612450</v>
      </c>
      <c r="BY78" s="230">
        <v>3614400</v>
      </c>
      <c r="BZ78" s="230">
        <v>-1950</v>
      </c>
      <c r="CA78" s="229">
        <v>-5.0000000000000001E-4</v>
      </c>
      <c r="CB78" s="230">
        <v>3532050</v>
      </c>
      <c r="CC78" s="230">
        <v>3541950</v>
      </c>
      <c r="CD78" s="230">
        <v>-9900</v>
      </c>
      <c r="CE78" s="229">
        <v>-2.8E-3</v>
      </c>
      <c r="CF78" s="230">
        <v>73500</v>
      </c>
      <c r="CG78" s="230">
        <v>67200</v>
      </c>
      <c r="CH78" s="230">
        <v>6300</v>
      </c>
      <c r="CI78" s="229">
        <v>9.3799999999999994E-2</v>
      </c>
      <c r="CJ78" s="230">
        <v>6900</v>
      </c>
      <c r="CK78" s="230">
        <v>5250</v>
      </c>
      <c r="CL78" s="230">
        <v>1650</v>
      </c>
      <c r="CM78" s="229">
        <v>0.31430000000000002</v>
      </c>
      <c r="CN78" s="230">
        <v>1940850</v>
      </c>
      <c r="CO78" s="230">
        <v>1728000</v>
      </c>
      <c r="CP78" s="230">
        <v>212850</v>
      </c>
      <c r="CQ78" s="229">
        <v>0.1232</v>
      </c>
      <c r="CR78" s="230">
        <v>1288350</v>
      </c>
      <c r="CS78" s="230">
        <v>1236750</v>
      </c>
      <c r="CT78" s="230">
        <v>51600</v>
      </c>
      <c r="CU78" s="229">
        <v>4.1700000000000001E-2</v>
      </c>
      <c r="CV78" s="230">
        <v>6841650</v>
      </c>
      <c r="CW78" s="230">
        <v>6579150</v>
      </c>
      <c r="CX78" s="230">
        <v>262500</v>
      </c>
      <c r="CY78" s="229">
        <v>3.9899999999999998E-2</v>
      </c>
      <c r="CZ78" s="228">
        <v>35.520000000000003</v>
      </c>
      <c r="DA78" s="228">
        <v>32.78</v>
      </c>
      <c r="DB78" s="228">
        <v>2.74</v>
      </c>
      <c r="DC78" s="228">
        <v>2.74</v>
      </c>
      <c r="DD78" s="228">
        <v>31.15</v>
      </c>
      <c r="DE78" s="228">
        <v>30.91</v>
      </c>
      <c r="DF78" s="228">
        <v>4.37</v>
      </c>
      <c r="DG78" s="228">
        <v>0.24</v>
      </c>
      <c r="DH78" s="228">
        <v>34.49</v>
      </c>
      <c r="DI78" s="228">
        <v>31.9</v>
      </c>
      <c r="DJ78" s="228">
        <v>2.59</v>
      </c>
      <c r="DK78" s="228">
        <v>2.59</v>
      </c>
      <c r="DL78" s="228">
        <v>37.1</v>
      </c>
      <c r="DM78" s="228">
        <v>34.33</v>
      </c>
      <c r="DN78" s="228">
        <v>2.77</v>
      </c>
      <c r="DO78" s="228">
        <v>2.77</v>
      </c>
      <c r="DP78" s="228">
        <v>0.66</v>
      </c>
      <c r="DQ78" s="228">
        <v>0.72</v>
      </c>
      <c r="DR78" s="228">
        <v>-0.06</v>
      </c>
      <c r="DS78" s="229">
        <v>-8.3299999999999999E-2</v>
      </c>
      <c r="DT78" s="231">
        <v>5800</v>
      </c>
      <c r="DU78" s="231">
        <v>5400</v>
      </c>
      <c r="DV78" s="228">
        <v>0.65</v>
      </c>
      <c r="DW78" s="228">
        <v>0.56999999999999995</v>
      </c>
      <c r="DX78" s="228">
        <v>0.08</v>
      </c>
      <c r="DY78" s="229">
        <v>0.1404</v>
      </c>
      <c r="DZ78" s="229">
        <v>2.23E-2</v>
      </c>
      <c r="EA78" s="230">
        <v>72450</v>
      </c>
      <c r="EB78" s="229">
        <v>5.3E-3</v>
      </c>
      <c r="EC78" s="229">
        <v>2.23E-2</v>
      </c>
      <c r="ED78" s="228">
        <v>28.91</v>
      </c>
      <c r="EE78" s="229">
        <v>5.3E-3</v>
      </c>
      <c r="EF78" s="230">
        <v>246415</v>
      </c>
      <c r="EG78" s="230">
        <v>230166</v>
      </c>
      <c r="EH78" s="229">
        <v>7.0599999999999996E-2</v>
      </c>
      <c r="EI78" s="229">
        <v>0.48480000000000001</v>
      </c>
      <c r="EJ78" s="231">
        <v>184684.36</v>
      </c>
      <c r="EK78" s="231">
        <v>108606.93</v>
      </c>
      <c r="EL78" s="231">
        <v>45709.99</v>
      </c>
      <c r="EM78" s="231">
        <v>4965</v>
      </c>
      <c r="EN78" s="231">
        <v>339001.28</v>
      </c>
      <c r="EO78" s="231">
        <v>368455.61</v>
      </c>
      <c r="EP78" s="231">
        <v>-29454.33</v>
      </c>
      <c r="EQ78" s="229">
        <v>-7.9899999999999999E-2</v>
      </c>
      <c r="ER78" s="231">
        <v>115391</v>
      </c>
      <c r="ES78" s="231">
        <v>68323</v>
      </c>
      <c r="ET78" s="231">
        <v>195205</v>
      </c>
      <c r="EU78" s="231">
        <v>19586951</v>
      </c>
      <c r="EV78" s="231">
        <v>378918</v>
      </c>
      <c r="EW78" s="231">
        <v>370811</v>
      </c>
      <c r="EX78" s="231">
        <v>8107</v>
      </c>
      <c r="EY78" s="229">
        <v>2.1899999999999999E-2</v>
      </c>
      <c r="EZ78" s="229">
        <v>0.3493</v>
      </c>
      <c r="FA78" s="227" t="s">
        <v>568</v>
      </c>
      <c r="FB78" s="161">
        <f t="shared" si="1"/>
        <v>80400</v>
      </c>
    </row>
    <row r="79" spans="1:158" ht="17.25" thickBot="1" x14ac:dyDescent="0.3">
      <c r="A79" s="226">
        <v>46093</v>
      </c>
      <c r="B79" s="227" t="s">
        <v>227</v>
      </c>
      <c r="C79" s="227" t="s">
        <v>228</v>
      </c>
      <c r="D79" s="228">
        <v>700</v>
      </c>
      <c r="E79" s="228">
        <v>970.9</v>
      </c>
      <c r="F79" s="228">
        <v>960.1</v>
      </c>
      <c r="G79" s="228">
        <v>10.8</v>
      </c>
      <c r="H79" s="229">
        <v>1.12E-2</v>
      </c>
      <c r="I79" s="228">
        <v>969.75</v>
      </c>
      <c r="J79" s="228">
        <v>959.1</v>
      </c>
      <c r="K79" s="228">
        <v>10.65</v>
      </c>
      <c r="L79" s="229">
        <v>1.11E-2</v>
      </c>
      <c r="M79" s="228">
        <v>970.9</v>
      </c>
      <c r="N79" s="228">
        <v>960.1</v>
      </c>
      <c r="O79" s="228">
        <v>10.8</v>
      </c>
      <c r="P79" s="229">
        <v>1.12E-2</v>
      </c>
      <c r="Q79" s="228">
        <v>976.7</v>
      </c>
      <c r="R79" s="228">
        <v>965.85</v>
      </c>
      <c r="S79" s="228">
        <v>10.85</v>
      </c>
      <c r="T79" s="229">
        <v>1.12E-2</v>
      </c>
      <c r="U79" s="228">
        <v>981.35</v>
      </c>
      <c r="V79" s="228">
        <v>970.3</v>
      </c>
      <c r="W79" s="228">
        <v>11.05</v>
      </c>
      <c r="X79" s="229">
        <v>1.14E-2</v>
      </c>
      <c r="Y79" s="228">
        <v>1.1499999999999999</v>
      </c>
      <c r="Z79" s="228">
        <v>1</v>
      </c>
      <c r="AA79" s="228">
        <v>0.15</v>
      </c>
      <c r="AB79" s="229">
        <v>1.1999999999999999E-3</v>
      </c>
      <c r="AC79" s="228">
        <v>1.1499999999999999</v>
      </c>
      <c r="AD79" s="228">
        <v>1</v>
      </c>
      <c r="AE79" s="228">
        <v>0.15</v>
      </c>
      <c r="AF79" s="229">
        <v>1.1999999999999999E-3</v>
      </c>
      <c r="AG79" s="228">
        <v>6.95</v>
      </c>
      <c r="AH79" s="228">
        <v>6.75</v>
      </c>
      <c r="AI79" s="228">
        <v>0.2</v>
      </c>
      <c r="AJ79" s="229">
        <v>7.1999999999999998E-3</v>
      </c>
      <c r="AK79" s="228">
        <v>11.6</v>
      </c>
      <c r="AL79" s="228">
        <v>11.2</v>
      </c>
      <c r="AM79" s="228">
        <v>0.4</v>
      </c>
      <c r="AN79" s="229">
        <v>1.2E-2</v>
      </c>
      <c r="AO79" s="228">
        <v>957.18</v>
      </c>
      <c r="AP79" s="228">
        <v>961.5</v>
      </c>
      <c r="AQ79" s="228">
        <v>0</v>
      </c>
      <c r="AR79" s="230">
        <v>8269100</v>
      </c>
      <c r="AS79" s="230">
        <v>8037400</v>
      </c>
      <c r="AT79" s="230">
        <v>231700</v>
      </c>
      <c r="AU79" s="229">
        <v>2.8799999999999999E-2</v>
      </c>
      <c r="AV79" s="230">
        <v>7821100</v>
      </c>
      <c r="AW79" s="230">
        <v>7581000</v>
      </c>
      <c r="AX79" s="230">
        <v>240100</v>
      </c>
      <c r="AY79" s="229">
        <v>3.1699999999999999E-2</v>
      </c>
      <c r="AZ79" s="230">
        <v>387800</v>
      </c>
      <c r="BA79" s="230">
        <v>409500</v>
      </c>
      <c r="BB79" s="230">
        <v>-21700</v>
      </c>
      <c r="BC79" s="229">
        <v>-5.2999999999999999E-2</v>
      </c>
      <c r="BD79" s="230">
        <v>60200</v>
      </c>
      <c r="BE79" s="230">
        <v>46900</v>
      </c>
      <c r="BF79" s="230">
        <v>13300</v>
      </c>
      <c r="BG79" s="229">
        <v>0.28360000000000002</v>
      </c>
      <c r="BH79" s="230">
        <v>20089300</v>
      </c>
      <c r="BI79" s="230">
        <v>22150800</v>
      </c>
      <c r="BJ79" s="230">
        <v>-2061500</v>
      </c>
      <c r="BK79" s="229">
        <v>-9.3100000000000002E-2</v>
      </c>
      <c r="BL79" s="230">
        <v>12884900</v>
      </c>
      <c r="BM79" s="230">
        <v>14800800</v>
      </c>
      <c r="BN79" s="230">
        <v>-1915900</v>
      </c>
      <c r="BO79" s="229">
        <v>-0.12939999999999999</v>
      </c>
      <c r="BP79" s="230">
        <v>41243300</v>
      </c>
      <c r="BQ79" s="230">
        <v>44989000</v>
      </c>
      <c r="BR79" s="230">
        <v>-3745700</v>
      </c>
      <c r="BS79" s="229">
        <v>-8.3299999999999999E-2</v>
      </c>
      <c r="BT79" s="230">
        <v>4800428</v>
      </c>
      <c r="BU79" s="230">
        <v>4631956</v>
      </c>
      <c r="BV79" s="230">
        <v>168472</v>
      </c>
      <c r="BW79" s="229">
        <v>3.6400000000000002E-2</v>
      </c>
      <c r="BX79" s="230">
        <v>45050600</v>
      </c>
      <c r="BY79" s="230">
        <v>44672600</v>
      </c>
      <c r="BZ79" s="230">
        <v>378000</v>
      </c>
      <c r="CA79" s="229">
        <v>8.5000000000000006E-3</v>
      </c>
      <c r="CB79" s="230">
        <v>37509500</v>
      </c>
      <c r="CC79" s="230">
        <v>37230200</v>
      </c>
      <c r="CD79" s="230">
        <v>279300</v>
      </c>
      <c r="CE79" s="229">
        <v>7.4999999999999997E-3</v>
      </c>
      <c r="CF79" s="230">
        <v>4095700</v>
      </c>
      <c r="CG79" s="230">
        <v>3998400</v>
      </c>
      <c r="CH79" s="230">
        <v>97300</v>
      </c>
      <c r="CI79" s="229">
        <v>2.4299999999999999E-2</v>
      </c>
      <c r="CJ79" s="230">
        <v>3445400</v>
      </c>
      <c r="CK79" s="230">
        <v>3444000</v>
      </c>
      <c r="CL79" s="230">
        <v>1400</v>
      </c>
      <c r="CM79" s="229">
        <v>4.0000000000000002E-4</v>
      </c>
      <c r="CN79" s="230">
        <v>10581200</v>
      </c>
      <c r="CO79" s="230">
        <v>11087300</v>
      </c>
      <c r="CP79" s="230">
        <v>-506100</v>
      </c>
      <c r="CQ79" s="229">
        <v>-4.5600000000000002E-2</v>
      </c>
      <c r="CR79" s="230">
        <v>9531200</v>
      </c>
      <c r="CS79" s="230">
        <v>9618000</v>
      </c>
      <c r="CT79" s="230">
        <v>-86800</v>
      </c>
      <c r="CU79" s="229">
        <v>-8.9999999999999993E-3</v>
      </c>
      <c r="CV79" s="230">
        <v>65163000</v>
      </c>
      <c r="CW79" s="230">
        <v>65377900</v>
      </c>
      <c r="CX79" s="230">
        <v>-214900</v>
      </c>
      <c r="CY79" s="229">
        <v>-3.3E-3</v>
      </c>
      <c r="CZ79" s="228">
        <v>36.6</v>
      </c>
      <c r="DA79" s="228">
        <v>35.93</v>
      </c>
      <c r="DB79" s="228">
        <v>0.67</v>
      </c>
      <c r="DC79" s="228">
        <v>0.67</v>
      </c>
      <c r="DD79" s="228">
        <v>34.96</v>
      </c>
      <c r="DE79" s="228">
        <v>35.020000000000003</v>
      </c>
      <c r="DF79" s="228">
        <v>1.64</v>
      </c>
      <c r="DG79" s="228">
        <v>-0.06</v>
      </c>
      <c r="DH79" s="228">
        <v>35.85</v>
      </c>
      <c r="DI79" s="228">
        <v>35.54</v>
      </c>
      <c r="DJ79" s="228">
        <v>0.31</v>
      </c>
      <c r="DK79" s="228">
        <v>0.31</v>
      </c>
      <c r="DL79" s="228">
        <v>37.770000000000003</v>
      </c>
      <c r="DM79" s="228">
        <v>36.5</v>
      </c>
      <c r="DN79" s="228">
        <v>1.27</v>
      </c>
      <c r="DO79" s="228">
        <v>1.27</v>
      </c>
      <c r="DP79" s="228">
        <v>0.9</v>
      </c>
      <c r="DQ79" s="228">
        <v>0.87</v>
      </c>
      <c r="DR79" s="228">
        <v>0.03</v>
      </c>
      <c r="DS79" s="229">
        <v>3.4500000000000003E-2</v>
      </c>
      <c r="DT79" s="231">
        <v>1000</v>
      </c>
      <c r="DU79" s="228">
        <v>900</v>
      </c>
      <c r="DV79" s="228">
        <v>0.64</v>
      </c>
      <c r="DW79" s="228">
        <v>0.67</v>
      </c>
      <c r="DX79" s="228">
        <v>-0.03</v>
      </c>
      <c r="DY79" s="229">
        <v>-4.48E-2</v>
      </c>
      <c r="DZ79" s="229">
        <v>0.16739999999999999</v>
      </c>
      <c r="EA79" s="230">
        <v>7442400</v>
      </c>
      <c r="EB79" s="229">
        <v>6.0000000000000001E-3</v>
      </c>
      <c r="EC79" s="229">
        <v>0.16739999999999999</v>
      </c>
      <c r="ED79" s="228">
        <v>4.32</v>
      </c>
      <c r="EE79" s="229">
        <v>4.4999999999999997E-3</v>
      </c>
      <c r="EF79" s="230">
        <v>2030539</v>
      </c>
      <c r="EG79" s="230">
        <v>2181489</v>
      </c>
      <c r="EH79" s="229">
        <v>-6.9199999999999998E-2</v>
      </c>
      <c r="EI79" s="229">
        <v>0.42299999999999999</v>
      </c>
      <c r="EJ79" s="231">
        <v>202584.9</v>
      </c>
      <c r="EK79" s="231">
        <v>120865.46</v>
      </c>
      <c r="EL79" s="231">
        <v>79172.19</v>
      </c>
      <c r="EM79" s="231">
        <v>18400</v>
      </c>
      <c r="EN79" s="231">
        <v>402622.55</v>
      </c>
      <c r="EO79" s="231">
        <v>443121.37</v>
      </c>
      <c r="EP79" s="231">
        <v>-40498.82</v>
      </c>
      <c r="EQ79" s="229">
        <v>-9.1399999999999995E-2</v>
      </c>
      <c r="ER79" s="231">
        <v>105942</v>
      </c>
      <c r="ES79" s="231">
        <v>85514</v>
      </c>
      <c r="ET79" s="231">
        <v>437994</v>
      </c>
      <c r="EU79" s="231">
        <v>212176873</v>
      </c>
      <c r="EV79" s="231">
        <v>629450</v>
      </c>
      <c r="EW79" s="231">
        <v>626805</v>
      </c>
      <c r="EX79" s="231">
        <v>2645</v>
      </c>
      <c r="EY79" s="229">
        <v>4.1999999999999997E-3</v>
      </c>
      <c r="EZ79" s="229">
        <v>0.30709999999999998</v>
      </c>
      <c r="FA79" s="227" t="s">
        <v>555</v>
      </c>
      <c r="FB79" s="161">
        <f t="shared" si="1"/>
        <v>7541100</v>
      </c>
    </row>
    <row r="80" spans="1:158" ht="17.25" thickBot="1" x14ac:dyDescent="0.3">
      <c r="A80" s="226">
        <v>46093</v>
      </c>
      <c r="B80" s="227" t="s">
        <v>193</v>
      </c>
      <c r="C80" s="227" t="s">
        <v>229</v>
      </c>
      <c r="D80" s="228">
        <v>2025</v>
      </c>
      <c r="E80" s="228">
        <v>382.95</v>
      </c>
      <c r="F80" s="228">
        <v>383.4</v>
      </c>
      <c r="G80" s="228">
        <v>-0.45</v>
      </c>
      <c r="H80" s="229">
        <v>-1.1999999999999999E-3</v>
      </c>
      <c r="I80" s="228">
        <v>384.35</v>
      </c>
      <c r="J80" s="228">
        <v>384.25</v>
      </c>
      <c r="K80" s="228">
        <v>0.1</v>
      </c>
      <c r="L80" s="229">
        <v>2.9999999999999997E-4</v>
      </c>
      <c r="M80" s="228">
        <v>382.95</v>
      </c>
      <c r="N80" s="228">
        <v>383.4</v>
      </c>
      <c r="O80" s="228">
        <v>-0.45</v>
      </c>
      <c r="P80" s="229">
        <v>-1.1999999999999999E-3</v>
      </c>
      <c r="Q80" s="228">
        <v>384.95</v>
      </c>
      <c r="R80" s="228">
        <v>385.75</v>
      </c>
      <c r="S80" s="228">
        <v>-0.8</v>
      </c>
      <c r="T80" s="229">
        <v>-2.0999999999999999E-3</v>
      </c>
      <c r="U80" s="228">
        <v>386.55</v>
      </c>
      <c r="V80" s="228">
        <v>387.65</v>
      </c>
      <c r="W80" s="228">
        <v>-1.1000000000000001</v>
      </c>
      <c r="X80" s="229">
        <v>-2.8E-3</v>
      </c>
      <c r="Y80" s="228">
        <v>-1.4</v>
      </c>
      <c r="Z80" s="228">
        <v>-0.85</v>
      </c>
      <c r="AA80" s="228">
        <v>-0.55000000000000004</v>
      </c>
      <c r="AB80" s="229">
        <v>-3.5999999999999999E-3</v>
      </c>
      <c r="AC80" s="228">
        <v>-1.4</v>
      </c>
      <c r="AD80" s="228">
        <v>-0.85</v>
      </c>
      <c r="AE80" s="228">
        <v>-0.55000000000000004</v>
      </c>
      <c r="AF80" s="229">
        <v>-3.5999999999999999E-3</v>
      </c>
      <c r="AG80" s="228">
        <v>0.6</v>
      </c>
      <c r="AH80" s="228">
        <v>1.5</v>
      </c>
      <c r="AI80" s="228">
        <v>-0.9</v>
      </c>
      <c r="AJ80" s="229">
        <v>1.6000000000000001E-3</v>
      </c>
      <c r="AK80" s="228">
        <v>2.2000000000000002</v>
      </c>
      <c r="AL80" s="228">
        <v>3.4</v>
      </c>
      <c r="AM80" s="228">
        <v>-1.2</v>
      </c>
      <c r="AN80" s="229">
        <v>5.7000000000000002E-3</v>
      </c>
      <c r="AO80" s="228">
        <v>378.7</v>
      </c>
      <c r="AP80" s="228">
        <v>380.55</v>
      </c>
      <c r="AQ80" s="228">
        <v>0</v>
      </c>
      <c r="AR80" s="230">
        <v>19352925</v>
      </c>
      <c r="AS80" s="230">
        <v>19237500</v>
      </c>
      <c r="AT80" s="230">
        <v>115425</v>
      </c>
      <c r="AU80" s="229">
        <v>6.0000000000000001E-3</v>
      </c>
      <c r="AV80" s="230">
        <v>17111250</v>
      </c>
      <c r="AW80" s="230">
        <v>12879000</v>
      </c>
      <c r="AX80" s="230">
        <v>4232250</v>
      </c>
      <c r="AY80" s="229">
        <v>0.3286</v>
      </c>
      <c r="AZ80" s="230">
        <v>1767825</v>
      </c>
      <c r="BA80" s="230">
        <v>3588300</v>
      </c>
      <c r="BB80" s="230">
        <v>-1820475</v>
      </c>
      <c r="BC80" s="229">
        <v>-0.50729999999999997</v>
      </c>
      <c r="BD80" s="230">
        <v>473850</v>
      </c>
      <c r="BE80" s="230">
        <v>2770200</v>
      </c>
      <c r="BF80" s="230">
        <v>-2296350</v>
      </c>
      <c r="BG80" s="229">
        <v>-0.82889999999999997</v>
      </c>
      <c r="BH80" s="230">
        <v>28210275</v>
      </c>
      <c r="BI80" s="230">
        <v>17726850</v>
      </c>
      <c r="BJ80" s="230">
        <v>10483425</v>
      </c>
      <c r="BK80" s="229">
        <v>0.59140000000000004</v>
      </c>
      <c r="BL80" s="230">
        <v>24702975</v>
      </c>
      <c r="BM80" s="230">
        <v>16872300</v>
      </c>
      <c r="BN80" s="230">
        <v>7830675</v>
      </c>
      <c r="BO80" s="229">
        <v>0.46410000000000001</v>
      </c>
      <c r="BP80" s="230">
        <v>72266175</v>
      </c>
      <c r="BQ80" s="230">
        <v>53836650</v>
      </c>
      <c r="BR80" s="230">
        <v>18429525</v>
      </c>
      <c r="BS80" s="229">
        <v>0.34229999999999999</v>
      </c>
      <c r="BT80" s="230">
        <v>8900913</v>
      </c>
      <c r="BU80" s="230">
        <v>8198781</v>
      </c>
      <c r="BV80" s="230">
        <v>702132</v>
      </c>
      <c r="BW80" s="229">
        <v>8.5599999999999996E-2</v>
      </c>
      <c r="BX80" s="230">
        <v>55574100</v>
      </c>
      <c r="BY80" s="230">
        <v>51797475</v>
      </c>
      <c r="BZ80" s="230">
        <v>3776625</v>
      </c>
      <c r="CA80" s="229">
        <v>7.2900000000000006E-2</v>
      </c>
      <c r="CB80" s="230">
        <v>47466000</v>
      </c>
      <c r="CC80" s="230">
        <v>44392050</v>
      </c>
      <c r="CD80" s="230">
        <v>3073950</v>
      </c>
      <c r="CE80" s="229">
        <v>6.9199999999999998E-2</v>
      </c>
      <c r="CF80" s="230">
        <v>5281200</v>
      </c>
      <c r="CG80" s="230">
        <v>4578525</v>
      </c>
      <c r="CH80" s="230">
        <v>702675</v>
      </c>
      <c r="CI80" s="229">
        <v>0.1535</v>
      </c>
      <c r="CJ80" s="230">
        <v>2826900</v>
      </c>
      <c r="CK80" s="230">
        <v>2826900</v>
      </c>
      <c r="CL80" s="228">
        <v>0</v>
      </c>
      <c r="CM80" s="229">
        <v>0</v>
      </c>
      <c r="CN80" s="230">
        <v>18239175</v>
      </c>
      <c r="CO80" s="230">
        <v>17789625</v>
      </c>
      <c r="CP80" s="230">
        <v>449550</v>
      </c>
      <c r="CQ80" s="229">
        <v>2.53E-2</v>
      </c>
      <c r="CR80" s="230">
        <v>16943175</v>
      </c>
      <c r="CS80" s="230">
        <v>16953300</v>
      </c>
      <c r="CT80" s="230">
        <v>-10125</v>
      </c>
      <c r="CU80" s="229">
        <v>-5.9999999999999995E-4</v>
      </c>
      <c r="CV80" s="230">
        <v>90756450</v>
      </c>
      <c r="CW80" s="230">
        <v>86540400</v>
      </c>
      <c r="CX80" s="230">
        <v>4216050</v>
      </c>
      <c r="CY80" s="229">
        <v>4.87E-2</v>
      </c>
      <c r="CZ80" s="228">
        <v>47.25</v>
      </c>
      <c r="DA80" s="228">
        <v>47.01</v>
      </c>
      <c r="DB80" s="228">
        <v>0.24</v>
      </c>
      <c r="DC80" s="228">
        <v>0.24</v>
      </c>
      <c r="DD80" s="228">
        <v>40.020000000000003</v>
      </c>
      <c r="DE80" s="228">
        <v>40.119999999999997</v>
      </c>
      <c r="DF80" s="228">
        <v>7.23</v>
      </c>
      <c r="DG80" s="228">
        <v>-0.1</v>
      </c>
      <c r="DH80" s="228">
        <v>45.28</v>
      </c>
      <c r="DI80" s="228">
        <v>45.48</v>
      </c>
      <c r="DJ80" s="228">
        <v>-0.2</v>
      </c>
      <c r="DK80" s="228">
        <v>-0.2</v>
      </c>
      <c r="DL80" s="228">
        <v>49.51</v>
      </c>
      <c r="DM80" s="228">
        <v>48.63</v>
      </c>
      <c r="DN80" s="228">
        <v>0.88</v>
      </c>
      <c r="DO80" s="228">
        <v>0.88</v>
      </c>
      <c r="DP80" s="228">
        <v>0.93</v>
      </c>
      <c r="DQ80" s="228">
        <v>0.95</v>
      </c>
      <c r="DR80" s="228">
        <v>-0.02</v>
      </c>
      <c r="DS80" s="229">
        <v>-2.1100000000000001E-2</v>
      </c>
      <c r="DT80" s="228">
        <v>400</v>
      </c>
      <c r="DU80" s="228">
        <v>400</v>
      </c>
      <c r="DV80" s="228">
        <v>0.88</v>
      </c>
      <c r="DW80" s="228">
        <v>0.95</v>
      </c>
      <c r="DX80" s="228">
        <v>-7.0000000000000007E-2</v>
      </c>
      <c r="DY80" s="229">
        <v>-7.3700000000000002E-2</v>
      </c>
      <c r="DZ80" s="229">
        <v>0.1459</v>
      </c>
      <c r="EA80" s="230">
        <v>7405425</v>
      </c>
      <c r="EB80" s="229">
        <v>5.1999999999999998E-3</v>
      </c>
      <c r="EC80" s="229">
        <v>0.1459</v>
      </c>
      <c r="ED80" s="228">
        <v>1.85</v>
      </c>
      <c r="EE80" s="229">
        <v>4.8999999999999998E-3</v>
      </c>
      <c r="EF80" s="230">
        <v>3680189</v>
      </c>
      <c r="EG80" s="230">
        <v>4290751</v>
      </c>
      <c r="EH80" s="229">
        <v>-0.14230000000000001</v>
      </c>
      <c r="EI80" s="229">
        <v>0.41349999999999998</v>
      </c>
      <c r="EJ80" s="231">
        <v>116049.69</v>
      </c>
      <c r="EK80" s="231">
        <v>93939.16</v>
      </c>
      <c r="EL80" s="231">
        <v>73333.14</v>
      </c>
      <c r="EM80" s="231">
        <v>10471</v>
      </c>
      <c r="EN80" s="231">
        <v>283321.99</v>
      </c>
      <c r="EO80" s="231">
        <v>214025.19</v>
      </c>
      <c r="EP80" s="231">
        <v>69296.800000000003</v>
      </c>
      <c r="EQ80" s="229">
        <v>0.32379999999999998</v>
      </c>
      <c r="ER80" s="231">
        <v>77301</v>
      </c>
      <c r="ES80" s="231">
        <v>67250</v>
      </c>
      <c r="ET80" s="231">
        <v>213028</v>
      </c>
      <c r="EU80" s="231">
        <v>143933168</v>
      </c>
      <c r="EV80" s="231">
        <v>357579</v>
      </c>
      <c r="EW80" s="231">
        <v>342032</v>
      </c>
      <c r="EX80" s="231">
        <v>15547</v>
      </c>
      <c r="EY80" s="229">
        <v>4.5499999999999999E-2</v>
      </c>
      <c r="EZ80" s="229">
        <v>0.63049999999999995</v>
      </c>
      <c r="FA80" s="227" t="s">
        <v>567</v>
      </c>
      <c r="FB80" s="161">
        <f t="shared" si="1"/>
        <v>8108100</v>
      </c>
    </row>
    <row r="81" spans="1:158" ht="17.25" thickBot="1" x14ac:dyDescent="0.3">
      <c r="A81" s="226">
        <v>46093</v>
      </c>
      <c r="B81" s="227" t="s">
        <v>168</v>
      </c>
      <c r="C81" s="227" t="s">
        <v>230</v>
      </c>
      <c r="D81" s="228">
        <v>300</v>
      </c>
      <c r="E81" s="231">
        <v>2139</v>
      </c>
      <c r="F81" s="231">
        <v>2168.8000000000002</v>
      </c>
      <c r="G81" s="228">
        <v>-29.8</v>
      </c>
      <c r="H81" s="229">
        <v>-1.37E-2</v>
      </c>
      <c r="I81" s="231">
        <v>2136.9</v>
      </c>
      <c r="J81" s="231">
        <v>2161.4</v>
      </c>
      <c r="K81" s="228">
        <v>-24.5</v>
      </c>
      <c r="L81" s="229">
        <v>-1.1299999999999999E-2</v>
      </c>
      <c r="M81" s="231">
        <v>2139</v>
      </c>
      <c r="N81" s="231">
        <v>2168.8000000000002</v>
      </c>
      <c r="O81" s="228">
        <v>-29.8</v>
      </c>
      <c r="P81" s="229">
        <v>-1.37E-2</v>
      </c>
      <c r="Q81" s="231">
        <v>2151.1999999999998</v>
      </c>
      <c r="R81" s="231">
        <v>2181.8000000000002</v>
      </c>
      <c r="S81" s="228">
        <v>-30.6</v>
      </c>
      <c r="T81" s="229">
        <v>-1.4E-2</v>
      </c>
      <c r="U81" s="231">
        <v>2162.1999999999998</v>
      </c>
      <c r="V81" s="231">
        <v>2193.6999999999998</v>
      </c>
      <c r="W81" s="228">
        <v>-31.5</v>
      </c>
      <c r="X81" s="229">
        <v>-1.44E-2</v>
      </c>
      <c r="Y81" s="228">
        <v>2.1</v>
      </c>
      <c r="Z81" s="228">
        <v>7.4</v>
      </c>
      <c r="AA81" s="228">
        <v>-5.3</v>
      </c>
      <c r="AB81" s="229">
        <v>1E-3</v>
      </c>
      <c r="AC81" s="228">
        <v>2.1</v>
      </c>
      <c r="AD81" s="228">
        <v>7.4</v>
      </c>
      <c r="AE81" s="228">
        <v>-5.3</v>
      </c>
      <c r="AF81" s="229">
        <v>1E-3</v>
      </c>
      <c r="AG81" s="228">
        <v>14.3</v>
      </c>
      <c r="AH81" s="228">
        <v>20.399999999999999</v>
      </c>
      <c r="AI81" s="228">
        <v>-6.1</v>
      </c>
      <c r="AJ81" s="229">
        <v>6.7000000000000002E-3</v>
      </c>
      <c r="AK81" s="228">
        <v>25.3</v>
      </c>
      <c r="AL81" s="228">
        <v>32.299999999999997</v>
      </c>
      <c r="AM81" s="228">
        <v>-7</v>
      </c>
      <c r="AN81" s="229">
        <v>1.18E-2</v>
      </c>
      <c r="AO81" s="231">
        <v>2135.86</v>
      </c>
      <c r="AP81" s="231">
        <v>2147.77</v>
      </c>
      <c r="AQ81" s="228">
        <v>0</v>
      </c>
      <c r="AR81" s="230">
        <v>1799700</v>
      </c>
      <c r="AS81" s="230">
        <v>1550100</v>
      </c>
      <c r="AT81" s="230">
        <v>249600</v>
      </c>
      <c r="AU81" s="229">
        <v>0.161</v>
      </c>
      <c r="AV81" s="230">
        <v>1541700</v>
      </c>
      <c r="AW81" s="230">
        <v>1364400</v>
      </c>
      <c r="AX81" s="230">
        <v>177300</v>
      </c>
      <c r="AY81" s="229">
        <v>0.12989999999999999</v>
      </c>
      <c r="AZ81" s="230">
        <v>223500</v>
      </c>
      <c r="BA81" s="230">
        <v>163500</v>
      </c>
      <c r="BB81" s="230">
        <v>60000</v>
      </c>
      <c r="BC81" s="229">
        <v>0.36699999999999999</v>
      </c>
      <c r="BD81" s="230">
        <v>34500</v>
      </c>
      <c r="BE81" s="230">
        <v>22200</v>
      </c>
      <c r="BF81" s="230">
        <v>12300</v>
      </c>
      <c r="BG81" s="229">
        <v>0.55410000000000004</v>
      </c>
      <c r="BH81" s="230">
        <v>10519200</v>
      </c>
      <c r="BI81" s="230">
        <v>5944200</v>
      </c>
      <c r="BJ81" s="230">
        <v>4575000</v>
      </c>
      <c r="BK81" s="229">
        <v>0.76970000000000005</v>
      </c>
      <c r="BL81" s="230">
        <v>4704900</v>
      </c>
      <c r="BM81" s="230">
        <v>3186000</v>
      </c>
      <c r="BN81" s="230">
        <v>1518900</v>
      </c>
      <c r="BO81" s="229">
        <v>0.47670000000000001</v>
      </c>
      <c r="BP81" s="230">
        <v>17023800</v>
      </c>
      <c r="BQ81" s="230">
        <v>10680300</v>
      </c>
      <c r="BR81" s="230">
        <v>6343500</v>
      </c>
      <c r="BS81" s="229">
        <v>0.59389999999999998</v>
      </c>
      <c r="BT81" s="230">
        <v>1868074</v>
      </c>
      <c r="BU81" s="230">
        <v>1362256</v>
      </c>
      <c r="BV81" s="230">
        <v>505818</v>
      </c>
      <c r="BW81" s="229">
        <v>0.37130000000000002</v>
      </c>
      <c r="BX81" s="230">
        <v>16306800</v>
      </c>
      <c r="BY81" s="230">
        <v>16301400</v>
      </c>
      <c r="BZ81" s="230">
        <v>5400</v>
      </c>
      <c r="CA81" s="229">
        <v>2.9999999999999997E-4</v>
      </c>
      <c r="CB81" s="230">
        <v>15734400</v>
      </c>
      <c r="CC81" s="230">
        <v>15794400</v>
      </c>
      <c r="CD81" s="230">
        <v>-60000</v>
      </c>
      <c r="CE81" s="229">
        <v>-3.8E-3</v>
      </c>
      <c r="CF81" s="230">
        <v>492300</v>
      </c>
      <c r="CG81" s="230">
        <v>438000</v>
      </c>
      <c r="CH81" s="230">
        <v>54300</v>
      </c>
      <c r="CI81" s="229">
        <v>0.124</v>
      </c>
      <c r="CJ81" s="230">
        <v>80100</v>
      </c>
      <c r="CK81" s="230">
        <v>69000</v>
      </c>
      <c r="CL81" s="230">
        <v>11100</v>
      </c>
      <c r="CM81" s="229">
        <v>0.16089999999999999</v>
      </c>
      <c r="CN81" s="230">
        <v>6921900</v>
      </c>
      <c r="CO81" s="230">
        <v>5933700</v>
      </c>
      <c r="CP81" s="230">
        <v>988200</v>
      </c>
      <c r="CQ81" s="229">
        <v>0.16650000000000001</v>
      </c>
      <c r="CR81" s="230">
        <v>3270300</v>
      </c>
      <c r="CS81" s="230">
        <v>3103500</v>
      </c>
      <c r="CT81" s="230">
        <v>166800</v>
      </c>
      <c r="CU81" s="229">
        <v>5.3699999999999998E-2</v>
      </c>
      <c r="CV81" s="230">
        <v>26499000</v>
      </c>
      <c r="CW81" s="230">
        <v>25338600</v>
      </c>
      <c r="CX81" s="230">
        <v>1160400</v>
      </c>
      <c r="CY81" s="229">
        <v>4.58E-2</v>
      </c>
      <c r="CZ81" s="228">
        <v>22.97</v>
      </c>
      <c r="DA81" s="228">
        <v>23.35</v>
      </c>
      <c r="DB81" s="228">
        <v>-0.38</v>
      </c>
      <c r="DC81" s="228">
        <v>-0.38</v>
      </c>
      <c r="DD81" s="228">
        <v>22.7</v>
      </c>
      <c r="DE81" s="228">
        <v>22.71</v>
      </c>
      <c r="DF81" s="228">
        <v>0.27</v>
      </c>
      <c r="DG81" s="228">
        <v>-0.01</v>
      </c>
      <c r="DH81" s="228">
        <v>22.65</v>
      </c>
      <c r="DI81" s="228">
        <v>23.22</v>
      </c>
      <c r="DJ81" s="228">
        <v>-0.56999999999999995</v>
      </c>
      <c r="DK81" s="228">
        <v>-0.56999999999999995</v>
      </c>
      <c r="DL81" s="228">
        <v>23.68</v>
      </c>
      <c r="DM81" s="228">
        <v>23.57</v>
      </c>
      <c r="DN81" s="228">
        <v>0.11</v>
      </c>
      <c r="DO81" s="228">
        <v>0.11</v>
      </c>
      <c r="DP81" s="228">
        <v>0.47</v>
      </c>
      <c r="DQ81" s="228">
        <v>0.52</v>
      </c>
      <c r="DR81" s="228">
        <v>-0.05</v>
      </c>
      <c r="DS81" s="229">
        <v>-9.6199999999999994E-2</v>
      </c>
      <c r="DT81" s="231">
        <v>2400</v>
      </c>
      <c r="DU81" s="231">
        <v>2000</v>
      </c>
      <c r="DV81" s="228">
        <v>0.45</v>
      </c>
      <c r="DW81" s="228">
        <v>0.54</v>
      </c>
      <c r="DX81" s="228">
        <v>-0.09</v>
      </c>
      <c r="DY81" s="229">
        <v>-0.16669999999999999</v>
      </c>
      <c r="DZ81" s="229">
        <v>3.5099999999999999E-2</v>
      </c>
      <c r="EA81" s="230">
        <v>507000</v>
      </c>
      <c r="EB81" s="229">
        <v>5.7000000000000002E-3</v>
      </c>
      <c r="EC81" s="229">
        <v>3.5099999999999999E-2</v>
      </c>
      <c r="ED81" s="228">
        <v>11.91</v>
      </c>
      <c r="EE81" s="229">
        <v>5.5999999999999999E-3</v>
      </c>
      <c r="EF81" s="230">
        <v>1041373</v>
      </c>
      <c r="EG81" s="230">
        <v>800973</v>
      </c>
      <c r="EH81" s="229">
        <v>0.30009999999999998</v>
      </c>
      <c r="EI81" s="229">
        <v>0.5575</v>
      </c>
      <c r="EJ81" s="231">
        <v>237121.15</v>
      </c>
      <c r="EK81" s="231">
        <v>100564.62</v>
      </c>
      <c r="EL81" s="231">
        <v>38473.67</v>
      </c>
      <c r="EM81" s="231">
        <v>5981</v>
      </c>
      <c r="EN81" s="231">
        <v>376159.44</v>
      </c>
      <c r="EO81" s="231">
        <v>238618.65</v>
      </c>
      <c r="EP81" s="231">
        <v>137540.79</v>
      </c>
      <c r="EQ81" s="229">
        <v>0.57640000000000002</v>
      </c>
      <c r="ER81" s="231">
        <v>161848</v>
      </c>
      <c r="ES81" s="231">
        <v>72063</v>
      </c>
      <c r="ET81" s="231">
        <v>348881</v>
      </c>
      <c r="EU81" s="231">
        <v>91001773</v>
      </c>
      <c r="EV81" s="231">
        <v>582792</v>
      </c>
      <c r="EW81" s="231">
        <v>563175</v>
      </c>
      <c r="EX81" s="231">
        <v>19617</v>
      </c>
      <c r="EY81" s="229">
        <v>3.4799999999999998E-2</v>
      </c>
      <c r="EZ81" s="229">
        <v>0.29120000000000001</v>
      </c>
      <c r="FA81" s="227" t="s">
        <v>567</v>
      </c>
      <c r="FB81" s="161">
        <f t="shared" si="1"/>
        <v>572400</v>
      </c>
    </row>
    <row r="82" spans="1:158" ht="17.25" thickBot="1" x14ac:dyDescent="0.3">
      <c r="A82" s="226">
        <v>46093</v>
      </c>
      <c r="B82" s="227" t="s">
        <v>227</v>
      </c>
      <c r="C82" s="227" t="s">
        <v>667</v>
      </c>
      <c r="D82" s="228">
        <v>1225</v>
      </c>
      <c r="E82" s="228">
        <v>583.70000000000005</v>
      </c>
      <c r="F82" s="228">
        <v>588.54999999999995</v>
      </c>
      <c r="G82" s="228">
        <v>-4.8499999999999996</v>
      </c>
      <c r="H82" s="229">
        <v>-8.2000000000000007E-3</v>
      </c>
      <c r="I82" s="228">
        <v>583</v>
      </c>
      <c r="J82" s="228">
        <v>587.6</v>
      </c>
      <c r="K82" s="228">
        <v>-4.5999999999999996</v>
      </c>
      <c r="L82" s="229">
        <v>-7.7999999999999996E-3</v>
      </c>
      <c r="M82" s="228">
        <v>583.70000000000005</v>
      </c>
      <c r="N82" s="228">
        <v>588.54999999999995</v>
      </c>
      <c r="O82" s="228">
        <v>-4.8499999999999996</v>
      </c>
      <c r="P82" s="229">
        <v>-8.2000000000000007E-3</v>
      </c>
      <c r="Q82" s="228">
        <v>587.6</v>
      </c>
      <c r="R82" s="228">
        <v>592.29999999999995</v>
      </c>
      <c r="S82" s="228">
        <v>-4.7</v>
      </c>
      <c r="T82" s="229">
        <v>-7.9000000000000008E-3</v>
      </c>
      <c r="U82" s="228">
        <v>588.75</v>
      </c>
      <c r="V82" s="228">
        <v>594.25</v>
      </c>
      <c r="W82" s="228">
        <v>-5.5</v>
      </c>
      <c r="X82" s="229">
        <v>-9.2999999999999992E-3</v>
      </c>
      <c r="Y82" s="228">
        <v>0.7</v>
      </c>
      <c r="Z82" s="228">
        <v>0.95</v>
      </c>
      <c r="AA82" s="228">
        <v>-0.25</v>
      </c>
      <c r="AB82" s="229">
        <v>1.1999999999999999E-3</v>
      </c>
      <c r="AC82" s="228">
        <v>0.7</v>
      </c>
      <c r="AD82" s="228">
        <v>0.95</v>
      </c>
      <c r="AE82" s="228">
        <v>-0.25</v>
      </c>
      <c r="AF82" s="229">
        <v>1.1999999999999999E-3</v>
      </c>
      <c r="AG82" s="228">
        <v>4.5999999999999996</v>
      </c>
      <c r="AH82" s="228">
        <v>4.7</v>
      </c>
      <c r="AI82" s="228">
        <v>-0.1</v>
      </c>
      <c r="AJ82" s="229">
        <v>7.9000000000000008E-3</v>
      </c>
      <c r="AK82" s="228">
        <v>5.75</v>
      </c>
      <c r="AL82" s="228">
        <v>6.65</v>
      </c>
      <c r="AM82" s="228">
        <v>-0.9</v>
      </c>
      <c r="AN82" s="229">
        <v>9.9000000000000008E-3</v>
      </c>
      <c r="AO82" s="228">
        <v>578.57000000000005</v>
      </c>
      <c r="AP82" s="228">
        <v>578.79999999999995</v>
      </c>
      <c r="AQ82" s="228">
        <v>0</v>
      </c>
      <c r="AR82" s="230">
        <v>6072325</v>
      </c>
      <c r="AS82" s="230">
        <v>8053150</v>
      </c>
      <c r="AT82" s="230">
        <v>-1980825</v>
      </c>
      <c r="AU82" s="229">
        <v>-0.246</v>
      </c>
      <c r="AV82" s="230">
        <v>4890200</v>
      </c>
      <c r="AW82" s="230">
        <v>7423500</v>
      </c>
      <c r="AX82" s="230">
        <v>-2533300</v>
      </c>
      <c r="AY82" s="229">
        <v>-0.34129999999999999</v>
      </c>
      <c r="AZ82" s="230">
        <v>1057175</v>
      </c>
      <c r="BA82" s="230">
        <v>603925</v>
      </c>
      <c r="BB82" s="230">
        <v>453250</v>
      </c>
      <c r="BC82" s="229">
        <v>0.75049999999999994</v>
      </c>
      <c r="BD82" s="230">
        <v>124950</v>
      </c>
      <c r="BE82" s="230">
        <v>25725</v>
      </c>
      <c r="BF82" s="230">
        <v>99225</v>
      </c>
      <c r="BG82" s="229">
        <v>3.8571</v>
      </c>
      <c r="BH82" s="230">
        <v>18961775</v>
      </c>
      <c r="BI82" s="230">
        <v>29179500</v>
      </c>
      <c r="BJ82" s="230">
        <v>-10217725</v>
      </c>
      <c r="BK82" s="229">
        <v>-0.35020000000000001</v>
      </c>
      <c r="BL82" s="230">
        <v>10811850</v>
      </c>
      <c r="BM82" s="230">
        <v>19711475</v>
      </c>
      <c r="BN82" s="230">
        <v>-8899625</v>
      </c>
      <c r="BO82" s="229">
        <v>-0.45150000000000001</v>
      </c>
      <c r="BP82" s="230">
        <v>35845950</v>
      </c>
      <c r="BQ82" s="230">
        <v>56944125</v>
      </c>
      <c r="BR82" s="230">
        <v>-21098175</v>
      </c>
      <c r="BS82" s="229">
        <v>-0.3705</v>
      </c>
      <c r="BT82" s="230">
        <v>4551961</v>
      </c>
      <c r="BU82" s="230">
        <v>5363060</v>
      </c>
      <c r="BV82" s="230">
        <v>-811099</v>
      </c>
      <c r="BW82" s="229">
        <v>-0.1512</v>
      </c>
      <c r="BX82" s="230">
        <v>36783075</v>
      </c>
      <c r="BY82" s="230">
        <v>36767150</v>
      </c>
      <c r="BZ82" s="230">
        <v>15925</v>
      </c>
      <c r="CA82" s="229">
        <v>4.0000000000000002E-4</v>
      </c>
      <c r="CB82" s="230">
        <v>33306525</v>
      </c>
      <c r="CC82" s="230">
        <v>33415550</v>
      </c>
      <c r="CD82" s="230">
        <v>-109025</v>
      </c>
      <c r="CE82" s="229">
        <v>-3.3E-3</v>
      </c>
      <c r="CF82" s="230">
        <v>2846900</v>
      </c>
      <c r="CG82" s="230">
        <v>2744000</v>
      </c>
      <c r="CH82" s="230">
        <v>102900</v>
      </c>
      <c r="CI82" s="229">
        <v>3.7499999999999999E-2</v>
      </c>
      <c r="CJ82" s="230">
        <v>629650</v>
      </c>
      <c r="CK82" s="230">
        <v>607600</v>
      </c>
      <c r="CL82" s="230">
        <v>22050</v>
      </c>
      <c r="CM82" s="229">
        <v>3.6299999999999999E-2</v>
      </c>
      <c r="CN82" s="230">
        <v>27551475</v>
      </c>
      <c r="CO82" s="230">
        <v>27454700</v>
      </c>
      <c r="CP82" s="230">
        <v>96775</v>
      </c>
      <c r="CQ82" s="229">
        <v>3.5000000000000001E-3</v>
      </c>
      <c r="CR82" s="230">
        <v>15714300</v>
      </c>
      <c r="CS82" s="230">
        <v>15849050</v>
      </c>
      <c r="CT82" s="230">
        <v>-134750</v>
      </c>
      <c r="CU82" s="229">
        <v>-8.5000000000000006E-3</v>
      </c>
      <c r="CV82" s="230">
        <v>80048850</v>
      </c>
      <c r="CW82" s="230">
        <v>80070900</v>
      </c>
      <c r="CX82" s="230">
        <v>-22050</v>
      </c>
      <c r="CY82" s="229">
        <v>-2.9999999999999997E-4</v>
      </c>
      <c r="CZ82" s="228">
        <v>40.86</v>
      </c>
      <c r="DA82" s="228">
        <v>40.270000000000003</v>
      </c>
      <c r="DB82" s="228">
        <v>0.59</v>
      </c>
      <c r="DC82" s="228">
        <v>0.59</v>
      </c>
      <c r="DD82" s="228">
        <v>49.65</v>
      </c>
      <c r="DE82" s="228">
        <v>49.76</v>
      </c>
      <c r="DF82" s="228">
        <v>-8.7899999999999991</v>
      </c>
      <c r="DG82" s="228">
        <v>-0.11</v>
      </c>
      <c r="DH82" s="228">
        <v>40.74</v>
      </c>
      <c r="DI82" s="228">
        <v>40.28</v>
      </c>
      <c r="DJ82" s="228">
        <v>0.46</v>
      </c>
      <c r="DK82" s="228">
        <v>0.46</v>
      </c>
      <c r="DL82" s="228">
        <v>41.06</v>
      </c>
      <c r="DM82" s="228">
        <v>40.24</v>
      </c>
      <c r="DN82" s="228">
        <v>0.82</v>
      </c>
      <c r="DO82" s="228">
        <v>0.82</v>
      </c>
      <c r="DP82" s="228">
        <v>0.56999999999999995</v>
      </c>
      <c r="DQ82" s="228">
        <v>0.57999999999999996</v>
      </c>
      <c r="DR82" s="228">
        <v>-0.01</v>
      </c>
      <c r="DS82" s="229">
        <v>-1.72E-2</v>
      </c>
      <c r="DT82" s="228">
        <v>700</v>
      </c>
      <c r="DU82" s="228">
        <v>600</v>
      </c>
      <c r="DV82" s="228">
        <v>0.56999999999999995</v>
      </c>
      <c r="DW82" s="228">
        <v>0.68</v>
      </c>
      <c r="DX82" s="228">
        <v>-0.11</v>
      </c>
      <c r="DY82" s="229">
        <v>-0.1618</v>
      </c>
      <c r="DZ82" s="229">
        <v>9.4500000000000001E-2</v>
      </c>
      <c r="EA82" s="230">
        <v>3351600</v>
      </c>
      <c r="EB82" s="229">
        <v>6.7000000000000002E-3</v>
      </c>
      <c r="EC82" s="229">
        <v>9.4500000000000001E-2</v>
      </c>
      <c r="ED82" s="228">
        <v>0.23</v>
      </c>
      <c r="EE82" s="229">
        <v>4.0000000000000002E-4</v>
      </c>
      <c r="EF82" s="230">
        <v>1670048</v>
      </c>
      <c r="EG82" s="230">
        <v>1400077</v>
      </c>
      <c r="EH82" s="229">
        <v>0.1928</v>
      </c>
      <c r="EI82" s="229">
        <v>0.3669</v>
      </c>
      <c r="EJ82" s="231">
        <v>119490.62</v>
      </c>
      <c r="EK82" s="231">
        <v>62522.68</v>
      </c>
      <c r="EL82" s="231">
        <v>35138.26</v>
      </c>
      <c r="EM82" s="231">
        <v>6007</v>
      </c>
      <c r="EN82" s="231">
        <v>217151.56</v>
      </c>
      <c r="EO82" s="231">
        <v>349909.02</v>
      </c>
      <c r="EP82" s="231">
        <v>-132757.46</v>
      </c>
      <c r="EQ82" s="229">
        <v>-0.37940000000000002</v>
      </c>
      <c r="ER82" s="231">
        <v>179417</v>
      </c>
      <c r="ES82" s="231">
        <v>92223</v>
      </c>
      <c r="ET82" s="231">
        <v>214846</v>
      </c>
      <c r="EU82" s="231">
        <v>161247058</v>
      </c>
      <c r="EV82" s="231">
        <v>486486</v>
      </c>
      <c r="EW82" s="231">
        <v>488656</v>
      </c>
      <c r="EX82" s="231">
        <v>-2170</v>
      </c>
      <c r="EY82" s="229">
        <v>-4.4000000000000003E-3</v>
      </c>
      <c r="EZ82" s="229">
        <v>0.49640000000000001</v>
      </c>
      <c r="FA82" s="227" t="s">
        <v>567</v>
      </c>
      <c r="FB82" s="161">
        <f t="shared" si="1"/>
        <v>3476550</v>
      </c>
    </row>
    <row r="83" spans="1:158" ht="17.25" thickBot="1" x14ac:dyDescent="0.3">
      <c r="A83" s="226">
        <v>46093</v>
      </c>
      <c r="B83" s="227" t="s">
        <v>206</v>
      </c>
      <c r="C83" s="227" t="s">
        <v>608</v>
      </c>
      <c r="D83" s="228">
        <v>2775</v>
      </c>
      <c r="E83" s="228">
        <v>177.05</v>
      </c>
      <c r="F83" s="228">
        <v>178.01</v>
      </c>
      <c r="G83" s="228">
        <v>-0.96</v>
      </c>
      <c r="H83" s="229">
        <v>-5.4000000000000003E-3</v>
      </c>
      <c r="I83" s="228">
        <v>176.66</v>
      </c>
      <c r="J83" s="228">
        <v>177.56</v>
      </c>
      <c r="K83" s="228">
        <v>-0.9</v>
      </c>
      <c r="L83" s="229">
        <v>-5.1000000000000004E-3</v>
      </c>
      <c r="M83" s="228">
        <v>177.05</v>
      </c>
      <c r="N83" s="228">
        <v>178.01</v>
      </c>
      <c r="O83" s="228">
        <v>-0.96</v>
      </c>
      <c r="P83" s="229">
        <v>-5.4000000000000003E-3</v>
      </c>
      <c r="Q83" s="228">
        <v>177.69</v>
      </c>
      <c r="R83" s="228">
        <v>178.86</v>
      </c>
      <c r="S83" s="228">
        <v>-1.17</v>
      </c>
      <c r="T83" s="229">
        <v>-6.4999999999999997E-3</v>
      </c>
      <c r="U83" s="228">
        <v>0</v>
      </c>
      <c r="V83" s="228">
        <v>0</v>
      </c>
      <c r="W83" s="228">
        <v>0</v>
      </c>
      <c r="X83" s="229">
        <v>0</v>
      </c>
      <c r="Y83" s="228">
        <v>0.39</v>
      </c>
      <c r="Z83" s="228">
        <v>0.45</v>
      </c>
      <c r="AA83" s="228">
        <v>-0.06</v>
      </c>
      <c r="AB83" s="229">
        <v>2.2000000000000001E-3</v>
      </c>
      <c r="AC83" s="228">
        <v>0.39</v>
      </c>
      <c r="AD83" s="228">
        <v>0.45</v>
      </c>
      <c r="AE83" s="228">
        <v>-0.06</v>
      </c>
      <c r="AF83" s="229">
        <v>2.2000000000000001E-3</v>
      </c>
      <c r="AG83" s="228">
        <v>1.03</v>
      </c>
      <c r="AH83" s="228">
        <v>1.3</v>
      </c>
      <c r="AI83" s="228">
        <v>-0.27</v>
      </c>
      <c r="AJ83" s="229">
        <v>5.7999999999999996E-3</v>
      </c>
      <c r="AK83" s="228">
        <v>0</v>
      </c>
      <c r="AL83" s="228">
        <v>0</v>
      </c>
      <c r="AM83" s="228">
        <v>0</v>
      </c>
      <c r="AN83" s="229">
        <v>0</v>
      </c>
      <c r="AO83" s="228">
        <v>177.17</v>
      </c>
      <c r="AP83" s="228">
        <v>178.34</v>
      </c>
      <c r="AQ83" s="228">
        <v>0</v>
      </c>
      <c r="AR83" s="230">
        <v>3565875</v>
      </c>
      <c r="AS83" s="230">
        <v>6027300</v>
      </c>
      <c r="AT83" s="230">
        <v>-2461425</v>
      </c>
      <c r="AU83" s="229">
        <v>-0.40839999999999999</v>
      </c>
      <c r="AV83" s="230">
        <v>3124650</v>
      </c>
      <c r="AW83" s="230">
        <v>5472300</v>
      </c>
      <c r="AX83" s="230">
        <v>-2347650</v>
      </c>
      <c r="AY83" s="229">
        <v>-0.42899999999999999</v>
      </c>
      <c r="AZ83" s="230">
        <v>441225</v>
      </c>
      <c r="BA83" s="230">
        <v>555000</v>
      </c>
      <c r="BB83" s="230">
        <v>-113775</v>
      </c>
      <c r="BC83" s="229">
        <v>-0.20499999999999999</v>
      </c>
      <c r="BD83" s="228">
        <v>0</v>
      </c>
      <c r="BE83" s="228">
        <v>0</v>
      </c>
      <c r="BF83" s="228">
        <v>0</v>
      </c>
      <c r="BG83" s="229">
        <v>0</v>
      </c>
      <c r="BH83" s="230">
        <v>8694075</v>
      </c>
      <c r="BI83" s="230">
        <v>10200900</v>
      </c>
      <c r="BJ83" s="230">
        <v>-1506825</v>
      </c>
      <c r="BK83" s="229">
        <v>-0.1477</v>
      </c>
      <c r="BL83" s="230">
        <v>2455875</v>
      </c>
      <c r="BM83" s="230">
        <v>5500050</v>
      </c>
      <c r="BN83" s="230">
        <v>-3044175</v>
      </c>
      <c r="BO83" s="229">
        <v>-0.55349999999999999</v>
      </c>
      <c r="BP83" s="230">
        <v>14715825</v>
      </c>
      <c r="BQ83" s="230">
        <v>21728250</v>
      </c>
      <c r="BR83" s="230">
        <v>-7012425</v>
      </c>
      <c r="BS83" s="229">
        <v>-0.32269999999999999</v>
      </c>
      <c r="BT83" s="230">
        <v>2753644</v>
      </c>
      <c r="BU83" s="230">
        <v>2615114</v>
      </c>
      <c r="BV83" s="230">
        <v>138530</v>
      </c>
      <c r="BW83" s="229">
        <v>5.2999999999999999E-2</v>
      </c>
      <c r="BX83" s="230">
        <v>39643650</v>
      </c>
      <c r="BY83" s="230">
        <v>39940575</v>
      </c>
      <c r="BZ83" s="230">
        <v>-296925</v>
      </c>
      <c r="CA83" s="229">
        <v>-7.4000000000000003E-3</v>
      </c>
      <c r="CB83" s="230">
        <v>38050800</v>
      </c>
      <c r="CC83" s="230">
        <v>38400450</v>
      </c>
      <c r="CD83" s="230">
        <v>-349650</v>
      </c>
      <c r="CE83" s="229">
        <v>-9.1000000000000004E-3</v>
      </c>
      <c r="CF83" s="230">
        <v>1592850</v>
      </c>
      <c r="CG83" s="230">
        <v>1540125</v>
      </c>
      <c r="CH83" s="230">
        <v>52725</v>
      </c>
      <c r="CI83" s="229">
        <v>3.4200000000000001E-2</v>
      </c>
      <c r="CJ83" s="228">
        <v>0</v>
      </c>
      <c r="CK83" s="228">
        <v>0</v>
      </c>
      <c r="CL83" s="228">
        <v>0</v>
      </c>
      <c r="CM83" s="229">
        <v>0</v>
      </c>
      <c r="CN83" s="230">
        <v>20820825</v>
      </c>
      <c r="CO83" s="230">
        <v>19702500</v>
      </c>
      <c r="CP83" s="230">
        <v>1118325</v>
      </c>
      <c r="CQ83" s="229">
        <v>5.6800000000000003E-2</v>
      </c>
      <c r="CR83" s="230">
        <v>13184025</v>
      </c>
      <c r="CS83" s="230">
        <v>13195125</v>
      </c>
      <c r="CT83" s="230">
        <v>-11100</v>
      </c>
      <c r="CU83" s="229">
        <v>-8.0000000000000004E-4</v>
      </c>
      <c r="CV83" s="230">
        <v>73648500</v>
      </c>
      <c r="CW83" s="230">
        <v>72838200</v>
      </c>
      <c r="CX83" s="230">
        <v>810300</v>
      </c>
      <c r="CY83" s="229">
        <v>1.11E-2</v>
      </c>
      <c r="CZ83" s="228">
        <v>38.68</v>
      </c>
      <c r="DA83" s="228">
        <v>39.4</v>
      </c>
      <c r="DB83" s="228">
        <v>-0.72</v>
      </c>
      <c r="DC83" s="228">
        <v>-0.72</v>
      </c>
      <c r="DD83" s="228">
        <v>48.97</v>
      </c>
      <c r="DE83" s="228">
        <v>49.08</v>
      </c>
      <c r="DF83" s="228">
        <v>-10.29</v>
      </c>
      <c r="DG83" s="228">
        <v>-0.11</v>
      </c>
      <c r="DH83" s="228">
        <v>38.17</v>
      </c>
      <c r="DI83" s="228">
        <v>39.08</v>
      </c>
      <c r="DJ83" s="228">
        <v>-0.91</v>
      </c>
      <c r="DK83" s="228">
        <v>-0.91</v>
      </c>
      <c r="DL83" s="228">
        <v>40.47</v>
      </c>
      <c r="DM83" s="228">
        <v>40</v>
      </c>
      <c r="DN83" s="228">
        <v>0.47</v>
      </c>
      <c r="DO83" s="228">
        <v>0.47</v>
      </c>
      <c r="DP83" s="228">
        <v>0.63</v>
      </c>
      <c r="DQ83" s="228">
        <v>0.67</v>
      </c>
      <c r="DR83" s="228">
        <v>-0.04</v>
      </c>
      <c r="DS83" s="229">
        <v>-5.9700000000000003E-2</v>
      </c>
      <c r="DT83" s="228">
        <v>200</v>
      </c>
      <c r="DU83" s="228">
        <v>175</v>
      </c>
      <c r="DV83" s="228">
        <v>0.28000000000000003</v>
      </c>
      <c r="DW83" s="228">
        <v>0.54</v>
      </c>
      <c r="DX83" s="228">
        <v>-0.26</v>
      </c>
      <c r="DY83" s="229">
        <v>-0.48149999999999998</v>
      </c>
      <c r="DZ83" s="229">
        <v>4.02E-2</v>
      </c>
      <c r="EA83" s="230">
        <v>1540125</v>
      </c>
      <c r="EB83" s="229">
        <v>3.5999999999999999E-3</v>
      </c>
      <c r="EC83" s="229">
        <v>4.02E-2</v>
      </c>
      <c r="ED83" s="228">
        <v>1.17</v>
      </c>
      <c r="EE83" s="229">
        <v>6.6E-3</v>
      </c>
      <c r="EF83" s="230">
        <v>741529</v>
      </c>
      <c r="EG83" s="230">
        <v>801625</v>
      </c>
      <c r="EH83" s="229">
        <v>-7.4999999999999997E-2</v>
      </c>
      <c r="EI83" s="229">
        <v>0.26929999999999998</v>
      </c>
      <c r="EJ83" s="231">
        <v>16517.22</v>
      </c>
      <c r="EK83" s="231">
        <v>4374.26</v>
      </c>
      <c r="EL83" s="231">
        <v>6322.74</v>
      </c>
      <c r="EM83" s="231">
        <v>2049</v>
      </c>
      <c r="EN83" s="231">
        <v>27214.22</v>
      </c>
      <c r="EO83" s="231">
        <v>40504.01</v>
      </c>
      <c r="EP83" s="231">
        <v>-13289.79</v>
      </c>
      <c r="EQ83" s="229">
        <v>-0.3281</v>
      </c>
      <c r="ER83" s="231">
        <v>40994</v>
      </c>
      <c r="ES83" s="231">
        <v>24412</v>
      </c>
      <c r="ET83" s="231">
        <v>70199</v>
      </c>
      <c r="EU83" s="231">
        <v>75071250</v>
      </c>
      <c r="EV83" s="231">
        <v>135606</v>
      </c>
      <c r="EW83" s="231">
        <v>134525</v>
      </c>
      <c r="EX83" s="231">
        <v>1081</v>
      </c>
      <c r="EY83" s="229">
        <v>8.0000000000000002E-3</v>
      </c>
      <c r="EZ83" s="229">
        <v>0.98099999999999998</v>
      </c>
      <c r="FA83" s="227" t="s">
        <v>568</v>
      </c>
      <c r="FB83" s="161">
        <f t="shared" si="1"/>
        <v>1592850</v>
      </c>
    </row>
    <row r="84" spans="1:158" ht="17.25" thickBot="1" x14ac:dyDescent="0.3">
      <c r="A84" s="226">
        <v>46093</v>
      </c>
      <c r="B84" s="227" t="s">
        <v>172</v>
      </c>
      <c r="C84" s="227" t="s">
        <v>232</v>
      </c>
      <c r="D84" s="228">
        <v>700</v>
      </c>
      <c r="E84" s="231">
        <v>1271.5999999999999</v>
      </c>
      <c r="F84" s="231">
        <v>1296.2</v>
      </c>
      <c r="G84" s="228">
        <v>-24.6</v>
      </c>
      <c r="H84" s="229">
        <v>-1.9E-2</v>
      </c>
      <c r="I84" s="231">
        <v>1266.5</v>
      </c>
      <c r="J84" s="231">
        <v>1294.5999999999999</v>
      </c>
      <c r="K84" s="228">
        <v>-28.1</v>
      </c>
      <c r="L84" s="229">
        <v>-2.1700000000000001E-2</v>
      </c>
      <c r="M84" s="231">
        <v>1271.5999999999999</v>
      </c>
      <c r="N84" s="231">
        <v>1296.2</v>
      </c>
      <c r="O84" s="228">
        <v>-24.6</v>
      </c>
      <c r="P84" s="229">
        <v>-1.9E-2</v>
      </c>
      <c r="Q84" s="231">
        <v>1279.5</v>
      </c>
      <c r="R84" s="231">
        <v>1304.4000000000001</v>
      </c>
      <c r="S84" s="228">
        <v>-24.9</v>
      </c>
      <c r="T84" s="229">
        <v>-1.9099999999999999E-2</v>
      </c>
      <c r="U84" s="231">
        <v>1287.3</v>
      </c>
      <c r="V84" s="231">
        <v>1311.4</v>
      </c>
      <c r="W84" s="228">
        <v>-24.1</v>
      </c>
      <c r="X84" s="229">
        <v>-1.84E-2</v>
      </c>
      <c r="Y84" s="228">
        <v>5.0999999999999996</v>
      </c>
      <c r="Z84" s="228">
        <v>1.6</v>
      </c>
      <c r="AA84" s="228">
        <v>3.5</v>
      </c>
      <c r="AB84" s="229">
        <v>4.0000000000000001E-3</v>
      </c>
      <c r="AC84" s="228">
        <v>5.0999999999999996</v>
      </c>
      <c r="AD84" s="228">
        <v>1.6</v>
      </c>
      <c r="AE84" s="228">
        <v>3.5</v>
      </c>
      <c r="AF84" s="229">
        <v>4.0000000000000001E-3</v>
      </c>
      <c r="AG84" s="228">
        <v>13</v>
      </c>
      <c r="AH84" s="228">
        <v>9.8000000000000007</v>
      </c>
      <c r="AI84" s="228">
        <v>3.2</v>
      </c>
      <c r="AJ84" s="229">
        <v>1.03E-2</v>
      </c>
      <c r="AK84" s="228">
        <v>20.8</v>
      </c>
      <c r="AL84" s="228">
        <v>16.8</v>
      </c>
      <c r="AM84" s="228">
        <v>4</v>
      </c>
      <c r="AN84" s="229">
        <v>1.6400000000000001E-2</v>
      </c>
      <c r="AO84" s="231">
        <v>1274.8599999999999</v>
      </c>
      <c r="AP84" s="231">
        <v>1283.9100000000001</v>
      </c>
      <c r="AQ84" s="228">
        <v>0</v>
      </c>
      <c r="AR84" s="230">
        <v>19327700</v>
      </c>
      <c r="AS84" s="230">
        <v>14452900</v>
      </c>
      <c r="AT84" s="230">
        <v>4874800</v>
      </c>
      <c r="AU84" s="229">
        <v>0.33729999999999999</v>
      </c>
      <c r="AV84" s="230">
        <v>16697100</v>
      </c>
      <c r="AW84" s="230">
        <v>13046600</v>
      </c>
      <c r="AX84" s="230">
        <v>3650500</v>
      </c>
      <c r="AY84" s="229">
        <v>0.27979999999999999</v>
      </c>
      <c r="AZ84" s="230">
        <v>2511600</v>
      </c>
      <c r="BA84" s="230">
        <v>1265600</v>
      </c>
      <c r="BB84" s="230">
        <v>1246000</v>
      </c>
      <c r="BC84" s="229">
        <v>0.98450000000000004</v>
      </c>
      <c r="BD84" s="230">
        <v>119000</v>
      </c>
      <c r="BE84" s="230">
        <v>140700</v>
      </c>
      <c r="BF84" s="230">
        <v>-21700</v>
      </c>
      <c r="BG84" s="229">
        <v>-0.1542</v>
      </c>
      <c r="BH84" s="230">
        <v>47192600</v>
      </c>
      <c r="BI84" s="230">
        <v>35956200</v>
      </c>
      <c r="BJ84" s="230">
        <v>11236400</v>
      </c>
      <c r="BK84" s="229">
        <v>0.3125</v>
      </c>
      <c r="BL84" s="230">
        <v>25583600</v>
      </c>
      <c r="BM84" s="230">
        <v>24364200</v>
      </c>
      <c r="BN84" s="230">
        <v>1219400</v>
      </c>
      <c r="BO84" s="229">
        <v>0.05</v>
      </c>
      <c r="BP84" s="230">
        <v>92103900</v>
      </c>
      <c r="BQ84" s="230">
        <v>74773300</v>
      </c>
      <c r="BR84" s="230">
        <v>17330600</v>
      </c>
      <c r="BS84" s="229">
        <v>0.23180000000000001</v>
      </c>
      <c r="BT84" s="230">
        <v>20954757</v>
      </c>
      <c r="BU84" s="230">
        <v>13784412</v>
      </c>
      <c r="BV84" s="230">
        <v>7170345</v>
      </c>
      <c r="BW84" s="229">
        <v>0.5202</v>
      </c>
      <c r="BX84" s="230">
        <v>131178600</v>
      </c>
      <c r="BY84" s="230">
        <v>127845900</v>
      </c>
      <c r="BZ84" s="230">
        <v>3332700</v>
      </c>
      <c r="CA84" s="229">
        <v>2.6100000000000002E-2</v>
      </c>
      <c r="CB84" s="230">
        <v>120179500</v>
      </c>
      <c r="CC84" s="230">
        <v>117513900</v>
      </c>
      <c r="CD84" s="230">
        <v>2665600</v>
      </c>
      <c r="CE84" s="229">
        <v>2.2700000000000001E-2</v>
      </c>
      <c r="CF84" s="230">
        <v>9992500</v>
      </c>
      <c r="CG84" s="230">
        <v>9354100</v>
      </c>
      <c r="CH84" s="230">
        <v>638400</v>
      </c>
      <c r="CI84" s="229">
        <v>6.8199999999999997E-2</v>
      </c>
      <c r="CJ84" s="230">
        <v>1006600</v>
      </c>
      <c r="CK84" s="230">
        <v>977900</v>
      </c>
      <c r="CL84" s="230">
        <v>28700</v>
      </c>
      <c r="CM84" s="229">
        <v>2.93E-2</v>
      </c>
      <c r="CN84" s="230">
        <v>34589100</v>
      </c>
      <c r="CO84" s="230">
        <v>33409600</v>
      </c>
      <c r="CP84" s="230">
        <v>1179500</v>
      </c>
      <c r="CQ84" s="229">
        <v>3.5299999999999998E-2</v>
      </c>
      <c r="CR84" s="230">
        <v>20379100</v>
      </c>
      <c r="CS84" s="230">
        <v>20462400</v>
      </c>
      <c r="CT84" s="230">
        <v>-83300</v>
      </c>
      <c r="CU84" s="229">
        <v>-4.1000000000000003E-3</v>
      </c>
      <c r="CV84" s="230">
        <v>186146800</v>
      </c>
      <c r="CW84" s="230">
        <v>181717900</v>
      </c>
      <c r="CX84" s="230">
        <v>4428900</v>
      </c>
      <c r="CY84" s="229">
        <v>2.4400000000000002E-2</v>
      </c>
      <c r="CZ84" s="228">
        <v>25.39</v>
      </c>
      <c r="DA84" s="228">
        <v>24.61</v>
      </c>
      <c r="DB84" s="228">
        <v>0.78</v>
      </c>
      <c r="DC84" s="228">
        <v>0.78</v>
      </c>
      <c r="DD84" s="228">
        <v>21.93</v>
      </c>
      <c r="DE84" s="228">
        <v>21.78</v>
      </c>
      <c r="DF84" s="228">
        <v>3.46</v>
      </c>
      <c r="DG84" s="228">
        <v>0.15</v>
      </c>
      <c r="DH84" s="228">
        <v>24.86</v>
      </c>
      <c r="DI84" s="228">
        <v>23.79</v>
      </c>
      <c r="DJ84" s="228">
        <v>1.07</v>
      </c>
      <c r="DK84" s="228">
        <v>1.07</v>
      </c>
      <c r="DL84" s="228">
        <v>26.38</v>
      </c>
      <c r="DM84" s="228">
        <v>25.83</v>
      </c>
      <c r="DN84" s="228">
        <v>0.55000000000000004</v>
      </c>
      <c r="DO84" s="228">
        <v>0.55000000000000004</v>
      </c>
      <c r="DP84" s="228">
        <v>0.59</v>
      </c>
      <c r="DQ84" s="228">
        <v>0.61</v>
      </c>
      <c r="DR84" s="228">
        <v>-0.02</v>
      </c>
      <c r="DS84" s="229">
        <v>-3.2800000000000003E-2</v>
      </c>
      <c r="DT84" s="231">
        <v>1400</v>
      </c>
      <c r="DU84" s="231">
        <v>1400</v>
      </c>
      <c r="DV84" s="228">
        <v>0.54</v>
      </c>
      <c r="DW84" s="228">
        <v>0.68</v>
      </c>
      <c r="DX84" s="228">
        <v>-0.14000000000000001</v>
      </c>
      <c r="DY84" s="229">
        <v>-0.2059</v>
      </c>
      <c r="DZ84" s="229">
        <v>8.3799999999999999E-2</v>
      </c>
      <c r="EA84" s="230">
        <v>10332000</v>
      </c>
      <c r="EB84" s="229">
        <v>6.1999999999999998E-3</v>
      </c>
      <c r="EC84" s="229">
        <v>8.3799999999999999E-2</v>
      </c>
      <c r="ED84" s="228">
        <v>9.0500000000000007</v>
      </c>
      <c r="EE84" s="229">
        <v>7.1000000000000004E-3</v>
      </c>
      <c r="EF84" s="230">
        <v>10928595</v>
      </c>
      <c r="EG84" s="230">
        <v>7312230</v>
      </c>
      <c r="EH84" s="229">
        <v>0.49459999999999998</v>
      </c>
      <c r="EI84" s="229">
        <v>0.52149999999999996</v>
      </c>
      <c r="EJ84" s="231">
        <v>632876.22</v>
      </c>
      <c r="EK84" s="231">
        <v>325222.96000000002</v>
      </c>
      <c r="EL84" s="231">
        <v>246647.69</v>
      </c>
      <c r="EM84" s="231">
        <v>28734</v>
      </c>
      <c r="EN84" s="231">
        <v>1204746.8700000001</v>
      </c>
      <c r="EO84" s="231">
        <v>990267.82</v>
      </c>
      <c r="EP84" s="231">
        <v>214479.05</v>
      </c>
      <c r="EQ84" s="229">
        <v>0.21659999999999999</v>
      </c>
      <c r="ER84" s="231">
        <v>474596</v>
      </c>
      <c r="ES84" s="231">
        <v>268043</v>
      </c>
      <c r="ET84" s="231">
        <v>1669015</v>
      </c>
      <c r="EU84" s="231">
        <v>580601807</v>
      </c>
      <c r="EV84" s="231">
        <v>2411653</v>
      </c>
      <c r="EW84" s="231">
        <v>2389245</v>
      </c>
      <c r="EX84" s="231">
        <v>22408</v>
      </c>
      <c r="EY84" s="229">
        <v>9.4000000000000004E-3</v>
      </c>
      <c r="EZ84" s="229">
        <v>0.3206</v>
      </c>
      <c r="FA84" s="227" t="s">
        <v>567</v>
      </c>
      <c r="FB84" s="161">
        <f t="shared" si="1"/>
        <v>10999100</v>
      </c>
    </row>
    <row r="85" spans="1:158" ht="17.25" thickBot="1" x14ac:dyDescent="0.3">
      <c r="A85" s="226">
        <v>46093</v>
      </c>
      <c r="B85" s="227" t="s">
        <v>175</v>
      </c>
      <c r="C85" s="227" t="s">
        <v>472</v>
      </c>
      <c r="D85" s="228">
        <v>325</v>
      </c>
      <c r="E85" s="231">
        <v>1856.2</v>
      </c>
      <c r="F85" s="231">
        <v>1882.7</v>
      </c>
      <c r="G85" s="228">
        <v>-26.5</v>
      </c>
      <c r="H85" s="229">
        <v>-1.41E-2</v>
      </c>
      <c r="I85" s="231">
        <v>1855.3</v>
      </c>
      <c r="J85" s="231">
        <v>1875.2</v>
      </c>
      <c r="K85" s="228">
        <v>-19.899999999999999</v>
      </c>
      <c r="L85" s="229">
        <v>-1.06E-2</v>
      </c>
      <c r="M85" s="231">
        <v>1856.2</v>
      </c>
      <c r="N85" s="231">
        <v>1882.7</v>
      </c>
      <c r="O85" s="228">
        <v>-26.5</v>
      </c>
      <c r="P85" s="229">
        <v>-1.41E-2</v>
      </c>
      <c r="Q85" s="231">
        <v>1864.1</v>
      </c>
      <c r="R85" s="231">
        <v>1890.8</v>
      </c>
      <c r="S85" s="228">
        <v>-26.7</v>
      </c>
      <c r="T85" s="229">
        <v>-1.41E-2</v>
      </c>
      <c r="U85" s="231">
        <v>1870</v>
      </c>
      <c r="V85" s="231">
        <v>1892</v>
      </c>
      <c r="W85" s="228">
        <v>-22</v>
      </c>
      <c r="X85" s="229">
        <v>-1.1599999999999999E-2</v>
      </c>
      <c r="Y85" s="228">
        <v>0.9</v>
      </c>
      <c r="Z85" s="228">
        <v>7.5</v>
      </c>
      <c r="AA85" s="228">
        <v>-6.6</v>
      </c>
      <c r="AB85" s="229">
        <v>5.0000000000000001E-4</v>
      </c>
      <c r="AC85" s="228">
        <v>0.9</v>
      </c>
      <c r="AD85" s="228">
        <v>7.5</v>
      </c>
      <c r="AE85" s="228">
        <v>-6.6</v>
      </c>
      <c r="AF85" s="229">
        <v>5.0000000000000001E-4</v>
      </c>
      <c r="AG85" s="228">
        <v>8.8000000000000007</v>
      </c>
      <c r="AH85" s="228">
        <v>15.6</v>
      </c>
      <c r="AI85" s="228">
        <v>-6.8</v>
      </c>
      <c r="AJ85" s="229">
        <v>4.7000000000000002E-3</v>
      </c>
      <c r="AK85" s="228">
        <v>14.7</v>
      </c>
      <c r="AL85" s="228">
        <v>16.8</v>
      </c>
      <c r="AM85" s="228">
        <v>-2.1</v>
      </c>
      <c r="AN85" s="229">
        <v>7.9000000000000008E-3</v>
      </c>
      <c r="AO85" s="231">
        <v>1856.14</v>
      </c>
      <c r="AP85" s="231">
        <v>1862.25</v>
      </c>
      <c r="AQ85" s="228">
        <v>0</v>
      </c>
      <c r="AR85" s="230">
        <v>552500</v>
      </c>
      <c r="AS85" s="230">
        <v>985725</v>
      </c>
      <c r="AT85" s="230">
        <v>-433225</v>
      </c>
      <c r="AU85" s="229">
        <v>-0.4395</v>
      </c>
      <c r="AV85" s="230">
        <v>547625</v>
      </c>
      <c r="AW85" s="230">
        <v>976950</v>
      </c>
      <c r="AX85" s="230">
        <v>-429325</v>
      </c>
      <c r="AY85" s="229">
        <v>-0.4395</v>
      </c>
      <c r="AZ85" s="230">
        <v>4225</v>
      </c>
      <c r="BA85" s="230">
        <v>8450</v>
      </c>
      <c r="BB85" s="230">
        <v>-4225</v>
      </c>
      <c r="BC85" s="229">
        <v>-0.5</v>
      </c>
      <c r="BD85" s="228">
        <v>650</v>
      </c>
      <c r="BE85" s="228">
        <v>325</v>
      </c>
      <c r="BF85" s="228">
        <v>325</v>
      </c>
      <c r="BG85" s="229">
        <v>1</v>
      </c>
      <c r="BH85" s="230">
        <v>1254825</v>
      </c>
      <c r="BI85" s="230">
        <v>1288950</v>
      </c>
      <c r="BJ85" s="230">
        <v>-34125</v>
      </c>
      <c r="BK85" s="229">
        <v>-2.6499999999999999E-2</v>
      </c>
      <c r="BL85" s="230">
        <v>448175</v>
      </c>
      <c r="BM85" s="230">
        <v>836225</v>
      </c>
      <c r="BN85" s="230">
        <v>-388050</v>
      </c>
      <c r="BO85" s="229">
        <v>-0.46400000000000002</v>
      </c>
      <c r="BP85" s="230">
        <v>2255500</v>
      </c>
      <c r="BQ85" s="230">
        <v>3110900</v>
      </c>
      <c r="BR85" s="230">
        <v>-855400</v>
      </c>
      <c r="BS85" s="229">
        <v>-0.27500000000000002</v>
      </c>
      <c r="BT85" s="230">
        <v>620908</v>
      </c>
      <c r="BU85" s="230">
        <v>782957</v>
      </c>
      <c r="BV85" s="230">
        <v>-162049</v>
      </c>
      <c r="BW85" s="229">
        <v>-0.20699999999999999</v>
      </c>
      <c r="BX85" s="230">
        <v>4821700</v>
      </c>
      <c r="BY85" s="230">
        <v>4784650</v>
      </c>
      <c r="BZ85" s="230">
        <v>37050</v>
      </c>
      <c r="CA85" s="229">
        <v>7.7000000000000002E-3</v>
      </c>
      <c r="CB85" s="230">
        <v>4801550</v>
      </c>
      <c r="CC85" s="230">
        <v>4765150</v>
      </c>
      <c r="CD85" s="230">
        <v>36400</v>
      </c>
      <c r="CE85" s="229">
        <v>7.6E-3</v>
      </c>
      <c r="CF85" s="230">
        <v>19500</v>
      </c>
      <c r="CG85" s="230">
        <v>19175</v>
      </c>
      <c r="CH85" s="228">
        <v>325</v>
      </c>
      <c r="CI85" s="229">
        <v>1.6899999999999998E-2</v>
      </c>
      <c r="CJ85" s="228">
        <v>650</v>
      </c>
      <c r="CK85" s="228">
        <v>325</v>
      </c>
      <c r="CL85" s="228">
        <v>325</v>
      </c>
      <c r="CM85" s="229">
        <v>1</v>
      </c>
      <c r="CN85" s="230">
        <v>1263275</v>
      </c>
      <c r="CO85" s="230">
        <v>1077375</v>
      </c>
      <c r="CP85" s="230">
        <v>185900</v>
      </c>
      <c r="CQ85" s="229">
        <v>0.17249999999999999</v>
      </c>
      <c r="CR85" s="230">
        <v>674700</v>
      </c>
      <c r="CS85" s="230">
        <v>679900</v>
      </c>
      <c r="CT85" s="230">
        <v>-5200</v>
      </c>
      <c r="CU85" s="229">
        <v>-7.6E-3</v>
      </c>
      <c r="CV85" s="230">
        <v>6759675</v>
      </c>
      <c r="CW85" s="230">
        <v>6541925</v>
      </c>
      <c r="CX85" s="230">
        <v>217750</v>
      </c>
      <c r="CY85" s="229">
        <v>3.3300000000000003E-2</v>
      </c>
      <c r="CZ85" s="228">
        <v>22.45</v>
      </c>
      <c r="DA85" s="228">
        <v>23.63</v>
      </c>
      <c r="DB85" s="228">
        <v>-1.18</v>
      </c>
      <c r="DC85" s="228">
        <v>-1.18</v>
      </c>
      <c r="DD85" s="228">
        <v>26.73</v>
      </c>
      <c r="DE85" s="228">
        <v>26.76</v>
      </c>
      <c r="DF85" s="228">
        <v>-4.28</v>
      </c>
      <c r="DG85" s="228">
        <v>-0.03</v>
      </c>
      <c r="DH85" s="228">
        <v>22.06</v>
      </c>
      <c r="DI85" s="228">
        <v>23.06</v>
      </c>
      <c r="DJ85" s="228">
        <v>-1</v>
      </c>
      <c r="DK85" s="228">
        <v>-1</v>
      </c>
      <c r="DL85" s="228">
        <v>23.53</v>
      </c>
      <c r="DM85" s="228">
        <v>24.51</v>
      </c>
      <c r="DN85" s="228">
        <v>-0.98</v>
      </c>
      <c r="DO85" s="228">
        <v>-0.98</v>
      </c>
      <c r="DP85" s="228">
        <v>0.53</v>
      </c>
      <c r="DQ85" s="228">
        <v>0.63</v>
      </c>
      <c r="DR85" s="228">
        <v>-0.1</v>
      </c>
      <c r="DS85" s="229">
        <v>-0.15870000000000001</v>
      </c>
      <c r="DT85" s="231">
        <v>1900</v>
      </c>
      <c r="DU85" s="231">
        <v>1900</v>
      </c>
      <c r="DV85" s="228">
        <v>0.36</v>
      </c>
      <c r="DW85" s="228">
        <v>0.65</v>
      </c>
      <c r="DX85" s="228">
        <v>-0.28999999999999998</v>
      </c>
      <c r="DY85" s="229">
        <v>-0.44619999999999999</v>
      </c>
      <c r="DZ85" s="229">
        <v>4.1999999999999997E-3</v>
      </c>
      <c r="EA85" s="230">
        <v>19500</v>
      </c>
      <c r="EB85" s="229">
        <v>4.3E-3</v>
      </c>
      <c r="EC85" s="229">
        <v>4.1999999999999997E-3</v>
      </c>
      <c r="ED85" s="228">
        <v>6.11</v>
      </c>
      <c r="EE85" s="229">
        <v>3.3E-3</v>
      </c>
      <c r="EF85" s="230">
        <v>407211</v>
      </c>
      <c r="EG85" s="230">
        <v>520492</v>
      </c>
      <c r="EH85" s="229">
        <v>-0.21759999999999999</v>
      </c>
      <c r="EI85" s="229">
        <v>0.65580000000000005</v>
      </c>
      <c r="EJ85" s="231">
        <v>24486.720000000001</v>
      </c>
      <c r="EK85" s="231">
        <v>8280.34</v>
      </c>
      <c r="EL85" s="231">
        <v>10255.549999999999</v>
      </c>
      <c r="EM85" s="231">
        <v>1956</v>
      </c>
      <c r="EN85" s="231">
        <v>43022.61</v>
      </c>
      <c r="EO85" s="231">
        <v>59717.3</v>
      </c>
      <c r="EP85" s="231">
        <v>-16694.689999999999</v>
      </c>
      <c r="EQ85" s="229">
        <v>-0.27960000000000002</v>
      </c>
      <c r="ER85" s="231">
        <v>24705</v>
      </c>
      <c r="ES85" s="231">
        <v>12427</v>
      </c>
      <c r="ET85" s="231">
        <v>89502</v>
      </c>
      <c r="EU85" s="231">
        <v>28747897</v>
      </c>
      <c r="EV85" s="231">
        <v>126635</v>
      </c>
      <c r="EW85" s="231">
        <v>123814</v>
      </c>
      <c r="EX85" s="231">
        <v>2821</v>
      </c>
      <c r="EY85" s="229">
        <v>2.2800000000000001E-2</v>
      </c>
      <c r="EZ85" s="229">
        <v>0.2351</v>
      </c>
      <c r="FA85" s="227" t="s">
        <v>567</v>
      </c>
      <c r="FB85" s="161">
        <f t="shared" si="1"/>
        <v>20150</v>
      </c>
    </row>
    <row r="86" spans="1:158" ht="17.25" thickBot="1" x14ac:dyDescent="0.3">
      <c r="A86" s="226">
        <v>46093</v>
      </c>
      <c r="B86" s="227" t="s">
        <v>175</v>
      </c>
      <c r="C86" s="227" t="s">
        <v>233</v>
      </c>
      <c r="D86" s="228">
        <v>925</v>
      </c>
      <c r="E86" s="228">
        <v>594.20000000000005</v>
      </c>
      <c r="F86" s="228">
        <v>598.04999999999995</v>
      </c>
      <c r="G86" s="228">
        <v>-3.85</v>
      </c>
      <c r="H86" s="229">
        <v>-6.4000000000000003E-3</v>
      </c>
      <c r="I86" s="228">
        <v>592.95000000000005</v>
      </c>
      <c r="J86" s="228">
        <v>598.5</v>
      </c>
      <c r="K86" s="228">
        <v>-5.55</v>
      </c>
      <c r="L86" s="229">
        <v>-9.2999999999999992E-3</v>
      </c>
      <c r="M86" s="228">
        <v>594.20000000000005</v>
      </c>
      <c r="N86" s="228">
        <v>598.04999999999995</v>
      </c>
      <c r="O86" s="228">
        <v>-3.85</v>
      </c>
      <c r="P86" s="229">
        <v>-6.4000000000000003E-3</v>
      </c>
      <c r="Q86" s="228">
        <v>598.35</v>
      </c>
      <c r="R86" s="228">
        <v>601.6</v>
      </c>
      <c r="S86" s="228">
        <v>-3.25</v>
      </c>
      <c r="T86" s="229">
        <v>-5.4000000000000003E-3</v>
      </c>
      <c r="U86" s="228">
        <v>594.20000000000005</v>
      </c>
      <c r="V86" s="228">
        <v>610.9</v>
      </c>
      <c r="W86" s="228">
        <v>-16.7</v>
      </c>
      <c r="X86" s="229">
        <v>-2.7300000000000001E-2</v>
      </c>
      <c r="Y86" s="228">
        <v>1.25</v>
      </c>
      <c r="Z86" s="228">
        <v>-0.45</v>
      </c>
      <c r="AA86" s="228">
        <v>1.7</v>
      </c>
      <c r="AB86" s="229">
        <v>2.0999999999999999E-3</v>
      </c>
      <c r="AC86" s="228">
        <v>1.25</v>
      </c>
      <c r="AD86" s="228">
        <v>-0.45</v>
      </c>
      <c r="AE86" s="228">
        <v>1.7</v>
      </c>
      <c r="AF86" s="229">
        <v>2.0999999999999999E-3</v>
      </c>
      <c r="AG86" s="228">
        <v>5.4</v>
      </c>
      <c r="AH86" s="228">
        <v>3.1</v>
      </c>
      <c r="AI86" s="228">
        <v>2.2999999999999998</v>
      </c>
      <c r="AJ86" s="229">
        <v>9.1000000000000004E-3</v>
      </c>
      <c r="AK86" s="228">
        <v>1.25</v>
      </c>
      <c r="AL86" s="228">
        <v>12.4</v>
      </c>
      <c r="AM86" s="228">
        <v>-11.15</v>
      </c>
      <c r="AN86" s="229">
        <v>2.0999999999999999E-3</v>
      </c>
      <c r="AO86" s="228">
        <v>592.27</v>
      </c>
      <c r="AP86" s="228">
        <v>593.78</v>
      </c>
      <c r="AQ86" s="228">
        <v>0</v>
      </c>
      <c r="AR86" s="230">
        <v>1122025</v>
      </c>
      <c r="AS86" s="230">
        <v>2011875</v>
      </c>
      <c r="AT86" s="230">
        <v>-889850</v>
      </c>
      <c r="AU86" s="229">
        <v>-0.44230000000000003</v>
      </c>
      <c r="AV86" s="230">
        <v>1095200</v>
      </c>
      <c r="AW86" s="230">
        <v>1989675</v>
      </c>
      <c r="AX86" s="230">
        <v>-894475</v>
      </c>
      <c r="AY86" s="229">
        <v>-0.4496</v>
      </c>
      <c r="AZ86" s="230">
        <v>25900</v>
      </c>
      <c r="BA86" s="230">
        <v>22200</v>
      </c>
      <c r="BB86" s="230">
        <v>3700</v>
      </c>
      <c r="BC86" s="229">
        <v>0.16669999999999999</v>
      </c>
      <c r="BD86" s="228">
        <v>925</v>
      </c>
      <c r="BE86" s="228">
        <v>0</v>
      </c>
      <c r="BF86" s="228">
        <v>925</v>
      </c>
      <c r="BG86" s="229">
        <v>0</v>
      </c>
      <c r="BH86" s="230">
        <v>1589150</v>
      </c>
      <c r="BI86" s="230">
        <v>1022125</v>
      </c>
      <c r="BJ86" s="230">
        <v>567025</v>
      </c>
      <c r="BK86" s="229">
        <v>0.55479999999999996</v>
      </c>
      <c r="BL86" s="230">
        <v>1360675</v>
      </c>
      <c r="BM86" s="230">
        <v>669700</v>
      </c>
      <c r="BN86" s="230">
        <v>690975</v>
      </c>
      <c r="BO86" s="229">
        <v>1.0318000000000001</v>
      </c>
      <c r="BP86" s="230">
        <v>4071850</v>
      </c>
      <c r="BQ86" s="230">
        <v>3703700</v>
      </c>
      <c r="BR86" s="230">
        <v>368150</v>
      </c>
      <c r="BS86" s="229">
        <v>9.9400000000000002E-2</v>
      </c>
      <c r="BT86" s="230">
        <v>960735</v>
      </c>
      <c r="BU86" s="230">
        <v>1308239</v>
      </c>
      <c r="BV86" s="230">
        <v>-347504</v>
      </c>
      <c r="BW86" s="229">
        <v>-0.2656</v>
      </c>
      <c r="BX86" s="230">
        <v>16909000</v>
      </c>
      <c r="BY86" s="230">
        <v>16971900</v>
      </c>
      <c r="BZ86" s="230">
        <v>-62900</v>
      </c>
      <c r="CA86" s="229">
        <v>-3.7000000000000002E-3</v>
      </c>
      <c r="CB86" s="230">
        <v>16820200</v>
      </c>
      <c r="CC86" s="230">
        <v>16877550</v>
      </c>
      <c r="CD86" s="230">
        <v>-57350</v>
      </c>
      <c r="CE86" s="229">
        <v>-3.3999999999999998E-3</v>
      </c>
      <c r="CF86" s="230">
        <v>85100</v>
      </c>
      <c r="CG86" s="230">
        <v>89725</v>
      </c>
      <c r="CH86" s="230">
        <v>-4625</v>
      </c>
      <c r="CI86" s="229">
        <v>-5.1499999999999997E-2</v>
      </c>
      <c r="CJ86" s="230">
        <v>3700</v>
      </c>
      <c r="CK86" s="230">
        <v>4625</v>
      </c>
      <c r="CL86" s="228">
        <v>-925</v>
      </c>
      <c r="CM86" s="229">
        <v>-0.2</v>
      </c>
      <c r="CN86" s="230">
        <v>3449325</v>
      </c>
      <c r="CO86" s="230">
        <v>3242125</v>
      </c>
      <c r="CP86" s="230">
        <v>207200</v>
      </c>
      <c r="CQ86" s="229">
        <v>6.3899999999999998E-2</v>
      </c>
      <c r="CR86" s="230">
        <v>2394825</v>
      </c>
      <c r="CS86" s="230">
        <v>2376325</v>
      </c>
      <c r="CT86" s="230">
        <v>18500</v>
      </c>
      <c r="CU86" s="229">
        <v>7.7999999999999996E-3</v>
      </c>
      <c r="CV86" s="230">
        <v>22753150</v>
      </c>
      <c r="CW86" s="230">
        <v>22590350</v>
      </c>
      <c r="CX86" s="230">
        <v>162800</v>
      </c>
      <c r="CY86" s="229">
        <v>7.1999999999999998E-3</v>
      </c>
      <c r="CZ86" s="228">
        <v>29.94</v>
      </c>
      <c r="DA86" s="228">
        <v>30.73</v>
      </c>
      <c r="DB86" s="228">
        <v>-0.79</v>
      </c>
      <c r="DC86" s="228">
        <v>-0.79</v>
      </c>
      <c r="DD86" s="228">
        <v>27</v>
      </c>
      <c r="DE86" s="228">
        <v>27.06</v>
      </c>
      <c r="DF86" s="228">
        <v>2.94</v>
      </c>
      <c r="DG86" s="228">
        <v>-0.06</v>
      </c>
      <c r="DH86" s="228">
        <v>28.71</v>
      </c>
      <c r="DI86" s="228">
        <v>28.98</v>
      </c>
      <c r="DJ86" s="228">
        <v>-0.27</v>
      </c>
      <c r="DK86" s="228">
        <v>-0.27</v>
      </c>
      <c r="DL86" s="228">
        <v>31.39</v>
      </c>
      <c r="DM86" s="228">
        <v>33.409999999999997</v>
      </c>
      <c r="DN86" s="228">
        <v>-2.02</v>
      </c>
      <c r="DO86" s="228">
        <v>-2.02</v>
      </c>
      <c r="DP86" s="228">
        <v>0.69</v>
      </c>
      <c r="DQ86" s="228">
        <v>0.73</v>
      </c>
      <c r="DR86" s="228">
        <v>-0.04</v>
      </c>
      <c r="DS86" s="229">
        <v>-5.4800000000000001E-2</v>
      </c>
      <c r="DT86" s="228">
        <v>680</v>
      </c>
      <c r="DU86" s="228">
        <v>630</v>
      </c>
      <c r="DV86" s="228">
        <v>0.86</v>
      </c>
      <c r="DW86" s="228">
        <v>0.66</v>
      </c>
      <c r="DX86" s="228">
        <v>0.2</v>
      </c>
      <c r="DY86" s="229">
        <v>0.30299999999999999</v>
      </c>
      <c r="DZ86" s="229">
        <v>5.3E-3</v>
      </c>
      <c r="EA86" s="230">
        <v>94350</v>
      </c>
      <c r="EB86" s="229">
        <v>7.0000000000000001E-3</v>
      </c>
      <c r="EC86" s="229">
        <v>5.3E-3</v>
      </c>
      <c r="ED86" s="228">
        <v>1.51</v>
      </c>
      <c r="EE86" s="229">
        <v>2.5000000000000001E-3</v>
      </c>
      <c r="EF86" s="230">
        <v>603901</v>
      </c>
      <c r="EG86" s="230">
        <v>895184</v>
      </c>
      <c r="EH86" s="229">
        <v>-0.32540000000000002</v>
      </c>
      <c r="EI86" s="229">
        <v>0.62860000000000005</v>
      </c>
      <c r="EJ86" s="231">
        <v>10040.209999999999</v>
      </c>
      <c r="EK86" s="231">
        <v>8128.39</v>
      </c>
      <c r="EL86" s="231">
        <v>6645.88</v>
      </c>
      <c r="EM86" s="231">
        <v>2438</v>
      </c>
      <c r="EN86" s="231">
        <v>24814.48</v>
      </c>
      <c r="EO86" s="231">
        <v>22566.87</v>
      </c>
      <c r="EP86" s="231">
        <v>2247.61</v>
      </c>
      <c r="EQ86" s="229">
        <v>9.9599999999999994E-2</v>
      </c>
      <c r="ER86" s="231">
        <v>22835</v>
      </c>
      <c r="ES86" s="231">
        <v>14694</v>
      </c>
      <c r="ET86" s="231">
        <v>100477</v>
      </c>
      <c r="EU86" s="231">
        <v>58746582</v>
      </c>
      <c r="EV86" s="231">
        <v>138006</v>
      </c>
      <c r="EW86" s="231">
        <v>137699</v>
      </c>
      <c r="EX86" s="228">
        <v>307</v>
      </c>
      <c r="EY86" s="229">
        <v>2.2000000000000001E-3</v>
      </c>
      <c r="EZ86" s="229">
        <v>0.38729999999999998</v>
      </c>
      <c r="FA86" s="227" t="s">
        <v>568</v>
      </c>
      <c r="FB86" s="161">
        <f t="shared" si="1"/>
        <v>88800</v>
      </c>
    </row>
    <row r="87" spans="1:158" ht="17.25" thickBot="1" x14ac:dyDescent="0.3">
      <c r="A87" s="226">
        <v>46093</v>
      </c>
      <c r="B87" s="227" t="s">
        <v>188</v>
      </c>
      <c r="C87" s="227" t="s">
        <v>234</v>
      </c>
      <c r="D87" s="228">
        <v>71475</v>
      </c>
      <c r="E87" s="228">
        <v>9.6</v>
      </c>
      <c r="F87" s="228">
        <v>9.7200000000000006</v>
      </c>
      <c r="G87" s="228">
        <v>-0.12</v>
      </c>
      <c r="H87" s="229">
        <v>-1.23E-2</v>
      </c>
      <c r="I87" s="228">
        <v>9.56</v>
      </c>
      <c r="J87" s="228">
        <v>9.7100000000000009</v>
      </c>
      <c r="K87" s="228">
        <v>-0.15</v>
      </c>
      <c r="L87" s="229">
        <v>-1.54E-2</v>
      </c>
      <c r="M87" s="228">
        <v>9.6</v>
      </c>
      <c r="N87" s="228">
        <v>9.7200000000000006</v>
      </c>
      <c r="O87" s="228">
        <v>-0.12</v>
      </c>
      <c r="P87" s="229">
        <v>-1.23E-2</v>
      </c>
      <c r="Q87" s="228">
        <v>9.67</v>
      </c>
      <c r="R87" s="228">
        <v>9.81</v>
      </c>
      <c r="S87" s="228">
        <v>-0.14000000000000001</v>
      </c>
      <c r="T87" s="229">
        <v>-1.43E-2</v>
      </c>
      <c r="U87" s="228">
        <v>9.73</v>
      </c>
      <c r="V87" s="228">
        <v>9.8699999999999992</v>
      </c>
      <c r="W87" s="228">
        <v>-0.14000000000000001</v>
      </c>
      <c r="X87" s="229">
        <v>-1.4200000000000001E-2</v>
      </c>
      <c r="Y87" s="228">
        <v>0.04</v>
      </c>
      <c r="Z87" s="228">
        <v>0.01</v>
      </c>
      <c r="AA87" s="228">
        <v>0.03</v>
      </c>
      <c r="AB87" s="229">
        <v>4.1999999999999997E-3</v>
      </c>
      <c r="AC87" s="228">
        <v>0.04</v>
      </c>
      <c r="AD87" s="228">
        <v>0.01</v>
      </c>
      <c r="AE87" s="228">
        <v>0.03</v>
      </c>
      <c r="AF87" s="229">
        <v>4.1999999999999997E-3</v>
      </c>
      <c r="AG87" s="228">
        <v>0.11</v>
      </c>
      <c r="AH87" s="228">
        <v>0.1</v>
      </c>
      <c r="AI87" s="228">
        <v>0.01</v>
      </c>
      <c r="AJ87" s="229">
        <v>1.15E-2</v>
      </c>
      <c r="AK87" s="228">
        <v>0.17</v>
      </c>
      <c r="AL87" s="228">
        <v>0.16</v>
      </c>
      <c r="AM87" s="228">
        <v>0.01</v>
      </c>
      <c r="AN87" s="229">
        <v>1.78E-2</v>
      </c>
      <c r="AO87" s="228">
        <v>9.5500000000000007</v>
      </c>
      <c r="AP87" s="228">
        <v>9.6199999999999992</v>
      </c>
      <c r="AQ87" s="228">
        <v>0</v>
      </c>
      <c r="AR87" s="230">
        <v>826036575</v>
      </c>
      <c r="AS87" s="230">
        <v>437427000</v>
      </c>
      <c r="AT87" s="230">
        <v>388609575</v>
      </c>
      <c r="AU87" s="229">
        <v>0.88839999999999997</v>
      </c>
      <c r="AV87" s="230">
        <v>562651200</v>
      </c>
      <c r="AW87" s="230">
        <v>371955900</v>
      </c>
      <c r="AX87" s="230">
        <v>190695300</v>
      </c>
      <c r="AY87" s="229">
        <v>0.51270000000000004</v>
      </c>
      <c r="AZ87" s="230">
        <v>247946775</v>
      </c>
      <c r="BA87" s="230">
        <v>55893450</v>
      </c>
      <c r="BB87" s="230">
        <v>192053325</v>
      </c>
      <c r="BC87" s="229">
        <v>3.4361000000000002</v>
      </c>
      <c r="BD87" s="230">
        <v>15438600</v>
      </c>
      <c r="BE87" s="230">
        <v>9577650</v>
      </c>
      <c r="BF87" s="230">
        <v>5860950</v>
      </c>
      <c r="BG87" s="229">
        <v>0.6119</v>
      </c>
      <c r="BH87" s="230">
        <v>1091852100</v>
      </c>
      <c r="BI87" s="230">
        <v>773502450</v>
      </c>
      <c r="BJ87" s="230">
        <v>318349650</v>
      </c>
      <c r="BK87" s="229">
        <v>0.41160000000000002</v>
      </c>
      <c r="BL87" s="230">
        <v>440143050</v>
      </c>
      <c r="BM87" s="230">
        <v>323853225</v>
      </c>
      <c r="BN87" s="230">
        <v>116289825</v>
      </c>
      <c r="BO87" s="229">
        <v>0.35909999999999997</v>
      </c>
      <c r="BP87" s="230">
        <v>2358031725</v>
      </c>
      <c r="BQ87" s="230">
        <v>1534782675</v>
      </c>
      <c r="BR87" s="230">
        <v>823249050</v>
      </c>
      <c r="BS87" s="229">
        <v>0.53639999999999999</v>
      </c>
      <c r="BT87" s="230">
        <v>478159397</v>
      </c>
      <c r="BU87" s="230">
        <v>421346577</v>
      </c>
      <c r="BV87" s="230">
        <v>56812820</v>
      </c>
      <c r="BW87" s="229">
        <v>0.1348</v>
      </c>
      <c r="BX87" s="230">
        <v>7139423325</v>
      </c>
      <c r="BY87" s="230">
        <v>7148000325</v>
      </c>
      <c r="BZ87" s="230">
        <v>-8577000</v>
      </c>
      <c r="CA87" s="229">
        <v>-1.1999999999999999E-3</v>
      </c>
      <c r="CB87" s="230">
        <v>6618942375</v>
      </c>
      <c r="CC87" s="230">
        <v>6786551250</v>
      </c>
      <c r="CD87" s="230">
        <v>-167608875</v>
      </c>
      <c r="CE87" s="229">
        <v>-2.47E-2</v>
      </c>
      <c r="CF87" s="230">
        <v>482313300</v>
      </c>
      <c r="CG87" s="230">
        <v>327284025</v>
      </c>
      <c r="CH87" s="230">
        <v>155029275</v>
      </c>
      <c r="CI87" s="229">
        <v>0.47370000000000001</v>
      </c>
      <c r="CJ87" s="230">
        <v>38167650</v>
      </c>
      <c r="CK87" s="230">
        <v>34165050</v>
      </c>
      <c r="CL87" s="230">
        <v>4002600</v>
      </c>
      <c r="CM87" s="229">
        <v>0.1172</v>
      </c>
      <c r="CN87" s="230">
        <v>1996797075</v>
      </c>
      <c r="CO87" s="230">
        <v>1948337025</v>
      </c>
      <c r="CP87" s="230">
        <v>48460050</v>
      </c>
      <c r="CQ87" s="229">
        <v>2.4899999999999999E-2</v>
      </c>
      <c r="CR87" s="230">
        <v>987570075</v>
      </c>
      <c r="CS87" s="230">
        <v>978135375</v>
      </c>
      <c r="CT87" s="230">
        <v>9434700</v>
      </c>
      <c r="CU87" s="229">
        <v>9.5999999999999992E-3</v>
      </c>
      <c r="CV87" s="230">
        <v>10123790475</v>
      </c>
      <c r="CW87" s="230">
        <v>10074472725</v>
      </c>
      <c r="CX87" s="230">
        <v>49317750</v>
      </c>
      <c r="CY87" s="229">
        <v>4.8999999999999998E-3</v>
      </c>
      <c r="CZ87" s="228">
        <v>63.6</v>
      </c>
      <c r="DA87" s="228">
        <v>63.46</v>
      </c>
      <c r="DB87" s="228">
        <v>0.14000000000000001</v>
      </c>
      <c r="DC87" s="228">
        <v>0.14000000000000001</v>
      </c>
      <c r="DD87" s="228">
        <v>65.41</v>
      </c>
      <c r="DE87" s="228">
        <v>65.55</v>
      </c>
      <c r="DF87" s="228">
        <v>-1.81</v>
      </c>
      <c r="DG87" s="228">
        <v>-0.14000000000000001</v>
      </c>
      <c r="DH87" s="228">
        <v>63.93</v>
      </c>
      <c r="DI87" s="228">
        <v>64.88</v>
      </c>
      <c r="DJ87" s="228">
        <v>-0.95</v>
      </c>
      <c r="DK87" s="228">
        <v>-0.95</v>
      </c>
      <c r="DL87" s="228">
        <v>62.79</v>
      </c>
      <c r="DM87" s="228">
        <v>60.07</v>
      </c>
      <c r="DN87" s="228">
        <v>2.72</v>
      </c>
      <c r="DO87" s="228">
        <v>2.72</v>
      </c>
      <c r="DP87" s="228">
        <v>0.49</v>
      </c>
      <c r="DQ87" s="228">
        <v>0.5</v>
      </c>
      <c r="DR87" s="228">
        <v>-0.01</v>
      </c>
      <c r="DS87" s="229">
        <v>-0.02</v>
      </c>
      <c r="DT87" s="228">
        <v>12</v>
      </c>
      <c r="DU87" s="228">
        <v>10</v>
      </c>
      <c r="DV87" s="228">
        <v>0.4</v>
      </c>
      <c r="DW87" s="228">
        <v>0.42</v>
      </c>
      <c r="DX87" s="228">
        <v>-0.02</v>
      </c>
      <c r="DY87" s="229">
        <v>-4.7600000000000003E-2</v>
      </c>
      <c r="DZ87" s="229">
        <v>7.2900000000000006E-2</v>
      </c>
      <c r="EA87" s="230">
        <v>361449075</v>
      </c>
      <c r="EB87" s="229">
        <v>7.3000000000000001E-3</v>
      </c>
      <c r="EC87" s="229">
        <v>7.2900000000000006E-2</v>
      </c>
      <c r="ED87" s="228">
        <v>7.0000000000000007E-2</v>
      </c>
      <c r="EE87" s="229">
        <v>7.3000000000000001E-3</v>
      </c>
      <c r="EF87" s="230">
        <v>87592922</v>
      </c>
      <c r="EG87" s="230">
        <v>104628289</v>
      </c>
      <c r="EH87" s="229">
        <v>-0.1628</v>
      </c>
      <c r="EI87" s="229">
        <v>0.1832</v>
      </c>
      <c r="EJ87" s="231">
        <v>123217.78</v>
      </c>
      <c r="EK87" s="231">
        <v>40298.94</v>
      </c>
      <c r="EL87" s="231">
        <v>79070.25</v>
      </c>
      <c r="EM87" s="231">
        <v>8456</v>
      </c>
      <c r="EN87" s="231">
        <v>242586.97</v>
      </c>
      <c r="EO87" s="231">
        <v>163852.13</v>
      </c>
      <c r="EP87" s="231">
        <v>78734.84</v>
      </c>
      <c r="EQ87" s="229">
        <v>0.48049999999999998</v>
      </c>
      <c r="ER87" s="231">
        <v>238447</v>
      </c>
      <c r="ES87" s="231">
        <v>104048</v>
      </c>
      <c r="ET87" s="231">
        <v>685772</v>
      </c>
      <c r="EU87" s="231">
        <v>12037179660</v>
      </c>
      <c r="EV87" s="231">
        <v>1028267</v>
      </c>
      <c r="EW87" s="231">
        <v>1032433</v>
      </c>
      <c r="EX87" s="231">
        <v>-4166</v>
      </c>
      <c r="EY87" s="229">
        <v>-4.0000000000000001E-3</v>
      </c>
      <c r="EZ87" s="229">
        <v>0.84099999999999997</v>
      </c>
      <c r="FA87" s="227" t="s">
        <v>568</v>
      </c>
      <c r="FB87" s="161">
        <f t="shared" si="1"/>
        <v>520480950</v>
      </c>
    </row>
    <row r="88" spans="1:158" ht="17.25" thickBot="1" x14ac:dyDescent="0.3">
      <c r="A88" s="226">
        <v>46093</v>
      </c>
      <c r="B88" s="227" t="s">
        <v>172</v>
      </c>
      <c r="C88" s="227" t="s">
        <v>235</v>
      </c>
      <c r="D88" s="228">
        <v>9275</v>
      </c>
      <c r="E88" s="228">
        <v>64.98</v>
      </c>
      <c r="F88" s="228">
        <v>66.260000000000005</v>
      </c>
      <c r="G88" s="228">
        <v>-1.28</v>
      </c>
      <c r="H88" s="229">
        <v>-1.9300000000000001E-2</v>
      </c>
      <c r="I88" s="228">
        <v>64.78</v>
      </c>
      <c r="J88" s="228">
        <v>66.16</v>
      </c>
      <c r="K88" s="228">
        <v>-1.38</v>
      </c>
      <c r="L88" s="229">
        <v>-2.0899999999999998E-2</v>
      </c>
      <c r="M88" s="228">
        <v>64.98</v>
      </c>
      <c r="N88" s="228">
        <v>66.260000000000005</v>
      </c>
      <c r="O88" s="228">
        <v>-1.28</v>
      </c>
      <c r="P88" s="229">
        <v>-1.9300000000000001E-2</v>
      </c>
      <c r="Q88" s="228">
        <v>65.430000000000007</v>
      </c>
      <c r="R88" s="228">
        <v>66.650000000000006</v>
      </c>
      <c r="S88" s="228">
        <v>-1.22</v>
      </c>
      <c r="T88" s="229">
        <v>-1.83E-2</v>
      </c>
      <c r="U88" s="228">
        <v>65.849999999999994</v>
      </c>
      <c r="V88" s="228">
        <v>66.989999999999995</v>
      </c>
      <c r="W88" s="228">
        <v>-1.1399999999999999</v>
      </c>
      <c r="X88" s="229">
        <v>-1.7000000000000001E-2</v>
      </c>
      <c r="Y88" s="228">
        <v>0.2</v>
      </c>
      <c r="Z88" s="228">
        <v>0.1</v>
      </c>
      <c r="AA88" s="228">
        <v>0.1</v>
      </c>
      <c r="AB88" s="229">
        <v>3.0999999999999999E-3</v>
      </c>
      <c r="AC88" s="228">
        <v>0.2</v>
      </c>
      <c r="AD88" s="228">
        <v>0.1</v>
      </c>
      <c r="AE88" s="228">
        <v>0.1</v>
      </c>
      <c r="AF88" s="229">
        <v>3.0999999999999999E-3</v>
      </c>
      <c r="AG88" s="228">
        <v>0.65</v>
      </c>
      <c r="AH88" s="228">
        <v>0.49</v>
      </c>
      <c r="AI88" s="228">
        <v>0.16</v>
      </c>
      <c r="AJ88" s="229">
        <v>0.01</v>
      </c>
      <c r="AK88" s="228">
        <v>1.07</v>
      </c>
      <c r="AL88" s="228">
        <v>0.83</v>
      </c>
      <c r="AM88" s="228">
        <v>0.24</v>
      </c>
      <c r="AN88" s="229">
        <v>1.6500000000000001E-2</v>
      </c>
      <c r="AO88" s="228">
        <v>65.150000000000006</v>
      </c>
      <c r="AP88" s="228">
        <v>65.7</v>
      </c>
      <c r="AQ88" s="228">
        <v>0</v>
      </c>
      <c r="AR88" s="230">
        <v>78958075</v>
      </c>
      <c r="AS88" s="230">
        <v>64470525</v>
      </c>
      <c r="AT88" s="230">
        <v>14487550</v>
      </c>
      <c r="AU88" s="229">
        <v>0.22470000000000001</v>
      </c>
      <c r="AV88" s="230">
        <v>59146675</v>
      </c>
      <c r="AW88" s="230">
        <v>52654175</v>
      </c>
      <c r="AX88" s="230">
        <v>6492500</v>
      </c>
      <c r="AY88" s="229">
        <v>0.12330000000000001</v>
      </c>
      <c r="AZ88" s="230">
        <v>17130925</v>
      </c>
      <c r="BA88" s="230">
        <v>9469775</v>
      </c>
      <c r="BB88" s="230">
        <v>7661150</v>
      </c>
      <c r="BC88" s="229">
        <v>0.80900000000000005</v>
      </c>
      <c r="BD88" s="230">
        <v>2680475</v>
      </c>
      <c r="BE88" s="230">
        <v>2346575</v>
      </c>
      <c r="BF88" s="230">
        <v>333900</v>
      </c>
      <c r="BG88" s="229">
        <v>0.14230000000000001</v>
      </c>
      <c r="BH88" s="230">
        <v>152110000</v>
      </c>
      <c r="BI88" s="230">
        <v>127169525</v>
      </c>
      <c r="BJ88" s="230">
        <v>24940475</v>
      </c>
      <c r="BK88" s="229">
        <v>0.1961</v>
      </c>
      <c r="BL88" s="230">
        <v>108313450</v>
      </c>
      <c r="BM88" s="230">
        <v>69377000</v>
      </c>
      <c r="BN88" s="230">
        <v>38936450</v>
      </c>
      <c r="BO88" s="229">
        <v>0.56120000000000003</v>
      </c>
      <c r="BP88" s="230">
        <v>339381525</v>
      </c>
      <c r="BQ88" s="230">
        <v>261017050</v>
      </c>
      <c r="BR88" s="230">
        <v>78364475</v>
      </c>
      <c r="BS88" s="229">
        <v>0.30020000000000002</v>
      </c>
      <c r="BT88" s="230">
        <v>37460696</v>
      </c>
      <c r="BU88" s="230">
        <v>32166055</v>
      </c>
      <c r="BV88" s="230">
        <v>5294641</v>
      </c>
      <c r="BW88" s="229">
        <v>0.1646</v>
      </c>
      <c r="BX88" s="230">
        <v>517220375</v>
      </c>
      <c r="BY88" s="230">
        <v>515690000</v>
      </c>
      <c r="BZ88" s="230">
        <v>1530375</v>
      </c>
      <c r="CA88" s="229">
        <v>3.0000000000000001E-3</v>
      </c>
      <c r="CB88" s="230">
        <v>463759275</v>
      </c>
      <c r="CC88" s="230">
        <v>465660650</v>
      </c>
      <c r="CD88" s="230">
        <v>-1901375</v>
      </c>
      <c r="CE88" s="229">
        <v>-4.1000000000000003E-3</v>
      </c>
      <c r="CF88" s="230">
        <v>43815100</v>
      </c>
      <c r="CG88" s="230">
        <v>41468525</v>
      </c>
      <c r="CH88" s="230">
        <v>2346575</v>
      </c>
      <c r="CI88" s="229">
        <v>5.6599999999999998E-2</v>
      </c>
      <c r="CJ88" s="230">
        <v>9646000</v>
      </c>
      <c r="CK88" s="230">
        <v>8560825</v>
      </c>
      <c r="CL88" s="230">
        <v>1085175</v>
      </c>
      <c r="CM88" s="229">
        <v>0.1268</v>
      </c>
      <c r="CN88" s="230">
        <v>333037425</v>
      </c>
      <c r="CO88" s="230">
        <v>328947150</v>
      </c>
      <c r="CP88" s="230">
        <v>4090275</v>
      </c>
      <c r="CQ88" s="229">
        <v>1.24E-2</v>
      </c>
      <c r="CR88" s="230">
        <v>191296875</v>
      </c>
      <c r="CS88" s="230">
        <v>190452850</v>
      </c>
      <c r="CT88" s="230">
        <v>844025</v>
      </c>
      <c r="CU88" s="229">
        <v>4.4000000000000003E-3</v>
      </c>
      <c r="CV88" s="230">
        <v>1041554675</v>
      </c>
      <c r="CW88" s="230">
        <v>1035090000</v>
      </c>
      <c r="CX88" s="230">
        <v>6464675</v>
      </c>
      <c r="CY88" s="229">
        <v>6.1999999999999998E-3</v>
      </c>
      <c r="CZ88" s="228">
        <v>42.6</v>
      </c>
      <c r="DA88" s="228">
        <v>42.46</v>
      </c>
      <c r="DB88" s="228">
        <v>0.14000000000000001</v>
      </c>
      <c r="DC88" s="228">
        <v>0.14000000000000001</v>
      </c>
      <c r="DD88" s="228">
        <v>39.64</v>
      </c>
      <c r="DE88" s="228">
        <v>39.65</v>
      </c>
      <c r="DF88" s="228">
        <v>2.96</v>
      </c>
      <c r="DG88" s="228">
        <v>-0.01</v>
      </c>
      <c r="DH88" s="228">
        <v>43.31</v>
      </c>
      <c r="DI88" s="228">
        <v>43.01</v>
      </c>
      <c r="DJ88" s="228">
        <v>0.3</v>
      </c>
      <c r="DK88" s="228">
        <v>0.3</v>
      </c>
      <c r="DL88" s="228">
        <v>41.6</v>
      </c>
      <c r="DM88" s="228">
        <v>41.46</v>
      </c>
      <c r="DN88" s="228">
        <v>0.14000000000000001</v>
      </c>
      <c r="DO88" s="228">
        <v>0.14000000000000001</v>
      </c>
      <c r="DP88" s="228">
        <v>0.56999999999999995</v>
      </c>
      <c r="DQ88" s="228">
        <v>0.57999999999999996</v>
      </c>
      <c r="DR88" s="228">
        <v>-0.01</v>
      </c>
      <c r="DS88" s="229">
        <v>-1.72E-2</v>
      </c>
      <c r="DT88" s="228">
        <v>75</v>
      </c>
      <c r="DU88" s="228">
        <v>70</v>
      </c>
      <c r="DV88" s="228">
        <v>0.71</v>
      </c>
      <c r="DW88" s="228">
        <v>0.55000000000000004</v>
      </c>
      <c r="DX88" s="228">
        <v>0.16</v>
      </c>
      <c r="DY88" s="229">
        <v>0.29089999999999999</v>
      </c>
      <c r="DZ88" s="229">
        <v>0.10340000000000001</v>
      </c>
      <c r="EA88" s="230">
        <v>50029350</v>
      </c>
      <c r="EB88" s="229">
        <v>6.8999999999999999E-3</v>
      </c>
      <c r="EC88" s="229">
        <v>0.10340000000000001</v>
      </c>
      <c r="ED88" s="228">
        <v>0.55000000000000004</v>
      </c>
      <c r="EE88" s="229">
        <v>8.3999999999999995E-3</v>
      </c>
      <c r="EF88" s="230">
        <v>13994604</v>
      </c>
      <c r="EG88" s="230">
        <v>13243419</v>
      </c>
      <c r="EH88" s="229">
        <v>5.67E-2</v>
      </c>
      <c r="EI88" s="229">
        <v>0.37359999999999999</v>
      </c>
      <c r="EJ88" s="231">
        <v>112639.97</v>
      </c>
      <c r="EK88" s="231">
        <v>69319.19</v>
      </c>
      <c r="EL88" s="231">
        <v>51561.98</v>
      </c>
      <c r="EM88" s="231">
        <v>9798</v>
      </c>
      <c r="EN88" s="231">
        <v>233521.14</v>
      </c>
      <c r="EO88" s="231">
        <v>183544.34</v>
      </c>
      <c r="EP88" s="231">
        <v>49976.800000000003</v>
      </c>
      <c r="EQ88" s="229">
        <v>0.27229999999999999</v>
      </c>
      <c r="ER88" s="231">
        <v>255140</v>
      </c>
      <c r="ES88" s="231">
        <v>130396</v>
      </c>
      <c r="ET88" s="231">
        <v>336371</v>
      </c>
      <c r="EU88" s="231">
        <v>936861183</v>
      </c>
      <c r="EV88" s="231">
        <v>721907</v>
      </c>
      <c r="EW88" s="231">
        <v>725869</v>
      </c>
      <c r="EX88" s="231">
        <v>-3962</v>
      </c>
      <c r="EY88" s="229">
        <v>-5.4999999999999997E-3</v>
      </c>
      <c r="EZ88" s="229">
        <v>1.1116999999999999</v>
      </c>
      <c r="FA88" s="227" t="s">
        <v>567</v>
      </c>
      <c r="FB88" s="161">
        <f t="shared" si="1"/>
        <v>53461100</v>
      </c>
    </row>
    <row r="89" spans="1:158" ht="17.25" thickBot="1" x14ac:dyDescent="0.3">
      <c r="A89" s="226">
        <v>46093</v>
      </c>
      <c r="B89" s="227" t="s">
        <v>161</v>
      </c>
      <c r="C89" s="227" t="s">
        <v>514</v>
      </c>
      <c r="D89" s="228">
        <v>3750</v>
      </c>
      <c r="E89" s="228">
        <v>122.95</v>
      </c>
      <c r="F89" s="228">
        <v>122.95</v>
      </c>
      <c r="G89" s="228">
        <v>0</v>
      </c>
      <c r="H89" s="229">
        <v>0</v>
      </c>
      <c r="I89" s="228">
        <v>122.76</v>
      </c>
      <c r="J89" s="228">
        <v>122.85</v>
      </c>
      <c r="K89" s="228">
        <v>-0.09</v>
      </c>
      <c r="L89" s="229">
        <v>-6.9999999999999999E-4</v>
      </c>
      <c r="M89" s="228">
        <v>122.95</v>
      </c>
      <c r="N89" s="228">
        <v>122.95</v>
      </c>
      <c r="O89" s="228">
        <v>0</v>
      </c>
      <c r="P89" s="229">
        <v>0</v>
      </c>
      <c r="Q89" s="228">
        <v>123.74</v>
      </c>
      <c r="R89" s="228">
        <v>123.72</v>
      </c>
      <c r="S89" s="228">
        <v>0.02</v>
      </c>
      <c r="T89" s="229">
        <v>2.0000000000000001E-4</v>
      </c>
      <c r="U89" s="228">
        <v>123.59</v>
      </c>
      <c r="V89" s="228">
        <v>123.91</v>
      </c>
      <c r="W89" s="228">
        <v>-0.32</v>
      </c>
      <c r="X89" s="229">
        <v>-2.5999999999999999E-3</v>
      </c>
      <c r="Y89" s="228">
        <v>0.19</v>
      </c>
      <c r="Z89" s="228">
        <v>0.1</v>
      </c>
      <c r="AA89" s="228">
        <v>0.09</v>
      </c>
      <c r="AB89" s="229">
        <v>1.5E-3</v>
      </c>
      <c r="AC89" s="228">
        <v>0.19</v>
      </c>
      <c r="AD89" s="228">
        <v>0.1</v>
      </c>
      <c r="AE89" s="228">
        <v>0.09</v>
      </c>
      <c r="AF89" s="229">
        <v>1.5E-3</v>
      </c>
      <c r="AG89" s="228">
        <v>0.98</v>
      </c>
      <c r="AH89" s="228">
        <v>0.87</v>
      </c>
      <c r="AI89" s="228">
        <v>0.11</v>
      </c>
      <c r="AJ89" s="229">
        <v>8.0000000000000002E-3</v>
      </c>
      <c r="AK89" s="228">
        <v>0.83</v>
      </c>
      <c r="AL89" s="228">
        <v>1.06</v>
      </c>
      <c r="AM89" s="228">
        <v>-0.23</v>
      </c>
      <c r="AN89" s="229">
        <v>6.7999999999999996E-3</v>
      </c>
      <c r="AO89" s="228">
        <v>122.12</v>
      </c>
      <c r="AP89" s="228">
        <v>122.88</v>
      </c>
      <c r="AQ89" s="228">
        <v>0</v>
      </c>
      <c r="AR89" s="230">
        <v>9708750</v>
      </c>
      <c r="AS89" s="230">
        <v>16466250</v>
      </c>
      <c r="AT89" s="230">
        <v>-6757500</v>
      </c>
      <c r="AU89" s="229">
        <v>-0.41039999999999999</v>
      </c>
      <c r="AV89" s="230">
        <v>8051250</v>
      </c>
      <c r="AW89" s="230">
        <v>14636250</v>
      </c>
      <c r="AX89" s="230">
        <v>-6585000</v>
      </c>
      <c r="AY89" s="229">
        <v>-0.44990000000000002</v>
      </c>
      <c r="AZ89" s="230">
        <v>1421250</v>
      </c>
      <c r="BA89" s="230">
        <v>1578750</v>
      </c>
      <c r="BB89" s="230">
        <v>-157500</v>
      </c>
      <c r="BC89" s="229">
        <v>-9.98E-2</v>
      </c>
      <c r="BD89" s="230">
        <v>236250</v>
      </c>
      <c r="BE89" s="230">
        <v>251250</v>
      </c>
      <c r="BF89" s="230">
        <v>-15000</v>
      </c>
      <c r="BG89" s="229">
        <v>-5.9700000000000003E-2</v>
      </c>
      <c r="BH89" s="230">
        <v>32647500</v>
      </c>
      <c r="BI89" s="230">
        <v>70683750</v>
      </c>
      <c r="BJ89" s="230">
        <v>-38036250</v>
      </c>
      <c r="BK89" s="229">
        <v>-0.53810000000000002</v>
      </c>
      <c r="BL89" s="230">
        <v>8685000</v>
      </c>
      <c r="BM89" s="230">
        <v>17366250</v>
      </c>
      <c r="BN89" s="230">
        <v>-8681250</v>
      </c>
      <c r="BO89" s="229">
        <v>-0.49990000000000001</v>
      </c>
      <c r="BP89" s="230">
        <v>51041250</v>
      </c>
      <c r="BQ89" s="230">
        <v>104516250</v>
      </c>
      <c r="BR89" s="230">
        <v>-53475000</v>
      </c>
      <c r="BS89" s="229">
        <v>-0.51160000000000005</v>
      </c>
      <c r="BT89" s="230">
        <v>6065631</v>
      </c>
      <c r="BU89" s="230">
        <v>9197231</v>
      </c>
      <c r="BV89" s="230">
        <v>-3131600</v>
      </c>
      <c r="BW89" s="229">
        <v>-0.34050000000000002</v>
      </c>
      <c r="BX89" s="230">
        <v>75543750</v>
      </c>
      <c r="BY89" s="230">
        <v>75120000</v>
      </c>
      <c r="BZ89" s="230">
        <v>423750</v>
      </c>
      <c r="CA89" s="229">
        <v>5.5999999999999999E-3</v>
      </c>
      <c r="CB89" s="230">
        <v>65505000</v>
      </c>
      <c r="CC89" s="230">
        <v>65625000</v>
      </c>
      <c r="CD89" s="230">
        <v>-120000</v>
      </c>
      <c r="CE89" s="229">
        <v>-1.8E-3</v>
      </c>
      <c r="CF89" s="230">
        <v>9521250</v>
      </c>
      <c r="CG89" s="230">
        <v>9030000</v>
      </c>
      <c r="CH89" s="230">
        <v>491250</v>
      </c>
      <c r="CI89" s="229">
        <v>5.4399999999999997E-2</v>
      </c>
      <c r="CJ89" s="230">
        <v>517500</v>
      </c>
      <c r="CK89" s="230">
        <v>465000</v>
      </c>
      <c r="CL89" s="230">
        <v>52500</v>
      </c>
      <c r="CM89" s="229">
        <v>0.1129</v>
      </c>
      <c r="CN89" s="230">
        <v>43252500</v>
      </c>
      <c r="CO89" s="230">
        <v>42885000</v>
      </c>
      <c r="CP89" s="230">
        <v>367500</v>
      </c>
      <c r="CQ89" s="229">
        <v>8.6E-3</v>
      </c>
      <c r="CR89" s="230">
        <v>29317500</v>
      </c>
      <c r="CS89" s="230">
        <v>28830000</v>
      </c>
      <c r="CT89" s="230">
        <v>487500</v>
      </c>
      <c r="CU89" s="229">
        <v>1.6899999999999998E-2</v>
      </c>
      <c r="CV89" s="230">
        <v>148113750</v>
      </c>
      <c r="CW89" s="230">
        <v>146835000</v>
      </c>
      <c r="CX89" s="230">
        <v>1278750</v>
      </c>
      <c r="CY89" s="229">
        <v>8.6999999999999994E-3</v>
      </c>
      <c r="CZ89" s="228">
        <v>37.83</v>
      </c>
      <c r="DA89" s="228">
        <v>37.67</v>
      </c>
      <c r="DB89" s="228">
        <v>0.16</v>
      </c>
      <c r="DC89" s="228">
        <v>0.16</v>
      </c>
      <c r="DD89" s="228">
        <v>51.76</v>
      </c>
      <c r="DE89" s="228">
        <v>51.89</v>
      </c>
      <c r="DF89" s="228">
        <v>-13.93</v>
      </c>
      <c r="DG89" s="228">
        <v>-0.13</v>
      </c>
      <c r="DH89" s="228">
        <v>37.409999999999997</v>
      </c>
      <c r="DI89" s="228">
        <v>37.65</v>
      </c>
      <c r="DJ89" s="228">
        <v>-0.24</v>
      </c>
      <c r="DK89" s="228">
        <v>-0.24</v>
      </c>
      <c r="DL89" s="228">
        <v>39.43</v>
      </c>
      <c r="DM89" s="228">
        <v>37.75</v>
      </c>
      <c r="DN89" s="228">
        <v>1.68</v>
      </c>
      <c r="DO89" s="228">
        <v>1.68</v>
      </c>
      <c r="DP89" s="228">
        <v>0.68</v>
      </c>
      <c r="DQ89" s="228">
        <v>0.67</v>
      </c>
      <c r="DR89" s="228">
        <v>0.01</v>
      </c>
      <c r="DS89" s="229">
        <v>1.49E-2</v>
      </c>
      <c r="DT89" s="228">
        <v>130</v>
      </c>
      <c r="DU89" s="228">
        <v>140</v>
      </c>
      <c r="DV89" s="228">
        <v>0.27</v>
      </c>
      <c r="DW89" s="228">
        <v>0.25</v>
      </c>
      <c r="DX89" s="228">
        <v>0.02</v>
      </c>
      <c r="DY89" s="229">
        <v>0.08</v>
      </c>
      <c r="DZ89" s="229">
        <v>0.13289999999999999</v>
      </c>
      <c r="EA89" s="230">
        <v>9495000</v>
      </c>
      <c r="EB89" s="229">
        <v>6.4000000000000003E-3</v>
      </c>
      <c r="EC89" s="229">
        <v>0.13289999999999999</v>
      </c>
      <c r="ED89" s="228">
        <v>0.76</v>
      </c>
      <c r="EE89" s="229">
        <v>6.1999999999999998E-3</v>
      </c>
      <c r="EF89" s="230">
        <v>2065361</v>
      </c>
      <c r="EG89" s="230">
        <v>2181295</v>
      </c>
      <c r="EH89" s="229">
        <v>-5.3100000000000001E-2</v>
      </c>
      <c r="EI89" s="229">
        <v>0.34050000000000002</v>
      </c>
      <c r="EJ89" s="231">
        <v>42742.93</v>
      </c>
      <c r="EK89" s="231">
        <v>10552.7</v>
      </c>
      <c r="EL89" s="231">
        <v>11869.18</v>
      </c>
      <c r="EM89" s="231">
        <v>2914</v>
      </c>
      <c r="EN89" s="231">
        <v>65164.81</v>
      </c>
      <c r="EO89" s="231">
        <v>135612.47</v>
      </c>
      <c r="EP89" s="231">
        <v>-70447.66</v>
      </c>
      <c r="EQ89" s="229">
        <v>-0.51949999999999996</v>
      </c>
      <c r="ER89" s="231">
        <v>57141</v>
      </c>
      <c r="ES89" s="231">
        <v>37554</v>
      </c>
      <c r="ET89" s="231">
        <v>92960</v>
      </c>
      <c r="EU89" s="231">
        <v>133395043</v>
      </c>
      <c r="EV89" s="231">
        <v>187654</v>
      </c>
      <c r="EW89" s="231">
        <v>186070</v>
      </c>
      <c r="EX89" s="231">
        <v>1584</v>
      </c>
      <c r="EY89" s="229">
        <v>8.5000000000000006E-3</v>
      </c>
      <c r="EZ89" s="229">
        <v>1.1103000000000001</v>
      </c>
      <c r="FA89" s="227" t="s">
        <v>237</v>
      </c>
      <c r="FB89" s="161">
        <f t="shared" si="1"/>
        <v>10038750</v>
      </c>
    </row>
    <row r="90" spans="1:158" ht="17.25" thickBot="1" x14ac:dyDescent="0.3">
      <c r="A90" s="226">
        <v>46093</v>
      </c>
      <c r="B90" s="227" t="s">
        <v>206</v>
      </c>
      <c r="C90" s="227" t="s">
        <v>501</v>
      </c>
      <c r="D90" s="228">
        <v>1000</v>
      </c>
      <c r="E90" s="228">
        <v>625.65</v>
      </c>
      <c r="F90" s="228">
        <v>624.45000000000005</v>
      </c>
      <c r="G90" s="228">
        <v>1.2</v>
      </c>
      <c r="H90" s="229">
        <v>1.9E-3</v>
      </c>
      <c r="I90" s="228">
        <v>624.95000000000005</v>
      </c>
      <c r="J90" s="228">
        <v>624.04999999999995</v>
      </c>
      <c r="K90" s="228">
        <v>0.9</v>
      </c>
      <c r="L90" s="229">
        <v>1.4E-3</v>
      </c>
      <c r="M90" s="228">
        <v>625.65</v>
      </c>
      <c r="N90" s="228">
        <v>624.45000000000005</v>
      </c>
      <c r="O90" s="228">
        <v>1.2</v>
      </c>
      <c r="P90" s="229">
        <v>1.9E-3</v>
      </c>
      <c r="Q90" s="228">
        <v>629.35</v>
      </c>
      <c r="R90" s="228">
        <v>627.65</v>
      </c>
      <c r="S90" s="228">
        <v>1.7</v>
      </c>
      <c r="T90" s="229">
        <v>2.7000000000000001E-3</v>
      </c>
      <c r="U90" s="228">
        <v>631.70000000000005</v>
      </c>
      <c r="V90" s="228">
        <v>632</v>
      </c>
      <c r="W90" s="228">
        <v>-0.3</v>
      </c>
      <c r="X90" s="229">
        <v>-5.0000000000000001E-4</v>
      </c>
      <c r="Y90" s="228">
        <v>0.7</v>
      </c>
      <c r="Z90" s="228">
        <v>0.4</v>
      </c>
      <c r="AA90" s="228">
        <v>0.3</v>
      </c>
      <c r="AB90" s="229">
        <v>1.1000000000000001E-3</v>
      </c>
      <c r="AC90" s="228">
        <v>0.7</v>
      </c>
      <c r="AD90" s="228">
        <v>0.4</v>
      </c>
      <c r="AE90" s="228">
        <v>0.3</v>
      </c>
      <c r="AF90" s="229">
        <v>1.1000000000000001E-3</v>
      </c>
      <c r="AG90" s="228">
        <v>4.4000000000000004</v>
      </c>
      <c r="AH90" s="228">
        <v>3.6</v>
      </c>
      <c r="AI90" s="228">
        <v>0.8</v>
      </c>
      <c r="AJ90" s="229">
        <v>7.0000000000000001E-3</v>
      </c>
      <c r="AK90" s="228">
        <v>6.75</v>
      </c>
      <c r="AL90" s="228">
        <v>7.95</v>
      </c>
      <c r="AM90" s="228">
        <v>-1.2</v>
      </c>
      <c r="AN90" s="229">
        <v>1.0800000000000001E-2</v>
      </c>
      <c r="AO90" s="228">
        <v>619.19000000000005</v>
      </c>
      <c r="AP90" s="228">
        <v>622.59</v>
      </c>
      <c r="AQ90" s="228">
        <v>0</v>
      </c>
      <c r="AR90" s="230">
        <v>5550000</v>
      </c>
      <c r="AS90" s="230">
        <v>3041000</v>
      </c>
      <c r="AT90" s="230">
        <v>2509000</v>
      </c>
      <c r="AU90" s="229">
        <v>0.82509999999999994</v>
      </c>
      <c r="AV90" s="230">
        <v>5188000</v>
      </c>
      <c r="AW90" s="230">
        <v>2871000</v>
      </c>
      <c r="AX90" s="230">
        <v>2317000</v>
      </c>
      <c r="AY90" s="229">
        <v>0.80700000000000005</v>
      </c>
      <c r="AZ90" s="230">
        <v>306000</v>
      </c>
      <c r="BA90" s="230">
        <v>156000</v>
      </c>
      <c r="BB90" s="230">
        <v>150000</v>
      </c>
      <c r="BC90" s="229">
        <v>0.96150000000000002</v>
      </c>
      <c r="BD90" s="230">
        <v>56000</v>
      </c>
      <c r="BE90" s="230">
        <v>14000</v>
      </c>
      <c r="BF90" s="230">
        <v>42000</v>
      </c>
      <c r="BG90" s="229">
        <v>3</v>
      </c>
      <c r="BH90" s="230">
        <v>6472000</v>
      </c>
      <c r="BI90" s="230">
        <v>3059000</v>
      </c>
      <c r="BJ90" s="230">
        <v>3413000</v>
      </c>
      <c r="BK90" s="229">
        <v>1.1156999999999999</v>
      </c>
      <c r="BL90" s="230">
        <v>7493000</v>
      </c>
      <c r="BM90" s="230">
        <v>4241000</v>
      </c>
      <c r="BN90" s="230">
        <v>3252000</v>
      </c>
      <c r="BO90" s="229">
        <v>0.76680000000000004</v>
      </c>
      <c r="BP90" s="230">
        <v>19515000</v>
      </c>
      <c r="BQ90" s="230">
        <v>10341000</v>
      </c>
      <c r="BR90" s="230">
        <v>9174000</v>
      </c>
      <c r="BS90" s="229">
        <v>0.8871</v>
      </c>
      <c r="BT90" s="230">
        <v>4807482</v>
      </c>
      <c r="BU90" s="230">
        <v>2589456</v>
      </c>
      <c r="BV90" s="230">
        <v>2218026</v>
      </c>
      <c r="BW90" s="229">
        <v>0.85660000000000003</v>
      </c>
      <c r="BX90" s="230">
        <v>20704000</v>
      </c>
      <c r="BY90" s="230">
        <v>21560000</v>
      </c>
      <c r="BZ90" s="230">
        <v>-856000</v>
      </c>
      <c r="CA90" s="229">
        <v>-3.9699999999999999E-2</v>
      </c>
      <c r="CB90" s="230">
        <v>19811000</v>
      </c>
      <c r="CC90" s="230">
        <v>20682000</v>
      </c>
      <c r="CD90" s="230">
        <v>-871000</v>
      </c>
      <c r="CE90" s="229">
        <v>-4.2099999999999999E-2</v>
      </c>
      <c r="CF90" s="230">
        <v>757000</v>
      </c>
      <c r="CG90" s="230">
        <v>745000</v>
      </c>
      <c r="CH90" s="230">
        <v>12000</v>
      </c>
      <c r="CI90" s="229">
        <v>1.61E-2</v>
      </c>
      <c r="CJ90" s="230">
        <v>136000</v>
      </c>
      <c r="CK90" s="230">
        <v>133000</v>
      </c>
      <c r="CL90" s="230">
        <v>3000</v>
      </c>
      <c r="CM90" s="229">
        <v>2.2599999999999999E-2</v>
      </c>
      <c r="CN90" s="230">
        <v>8356000</v>
      </c>
      <c r="CO90" s="230">
        <v>8070000</v>
      </c>
      <c r="CP90" s="230">
        <v>286000</v>
      </c>
      <c r="CQ90" s="229">
        <v>3.5400000000000001E-2</v>
      </c>
      <c r="CR90" s="230">
        <v>7163000</v>
      </c>
      <c r="CS90" s="230">
        <v>6658000</v>
      </c>
      <c r="CT90" s="230">
        <v>505000</v>
      </c>
      <c r="CU90" s="229">
        <v>7.5800000000000006E-2</v>
      </c>
      <c r="CV90" s="230">
        <v>36223000</v>
      </c>
      <c r="CW90" s="230">
        <v>36288000</v>
      </c>
      <c r="CX90" s="230">
        <v>-65000</v>
      </c>
      <c r="CY90" s="229">
        <v>-1.8E-3</v>
      </c>
      <c r="CZ90" s="228">
        <v>33.590000000000003</v>
      </c>
      <c r="DA90" s="228">
        <v>32.380000000000003</v>
      </c>
      <c r="DB90" s="228">
        <v>1.21</v>
      </c>
      <c r="DC90" s="228">
        <v>1.21</v>
      </c>
      <c r="DD90" s="228">
        <v>32.659999999999997</v>
      </c>
      <c r="DE90" s="228">
        <v>32.74</v>
      </c>
      <c r="DF90" s="228">
        <v>0.93</v>
      </c>
      <c r="DG90" s="228">
        <v>-0.08</v>
      </c>
      <c r="DH90" s="228">
        <v>30.6</v>
      </c>
      <c r="DI90" s="228">
        <v>30.72</v>
      </c>
      <c r="DJ90" s="228">
        <v>-0.12</v>
      </c>
      <c r="DK90" s="228">
        <v>-0.12</v>
      </c>
      <c r="DL90" s="228">
        <v>36.159999999999997</v>
      </c>
      <c r="DM90" s="228">
        <v>33.57</v>
      </c>
      <c r="DN90" s="228">
        <v>2.59</v>
      </c>
      <c r="DO90" s="228">
        <v>2.59</v>
      </c>
      <c r="DP90" s="228">
        <v>0.86</v>
      </c>
      <c r="DQ90" s="228">
        <v>0.83</v>
      </c>
      <c r="DR90" s="228">
        <v>0.03</v>
      </c>
      <c r="DS90" s="229">
        <v>3.61E-2</v>
      </c>
      <c r="DT90" s="228">
        <v>700</v>
      </c>
      <c r="DU90" s="228">
        <v>680</v>
      </c>
      <c r="DV90" s="228">
        <v>1.1599999999999999</v>
      </c>
      <c r="DW90" s="228">
        <v>1.39</v>
      </c>
      <c r="DX90" s="228">
        <v>-0.23</v>
      </c>
      <c r="DY90" s="229">
        <v>-0.16550000000000001</v>
      </c>
      <c r="DZ90" s="229">
        <v>4.3099999999999999E-2</v>
      </c>
      <c r="EA90" s="230">
        <v>878000</v>
      </c>
      <c r="EB90" s="229">
        <v>5.8999999999999999E-3</v>
      </c>
      <c r="EC90" s="229">
        <v>4.3099999999999999E-2</v>
      </c>
      <c r="ED90" s="228">
        <v>3.4</v>
      </c>
      <c r="EE90" s="229">
        <v>5.4999999999999997E-3</v>
      </c>
      <c r="EF90" s="230">
        <v>2958746</v>
      </c>
      <c r="EG90" s="230">
        <v>1699307</v>
      </c>
      <c r="EH90" s="229">
        <v>0.74109999999999998</v>
      </c>
      <c r="EI90" s="229">
        <v>0.61539999999999995</v>
      </c>
      <c r="EJ90" s="231">
        <v>42669.57</v>
      </c>
      <c r="EK90" s="231">
        <v>45655.81</v>
      </c>
      <c r="EL90" s="231">
        <v>34376.199999999997</v>
      </c>
      <c r="EM90" s="231">
        <v>3832</v>
      </c>
      <c r="EN90" s="231">
        <v>122701.58</v>
      </c>
      <c r="EO90" s="231">
        <v>65527.55</v>
      </c>
      <c r="EP90" s="231">
        <v>57174.03</v>
      </c>
      <c r="EQ90" s="229">
        <v>0.87250000000000005</v>
      </c>
      <c r="ER90" s="231">
        <v>56853</v>
      </c>
      <c r="ES90" s="231">
        <v>46336</v>
      </c>
      <c r="ET90" s="231">
        <v>129571</v>
      </c>
      <c r="EU90" s="231">
        <v>132129624</v>
      </c>
      <c r="EV90" s="231">
        <v>232761</v>
      </c>
      <c r="EW90" s="231">
        <v>233259</v>
      </c>
      <c r="EX90" s="228">
        <v>-498</v>
      </c>
      <c r="EY90" s="229">
        <v>-2.0999999999999999E-3</v>
      </c>
      <c r="EZ90" s="229">
        <v>0.27410000000000001</v>
      </c>
      <c r="FA90" s="227" t="s">
        <v>556</v>
      </c>
      <c r="FB90" s="161">
        <f t="shared" si="1"/>
        <v>893000</v>
      </c>
    </row>
    <row r="91" spans="1:158" ht="17.25" thickBot="1" x14ac:dyDescent="0.3">
      <c r="A91" s="226">
        <v>46093</v>
      </c>
      <c r="B91" s="227" t="s">
        <v>172</v>
      </c>
      <c r="C91" s="227" t="s">
        <v>578</v>
      </c>
      <c r="D91" s="228">
        <v>1000</v>
      </c>
      <c r="E91" s="228">
        <v>912.9</v>
      </c>
      <c r="F91" s="228">
        <v>915.35</v>
      </c>
      <c r="G91" s="228">
        <v>-2.4500000000000002</v>
      </c>
      <c r="H91" s="229">
        <v>-2.7000000000000001E-3</v>
      </c>
      <c r="I91" s="228">
        <v>909.6</v>
      </c>
      <c r="J91" s="228">
        <v>917.8</v>
      </c>
      <c r="K91" s="228">
        <v>-8.1999999999999993</v>
      </c>
      <c r="L91" s="229">
        <v>-8.8999999999999999E-3</v>
      </c>
      <c r="M91" s="228">
        <v>912.9</v>
      </c>
      <c r="N91" s="228">
        <v>915.35</v>
      </c>
      <c r="O91" s="228">
        <v>-2.4500000000000002</v>
      </c>
      <c r="P91" s="229">
        <v>-2.7000000000000001E-3</v>
      </c>
      <c r="Q91" s="228">
        <v>916.2</v>
      </c>
      <c r="R91" s="228">
        <v>918.35</v>
      </c>
      <c r="S91" s="228">
        <v>-2.15</v>
      </c>
      <c r="T91" s="229">
        <v>-2.3E-3</v>
      </c>
      <c r="U91" s="228">
        <v>918.25</v>
      </c>
      <c r="V91" s="228">
        <v>920</v>
      </c>
      <c r="W91" s="228">
        <v>-1.75</v>
      </c>
      <c r="X91" s="229">
        <v>-1.9E-3</v>
      </c>
      <c r="Y91" s="228">
        <v>3.3</v>
      </c>
      <c r="Z91" s="228">
        <v>-2.4500000000000002</v>
      </c>
      <c r="AA91" s="228">
        <v>5.75</v>
      </c>
      <c r="AB91" s="229">
        <v>3.5999999999999999E-3</v>
      </c>
      <c r="AC91" s="228">
        <v>3.3</v>
      </c>
      <c r="AD91" s="228">
        <v>-2.4500000000000002</v>
      </c>
      <c r="AE91" s="228">
        <v>5.75</v>
      </c>
      <c r="AF91" s="229">
        <v>3.5999999999999999E-3</v>
      </c>
      <c r="AG91" s="228">
        <v>6.6</v>
      </c>
      <c r="AH91" s="228">
        <v>0.55000000000000004</v>
      </c>
      <c r="AI91" s="228">
        <v>6.05</v>
      </c>
      <c r="AJ91" s="229">
        <v>7.3000000000000001E-3</v>
      </c>
      <c r="AK91" s="228">
        <v>8.65</v>
      </c>
      <c r="AL91" s="228">
        <v>2.2000000000000002</v>
      </c>
      <c r="AM91" s="228">
        <v>6.45</v>
      </c>
      <c r="AN91" s="229">
        <v>9.4999999999999998E-3</v>
      </c>
      <c r="AO91" s="228">
        <v>908.68</v>
      </c>
      <c r="AP91" s="228">
        <v>912.1</v>
      </c>
      <c r="AQ91" s="228">
        <v>0</v>
      </c>
      <c r="AR91" s="230">
        <v>2597000</v>
      </c>
      <c r="AS91" s="230">
        <v>2095000</v>
      </c>
      <c r="AT91" s="230">
        <v>502000</v>
      </c>
      <c r="AU91" s="229">
        <v>0.23960000000000001</v>
      </c>
      <c r="AV91" s="230">
        <v>2453000</v>
      </c>
      <c r="AW91" s="230">
        <v>1986000</v>
      </c>
      <c r="AX91" s="230">
        <v>467000</v>
      </c>
      <c r="AY91" s="229">
        <v>0.2351</v>
      </c>
      <c r="AZ91" s="230">
        <v>136000</v>
      </c>
      <c r="BA91" s="230">
        <v>106000</v>
      </c>
      <c r="BB91" s="230">
        <v>30000</v>
      </c>
      <c r="BC91" s="229">
        <v>0.28299999999999997</v>
      </c>
      <c r="BD91" s="230">
        <v>8000</v>
      </c>
      <c r="BE91" s="230">
        <v>3000</v>
      </c>
      <c r="BF91" s="230">
        <v>5000</v>
      </c>
      <c r="BG91" s="229">
        <v>1.6667000000000001</v>
      </c>
      <c r="BH91" s="230">
        <v>4259000</v>
      </c>
      <c r="BI91" s="230">
        <v>3573000</v>
      </c>
      <c r="BJ91" s="230">
        <v>686000</v>
      </c>
      <c r="BK91" s="229">
        <v>0.192</v>
      </c>
      <c r="BL91" s="230">
        <v>2514000</v>
      </c>
      <c r="BM91" s="230">
        <v>2262000</v>
      </c>
      <c r="BN91" s="230">
        <v>252000</v>
      </c>
      <c r="BO91" s="229">
        <v>0.1114</v>
      </c>
      <c r="BP91" s="230">
        <v>9370000</v>
      </c>
      <c r="BQ91" s="230">
        <v>7930000</v>
      </c>
      <c r="BR91" s="230">
        <v>1440000</v>
      </c>
      <c r="BS91" s="229">
        <v>0.18160000000000001</v>
      </c>
      <c r="BT91" s="230">
        <v>1064803</v>
      </c>
      <c r="BU91" s="230">
        <v>1190616</v>
      </c>
      <c r="BV91" s="230">
        <v>-125813</v>
      </c>
      <c r="BW91" s="229">
        <v>-0.1057</v>
      </c>
      <c r="BX91" s="230">
        <v>8307000</v>
      </c>
      <c r="BY91" s="230">
        <v>8109000</v>
      </c>
      <c r="BZ91" s="230">
        <v>198000</v>
      </c>
      <c r="CA91" s="229">
        <v>2.4400000000000002E-2</v>
      </c>
      <c r="CB91" s="230">
        <v>8104000</v>
      </c>
      <c r="CC91" s="230">
        <v>7929000</v>
      </c>
      <c r="CD91" s="230">
        <v>175000</v>
      </c>
      <c r="CE91" s="229">
        <v>2.2100000000000002E-2</v>
      </c>
      <c r="CF91" s="230">
        <v>177000</v>
      </c>
      <c r="CG91" s="230">
        <v>158000</v>
      </c>
      <c r="CH91" s="230">
        <v>19000</v>
      </c>
      <c r="CI91" s="229">
        <v>0.1203</v>
      </c>
      <c r="CJ91" s="230">
        <v>26000</v>
      </c>
      <c r="CK91" s="230">
        <v>22000</v>
      </c>
      <c r="CL91" s="230">
        <v>4000</v>
      </c>
      <c r="CM91" s="229">
        <v>0.18179999999999999</v>
      </c>
      <c r="CN91" s="230">
        <v>5595000</v>
      </c>
      <c r="CO91" s="230">
        <v>5003000</v>
      </c>
      <c r="CP91" s="230">
        <v>592000</v>
      </c>
      <c r="CQ91" s="229">
        <v>0.1183</v>
      </c>
      <c r="CR91" s="230">
        <v>3722000</v>
      </c>
      <c r="CS91" s="230">
        <v>3646000</v>
      </c>
      <c r="CT91" s="230">
        <v>76000</v>
      </c>
      <c r="CU91" s="229">
        <v>2.0799999999999999E-2</v>
      </c>
      <c r="CV91" s="230">
        <v>17624000</v>
      </c>
      <c r="CW91" s="230">
        <v>16758000</v>
      </c>
      <c r="CX91" s="230">
        <v>866000</v>
      </c>
      <c r="CY91" s="229">
        <v>5.1700000000000003E-2</v>
      </c>
      <c r="CZ91" s="228">
        <v>37.619999999999997</v>
      </c>
      <c r="DA91" s="228">
        <v>37.700000000000003</v>
      </c>
      <c r="DB91" s="228">
        <v>-0.08</v>
      </c>
      <c r="DC91" s="228">
        <v>-0.08</v>
      </c>
      <c r="DD91" s="228">
        <v>39.409999999999997</v>
      </c>
      <c r="DE91" s="228">
        <v>39.49</v>
      </c>
      <c r="DF91" s="228">
        <v>-1.79</v>
      </c>
      <c r="DG91" s="228">
        <v>-0.08</v>
      </c>
      <c r="DH91" s="228">
        <v>36.68</v>
      </c>
      <c r="DI91" s="228">
        <v>36.96</v>
      </c>
      <c r="DJ91" s="228">
        <v>-0.28000000000000003</v>
      </c>
      <c r="DK91" s="228">
        <v>-0.28000000000000003</v>
      </c>
      <c r="DL91" s="228">
        <v>39.21</v>
      </c>
      <c r="DM91" s="228">
        <v>38.869999999999997</v>
      </c>
      <c r="DN91" s="228">
        <v>0.34</v>
      </c>
      <c r="DO91" s="228">
        <v>0.34</v>
      </c>
      <c r="DP91" s="228">
        <v>0.67</v>
      </c>
      <c r="DQ91" s="228">
        <v>0.73</v>
      </c>
      <c r="DR91" s="228">
        <v>-0.06</v>
      </c>
      <c r="DS91" s="229">
        <v>-8.2199999999999995E-2</v>
      </c>
      <c r="DT91" s="231">
        <v>1000</v>
      </c>
      <c r="DU91" s="228">
        <v>900</v>
      </c>
      <c r="DV91" s="228">
        <v>0.59</v>
      </c>
      <c r="DW91" s="228">
        <v>0.63</v>
      </c>
      <c r="DX91" s="228">
        <v>-0.04</v>
      </c>
      <c r="DY91" s="229">
        <v>-6.3500000000000001E-2</v>
      </c>
      <c r="DZ91" s="229">
        <v>2.4400000000000002E-2</v>
      </c>
      <c r="EA91" s="230">
        <v>180000</v>
      </c>
      <c r="EB91" s="229">
        <v>3.5999999999999999E-3</v>
      </c>
      <c r="EC91" s="229">
        <v>2.4400000000000002E-2</v>
      </c>
      <c r="ED91" s="228">
        <v>3.42</v>
      </c>
      <c r="EE91" s="229">
        <v>3.8E-3</v>
      </c>
      <c r="EF91" s="230">
        <v>390387</v>
      </c>
      <c r="EG91" s="230">
        <v>504406</v>
      </c>
      <c r="EH91" s="229">
        <v>-0.22600000000000001</v>
      </c>
      <c r="EI91" s="229">
        <v>0.36659999999999998</v>
      </c>
      <c r="EJ91" s="231">
        <v>41049.71</v>
      </c>
      <c r="EK91" s="231">
        <v>22989.9</v>
      </c>
      <c r="EL91" s="231">
        <v>23604.080000000002</v>
      </c>
      <c r="EM91" s="231">
        <v>2984</v>
      </c>
      <c r="EN91" s="231">
        <v>87643.69</v>
      </c>
      <c r="EO91" s="231">
        <v>75403.34</v>
      </c>
      <c r="EP91" s="231">
        <v>12240.35</v>
      </c>
      <c r="EQ91" s="229">
        <v>0.1623</v>
      </c>
      <c r="ER91" s="231">
        <v>54789</v>
      </c>
      <c r="ES91" s="231">
        <v>34098</v>
      </c>
      <c r="ET91" s="231">
        <v>75842</v>
      </c>
      <c r="EU91" s="231">
        <v>52862157</v>
      </c>
      <c r="EV91" s="231">
        <v>164729</v>
      </c>
      <c r="EW91" s="231">
        <v>156866</v>
      </c>
      <c r="EX91" s="231">
        <v>7863</v>
      </c>
      <c r="EY91" s="229">
        <v>5.0099999999999999E-2</v>
      </c>
      <c r="EZ91" s="229">
        <v>0.33339999999999997</v>
      </c>
      <c r="FA91" s="227" t="s">
        <v>567</v>
      </c>
      <c r="FB91" s="161">
        <f t="shared" si="1"/>
        <v>203000</v>
      </c>
    </row>
    <row r="92" spans="1:158" ht="17.25" thickBot="1" x14ac:dyDescent="0.3">
      <c r="A92" s="226">
        <v>46093</v>
      </c>
      <c r="B92" s="227" t="s">
        <v>181</v>
      </c>
      <c r="C92" s="227" t="s">
        <v>687</v>
      </c>
      <c r="D92" s="228">
        <v>1</v>
      </c>
      <c r="E92" s="228">
        <v>21.52</v>
      </c>
      <c r="F92" s="228">
        <v>21.06</v>
      </c>
      <c r="G92" s="228">
        <v>0.46</v>
      </c>
      <c r="H92" s="229">
        <v>2.1700000000000001E-2</v>
      </c>
      <c r="I92" s="228">
        <v>21.52</v>
      </c>
      <c r="J92" s="228">
        <v>21.06</v>
      </c>
      <c r="K92" s="228">
        <v>0.46</v>
      </c>
      <c r="L92" s="229">
        <v>2.1700000000000001E-2</v>
      </c>
      <c r="M92" s="228">
        <v>0</v>
      </c>
      <c r="N92" s="228">
        <v>0</v>
      </c>
      <c r="O92" s="228">
        <v>0</v>
      </c>
      <c r="P92" s="229">
        <v>0</v>
      </c>
      <c r="Q92" s="228">
        <v>0</v>
      </c>
      <c r="R92" s="228">
        <v>0</v>
      </c>
      <c r="S92" s="228">
        <v>0</v>
      </c>
      <c r="T92" s="229">
        <v>0</v>
      </c>
      <c r="U92" s="228">
        <v>0</v>
      </c>
      <c r="V92" s="228">
        <v>0</v>
      </c>
      <c r="W92" s="228">
        <v>0</v>
      </c>
      <c r="X92" s="229">
        <v>0</v>
      </c>
      <c r="Y92" s="228">
        <v>0</v>
      </c>
      <c r="Z92" s="228">
        <v>0</v>
      </c>
      <c r="AA92" s="228">
        <v>0</v>
      </c>
      <c r="AB92" s="229">
        <v>0</v>
      </c>
      <c r="AC92" s="228">
        <v>0</v>
      </c>
      <c r="AD92" s="228">
        <v>0</v>
      </c>
      <c r="AE92" s="228">
        <v>0</v>
      </c>
      <c r="AF92" s="229">
        <v>0</v>
      </c>
      <c r="AG92" s="228">
        <v>0</v>
      </c>
      <c r="AH92" s="228">
        <v>0</v>
      </c>
      <c r="AI92" s="228">
        <v>0</v>
      </c>
      <c r="AJ92" s="229">
        <v>0</v>
      </c>
      <c r="AK92" s="228">
        <v>0</v>
      </c>
      <c r="AL92" s="228">
        <v>0</v>
      </c>
      <c r="AM92" s="228">
        <v>0</v>
      </c>
      <c r="AN92" s="229">
        <v>0</v>
      </c>
      <c r="AO92" s="228">
        <v>0</v>
      </c>
      <c r="AP92" s="228">
        <v>0</v>
      </c>
      <c r="AQ92" s="228">
        <v>0</v>
      </c>
      <c r="AR92" s="228">
        <v>0</v>
      </c>
      <c r="AS92" s="228">
        <v>0</v>
      </c>
      <c r="AT92" s="228">
        <v>0</v>
      </c>
      <c r="AU92" s="229">
        <v>0</v>
      </c>
      <c r="AV92" s="228">
        <v>0</v>
      </c>
      <c r="AW92" s="228">
        <v>0</v>
      </c>
      <c r="AX92" s="228">
        <v>0</v>
      </c>
      <c r="AY92" s="229">
        <v>0</v>
      </c>
      <c r="AZ92" s="228">
        <v>0</v>
      </c>
      <c r="BA92" s="228">
        <v>0</v>
      </c>
      <c r="BB92" s="228">
        <v>0</v>
      </c>
      <c r="BC92" s="229">
        <v>0</v>
      </c>
      <c r="BD92" s="228">
        <v>0</v>
      </c>
      <c r="BE92" s="228">
        <v>0</v>
      </c>
      <c r="BF92" s="228">
        <v>0</v>
      </c>
      <c r="BG92" s="229">
        <v>0</v>
      </c>
      <c r="BH92" s="228">
        <v>0</v>
      </c>
      <c r="BI92" s="228">
        <v>0</v>
      </c>
      <c r="BJ92" s="228">
        <v>0</v>
      </c>
      <c r="BK92" s="229">
        <v>0</v>
      </c>
      <c r="BL92" s="228">
        <v>0</v>
      </c>
      <c r="BM92" s="228">
        <v>0</v>
      </c>
      <c r="BN92" s="228">
        <v>0</v>
      </c>
      <c r="BO92" s="229">
        <v>0</v>
      </c>
      <c r="BP92" s="228">
        <v>0</v>
      </c>
      <c r="BQ92" s="228">
        <v>0</v>
      </c>
      <c r="BR92" s="228">
        <v>0</v>
      </c>
      <c r="BS92" s="229">
        <v>0</v>
      </c>
      <c r="BT92" s="228">
        <v>0</v>
      </c>
      <c r="BU92" s="228">
        <v>0</v>
      </c>
      <c r="BV92" s="228">
        <v>0</v>
      </c>
      <c r="BW92" s="229">
        <v>0</v>
      </c>
      <c r="BX92" s="228">
        <v>0</v>
      </c>
      <c r="BY92" s="228">
        <v>0</v>
      </c>
      <c r="BZ92" s="228">
        <v>0</v>
      </c>
      <c r="CA92" s="229">
        <v>0</v>
      </c>
      <c r="CB92" s="228">
        <v>0</v>
      </c>
      <c r="CC92" s="228">
        <v>0</v>
      </c>
      <c r="CD92" s="228">
        <v>0</v>
      </c>
      <c r="CE92" s="229">
        <v>0</v>
      </c>
      <c r="CF92" s="228">
        <v>0</v>
      </c>
      <c r="CG92" s="228">
        <v>0</v>
      </c>
      <c r="CH92" s="228">
        <v>0</v>
      </c>
      <c r="CI92" s="229">
        <v>0</v>
      </c>
      <c r="CJ92" s="228">
        <v>0</v>
      </c>
      <c r="CK92" s="228">
        <v>0</v>
      </c>
      <c r="CL92" s="228">
        <v>0</v>
      </c>
      <c r="CM92" s="229">
        <v>0</v>
      </c>
      <c r="CN92" s="228">
        <v>0</v>
      </c>
      <c r="CO92" s="228">
        <v>0</v>
      </c>
      <c r="CP92" s="228">
        <v>0</v>
      </c>
      <c r="CQ92" s="229">
        <v>0</v>
      </c>
      <c r="CR92" s="228">
        <v>0</v>
      </c>
      <c r="CS92" s="228">
        <v>0</v>
      </c>
      <c r="CT92" s="228">
        <v>0</v>
      </c>
      <c r="CU92" s="229">
        <v>0</v>
      </c>
      <c r="CV92" s="228">
        <v>0</v>
      </c>
      <c r="CW92" s="228">
        <v>0</v>
      </c>
      <c r="CX92" s="228">
        <v>0</v>
      </c>
      <c r="CY92" s="229">
        <v>0</v>
      </c>
      <c r="CZ92" s="228">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9">
        <v>0</v>
      </c>
      <c r="DT92" s="228">
        <v>0</v>
      </c>
      <c r="DU92" s="228">
        <v>0</v>
      </c>
      <c r="DV92" s="228">
        <v>0</v>
      </c>
      <c r="DW92" s="228">
        <v>0</v>
      </c>
      <c r="DX92" s="228">
        <v>0</v>
      </c>
      <c r="DY92" s="229">
        <v>0</v>
      </c>
      <c r="DZ92" s="229">
        <v>0</v>
      </c>
      <c r="EA92" s="228">
        <v>0</v>
      </c>
      <c r="EB92" s="229">
        <v>0</v>
      </c>
      <c r="EC92" s="229">
        <v>0</v>
      </c>
      <c r="ED92" s="228">
        <v>0</v>
      </c>
      <c r="EE92" s="229">
        <v>0</v>
      </c>
      <c r="EF92" s="228">
        <v>0</v>
      </c>
      <c r="EG92" s="228">
        <v>0</v>
      </c>
      <c r="EH92" s="229">
        <v>0</v>
      </c>
      <c r="EI92" s="229">
        <v>0</v>
      </c>
      <c r="EJ92" s="228">
        <v>0</v>
      </c>
      <c r="EK92" s="228">
        <v>0</v>
      </c>
      <c r="EL92" s="228">
        <v>0</v>
      </c>
      <c r="EM92" s="228">
        <v>0</v>
      </c>
      <c r="EN92" s="228">
        <v>0</v>
      </c>
      <c r="EO92" s="228">
        <v>0</v>
      </c>
      <c r="EP92" s="228">
        <v>0</v>
      </c>
      <c r="EQ92" s="229">
        <v>0</v>
      </c>
      <c r="ER92" s="228">
        <v>0</v>
      </c>
      <c r="ES92" s="228">
        <v>0</v>
      </c>
      <c r="ET92" s="228">
        <v>0</v>
      </c>
      <c r="EU92" s="228">
        <v>0</v>
      </c>
      <c r="EV92" s="228">
        <v>0</v>
      </c>
      <c r="EW92" s="228">
        <v>0</v>
      </c>
      <c r="EX92" s="228">
        <v>0</v>
      </c>
      <c r="EY92" s="229">
        <v>0</v>
      </c>
      <c r="EZ92" s="229">
        <v>0</v>
      </c>
      <c r="FA92" s="227" t="s">
        <v>237</v>
      </c>
      <c r="FB92" s="161">
        <f t="shared" si="1"/>
        <v>0</v>
      </c>
    </row>
    <row r="93" spans="1:158" ht="17.25" thickBot="1" x14ac:dyDescent="0.3">
      <c r="A93" s="226">
        <v>46093</v>
      </c>
      <c r="B93" s="227" t="s">
        <v>215</v>
      </c>
      <c r="C93" s="227" t="s">
        <v>238</v>
      </c>
      <c r="D93" s="228">
        <v>150</v>
      </c>
      <c r="E93" s="231">
        <v>4258.1000000000004</v>
      </c>
      <c r="F93" s="231">
        <v>4355.5</v>
      </c>
      <c r="G93" s="228">
        <v>-97.4</v>
      </c>
      <c r="H93" s="229">
        <v>-2.24E-2</v>
      </c>
      <c r="I93" s="231">
        <v>4251.7</v>
      </c>
      <c r="J93" s="231">
        <v>4350.7</v>
      </c>
      <c r="K93" s="228">
        <v>-99</v>
      </c>
      <c r="L93" s="229">
        <v>-2.2800000000000001E-2</v>
      </c>
      <c r="M93" s="231">
        <v>4258.1000000000004</v>
      </c>
      <c r="N93" s="231">
        <v>4355.5</v>
      </c>
      <c r="O93" s="228">
        <v>-97.4</v>
      </c>
      <c r="P93" s="229">
        <v>-2.24E-2</v>
      </c>
      <c r="Q93" s="231">
        <v>4284.2</v>
      </c>
      <c r="R93" s="231">
        <v>4380.5</v>
      </c>
      <c r="S93" s="228">
        <v>-96.3</v>
      </c>
      <c r="T93" s="229">
        <v>-2.1999999999999999E-2</v>
      </c>
      <c r="U93" s="231">
        <v>4310.3999999999996</v>
      </c>
      <c r="V93" s="231">
        <v>4404.3</v>
      </c>
      <c r="W93" s="228">
        <v>-93.9</v>
      </c>
      <c r="X93" s="229">
        <v>-2.1299999999999999E-2</v>
      </c>
      <c r="Y93" s="228">
        <v>6.4</v>
      </c>
      <c r="Z93" s="228">
        <v>4.8</v>
      </c>
      <c r="AA93" s="228">
        <v>1.6</v>
      </c>
      <c r="AB93" s="229">
        <v>1.5E-3</v>
      </c>
      <c r="AC93" s="228">
        <v>6.4</v>
      </c>
      <c r="AD93" s="228">
        <v>4.8</v>
      </c>
      <c r="AE93" s="228">
        <v>1.6</v>
      </c>
      <c r="AF93" s="229">
        <v>1.5E-3</v>
      </c>
      <c r="AG93" s="228">
        <v>32.5</v>
      </c>
      <c r="AH93" s="228">
        <v>29.8</v>
      </c>
      <c r="AI93" s="228">
        <v>2.7</v>
      </c>
      <c r="AJ93" s="229">
        <v>7.6E-3</v>
      </c>
      <c r="AK93" s="228">
        <v>58.7</v>
      </c>
      <c r="AL93" s="228">
        <v>53.6</v>
      </c>
      <c r="AM93" s="228">
        <v>5.0999999999999996</v>
      </c>
      <c r="AN93" s="229">
        <v>1.38E-2</v>
      </c>
      <c r="AO93" s="231">
        <v>4261.5600000000004</v>
      </c>
      <c r="AP93" s="231">
        <v>4287.13</v>
      </c>
      <c r="AQ93" s="228">
        <v>0</v>
      </c>
      <c r="AR93" s="230">
        <v>2209950</v>
      </c>
      <c r="AS93" s="230">
        <v>3399300</v>
      </c>
      <c r="AT93" s="230">
        <v>-1189350</v>
      </c>
      <c r="AU93" s="229">
        <v>-0.34989999999999999</v>
      </c>
      <c r="AV93" s="230">
        <v>1849200</v>
      </c>
      <c r="AW93" s="230">
        <v>3088800</v>
      </c>
      <c r="AX93" s="230">
        <v>-1239600</v>
      </c>
      <c r="AY93" s="229">
        <v>-0.40129999999999999</v>
      </c>
      <c r="AZ93" s="230">
        <v>176700</v>
      </c>
      <c r="BA93" s="230">
        <v>227550</v>
      </c>
      <c r="BB93" s="230">
        <v>-50850</v>
      </c>
      <c r="BC93" s="229">
        <v>-0.2235</v>
      </c>
      <c r="BD93" s="230">
        <v>184050</v>
      </c>
      <c r="BE93" s="230">
        <v>82950</v>
      </c>
      <c r="BF93" s="230">
        <v>101100</v>
      </c>
      <c r="BG93" s="229">
        <v>1.2188000000000001</v>
      </c>
      <c r="BH93" s="230">
        <v>6636450</v>
      </c>
      <c r="BI93" s="230">
        <v>14629350</v>
      </c>
      <c r="BJ93" s="230">
        <v>-7992900</v>
      </c>
      <c r="BK93" s="229">
        <v>-0.5464</v>
      </c>
      <c r="BL93" s="230">
        <v>7699200</v>
      </c>
      <c r="BM93" s="230">
        <v>12444300</v>
      </c>
      <c r="BN93" s="230">
        <v>-4745100</v>
      </c>
      <c r="BO93" s="229">
        <v>-0.38129999999999997</v>
      </c>
      <c r="BP93" s="230">
        <v>16545600</v>
      </c>
      <c r="BQ93" s="230">
        <v>30472950</v>
      </c>
      <c r="BR93" s="230">
        <v>-13927350</v>
      </c>
      <c r="BS93" s="229">
        <v>-0.45700000000000002</v>
      </c>
      <c r="BT93" s="230">
        <v>1657768</v>
      </c>
      <c r="BU93" s="230">
        <v>2784597</v>
      </c>
      <c r="BV93" s="230">
        <v>-1126829</v>
      </c>
      <c r="BW93" s="229">
        <v>-0.4047</v>
      </c>
      <c r="BX93" s="230">
        <v>9673650</v>
      </c>
      <c r="BY93" s="230">
        <v>9686100</v>
      </c>
      <c r="BZ93" s="230">
        <v>-12450</v>
      </c>
      <c r="CA93" s="229">
        <v>-1.2999999999999999E-3</v>
      </c>
      <c r="CB93" s="230">
        <v>8661300</v>
      </c>
      <c r="CC93" s="230">
        <v>8692800</v>
      </c>
      <c r="CD93" s="230">
        <v>-31500</v>
      </c>
      <c r="CE93" s="229">
        <v>-3.5999999999999999E-3</v>
      </c>
      <c r="CF93" s="230">
        <v>621150</v>
      </c>
      <c r="CG93" s="230">
        <v>606000</v>
      </c>
      <c r="CH93" s="230">
        <v>15150</v>
      </c>
      <c r="CI93" s="229">
        <v>2.5000000000000001E-2</v>
      </c>
      <c r="CJ93" s="230">
        <v>391200</v>
      </c>
      <c r="CK93" s="230">
        <v>387300</v>
      </c>
      <c r="CL93" s="230">
        <v>3900</v>
      </c>
      <c r="CM93" s="229">
        <v>1.01E-2</v>
      </c>
      <c r="CN93" s="230">
        <v>7901400</v>
      </c>
      <c r="CO93" s="230">
        <v>7673100</v>
      </c>
      <c r="CP93" s="230">
        <v>228300</v>
      </c>
      <c r="CQ93" s="229">
        <v>2.98E-2</v>
      </c>
      <c r="CR93" s="230">
        <v>4338450</v>
      </c>
      <c r="CS93" s="230">
        <v>4577100</v>
      </c>
      <c r="CT93" s="230">
        <v>-238650</v>
      </c>
      <c r="CU93" s="229">
        <v>-5.21E-2</v>
      </c>
      <c r="CV93" s="230">
        <v>21913500</v>
      </c>
      <c r="CW93" s="230">
        <v>21936300</v>
      </c>
      <c r="CX93" s="230">
        <v>-22800</v>
      </c>
      <c r="CY93" s="229">
        <v>-1E-3</v>
      </c>
      <c r="CZ93" s="228">
        <v>41.2</v>
      </c>
      <c r="DA93" s="228">
        <v>40.020000000000003</v>
      </c>
      <c r="DB93" s="228">
        <v>1.18</v>
      </c>
      <c r="DC93" s="228">
        <v>1.18</v>
      </c>
      <c r="DD93" s="228">
        <v>35.33</v>
      </c>
      <c r="DE93" s="228">
        <v>35.28</v>
      </c>
      <c r="DF93" s="228">
        <v>5.87</v>
      </c>
      <c r="DG93" s="228">
        <v>0.05</v>
      </c>
      <c r="DH93" s="228">
        <v>38.39</v>
      </c>
      <c r="DI93" s="228">
        <v>37.1</v>
      </c>
      <c r="DJ93" s="228">
        <v>1.29</v>
      </c>
      <c r="DK93" s="228">
        <v>1.29</v>
      </c>
      <c r="DL93" s="228">
        <v>43.63</v>
      </c>
      <c r="DM93" s="228">
        <v>43.46</v>
      </c>
      <c r="DN93" s="228">
        <v>0.17</v>
      </c>
      <c r="DO93" s="228">
        <v>0.17</v>
      </c>
      <c r="DP93" s="228">
        <v>0.55000000000000004</v>
      </c>
      <c r="DQ93" s="228">
        <v>0.6</v>
      </c>
      <c r="DR93" s="228">
        <v>-0.05</v>
      </c>
      <c r="DS93" s="229">
        <v>-8.3299999999999999E-2</v>
      </c>
      <c r="DT93" s="231">
        <v>4400</v>
      </c>
      <c r="DU93" s="231">
        <v>4000</v>
      </c>
      <c r="DV93" s="228">
        <v>1.1599999999999999</v>
      </c>
      <c r="DW93" s="228">
        <v>0.85</v>
      </c>
      <c r="DX93" s="228">
        <v>0.31</v>
      </c>
      <c r="DY93" s="229">
        <v>0.36470000000000002</v>
      </c>
      <c r="DZ93" s="229">
        <v>0.1047</v>
      </c>
      <c r="EA93" s="230">
        <v>993300</v>
      </c>
      <c r="EB93" s="229">
        <v>6.1000000000000004E-3</v>
      </c>
      <c r="EC93" s="229">
        <v>0.1047</v>
      </c>
      <c r="ED93" s="228">
        <v>25.57</v>
      </c>
      <c r="EE93" s="229">
        <v>6.0000000000000001E-3</v>
      </c>
      <c r="EF93" s="230">
        <v>761618</v>
      </c>
      <c r="EG93" s="230">
        <v>1203674</v>
      </c>
      <c r="EH93" s="229">
        <v>-0.36730000000000002</v>
      </c>
      <c r="EI93" s="229">
        <v>0.45939999999999998</v>
      </c>
      <c r="EJ93" s="231">
        <v>306808.52</v>
      </c>
      <c r="EK93" s="231">
        <v>324818.07</v>
      </c>
      <c r="EL93" s="231">
        <v>94327.61</v>
      </c>
      <c r="EM93" s="231">
        <v>23854</v>
      </c>
      <c r="EN93" s="231">
        <v>725954.2</v>
      </c>
      <c r="EO93" s="231">
        <v>1379284.89</v>
      </c>
      <c r="EP93" s="231">
        <v>-653330.68999999994</v>
      </c>
      <c r="EQ93" s="229">
        <v>-0.47370000000000001</v>
      </c>
      <c r="ER93" s="231">
        <v>369901</v>
      </c>
      <c r="ES93" s="231">
        <v>189572</v>
      </c>
      <c r="ET93" s="231">
        <v>412280</v>
      </c>
      <c r="EU93" s="231">
        <v>33874835</v>
      </c>
      <c r="EV93" s="231">
        <v>971753</v>
      </c>
      <c r="EW93" s="231">
        <v>981329</v>
      </c>
      <c r="EX93" s="231">
        <v>-9576</v>
      </c>
      <c r="EY93" s="229">
        <v>-9.7999999999999997E-3</v>
      </c>
      <c r="EZ93" s="229">
        <v>0.64690000000000003</v>
      </c>
      <c r="FA93" s="227" t="s">
        <v>568</v>
      </c>
      <c r="FB93" s="161">
        <f t="shared" si="1"/>
        <v>1012350</v>
      </c>
    </row>
    <row r="94" spans="1:158" ht="17.25" thickBot="1" x14ac:dyDescent="0.3">
      <c r="A94" s="226">
        <v>46093</v>
      </c>
      <c r="B94" s="227" t="s">
        <v>172</v>
      </c>
      <c r="C94" s="227" t="s">
        <v>239</v>
      </c>
      <c r="D94" s="228">
        <v>700</v>
      </c>
      <c r="E94" s="228">
        <v>830.95</v>
      </c>
      <c r="F94" s="228">
        <v>876.4</v>
      </c>
      <c r="G94" s="228">
        <v>-45.45</v>
      </c>
      <c r="H94" s="229">
        <v>-5.1900000000000002E-2</v>
      </c>
      <c r="I94" s="228">
        <v>831.35</v>
      </c>
      <c r="J94" s="228">
        <v>877.15</v>
      </c>
      <c r="K94" s="228">
        <v>-45.8</v>
      </c>
      <c r="L94" s="229">
        <v>-5.2200000000000003E-2</v>
      </c>
      <c r="M94" s="228">
        <v>830.95</v>
      </c>
      <c r="N94" s="228">
        <v>876.4</v>
      </c>
      <c r="O94" s="228">
        <v>-45.45</v>
      </c>
      <c r="P94" s="229">
        <v>-5.1900000000000002E-2</v>
      </c>
      <c r="Q94" s="228">
        <v>836.75</v>
      </c>
      <c r="R94" s="228">
        <v>882.1</v>
      </c>
      <c r="S94" s="228">
        <v>-45.35</v>
      </c>
      <c r="T94" s="229">
        <v>-5.1400000000000001E-2</v>
      </c>
      <c r="U94" s="228">
        <v>841.6</v>
      </c>
      <c r="V94" s="228">
        <v>887.35</v>
      </c>
      <c r="W94" s="228">
        <v>-45.75</v>
      </c>
      <c r="X94" s="229">
        <v>-5.16E-2</v>
      </c>
      <c r="Y94" s="228">
        <v>-0.4</v>
      </c>
      <c r="Z94" s="228">
        <v>-0.75</v>
      </c>
      <c r="AA94" s="228">
        <v>0.35</v>
      </c>
      <c r="AB94" s="229">
        <v>-5.0000000000000001E-4</v>
      </c>
      <c r="AC94" s="228">
        <v>-0.4</v>
      </c>
      <c r="AD94" s="228">
        <v>-0.75</v>
      </c>
      <c r="AE94" s="228">
        <v>0.35</v>
      </c>
      <c r="AF94" s="229">
        <v>-5.0000000000000001E-4</v>
      </c>
      <c r="AG94" s="228">
        <v>5.4</v>
      </c>
      <c r="AH94" s="228">
        <v>4.95</v>
      </c>
      <c r="AI94" s="228">
        <v>0.45</v>
      </c>
      <c r="AJ94" s="229">
        <v>6.4999999999999997E-3</v>
      </c>
      <c r="AK94" s="228">
        <v>10.25</v>
      </c>
      <c r="AL94" s="228">
        <v>10.199999999999999</v>
      </c>
      <c r="AM94" s="228">
        <v>0.05</v>
      </c>
      <c r="AN94" s="229">
        <v>1.23E-2</v>
      </c>
      <c r="AO94" s="228">
        <v>838.85</v>
      </c>
      <c r="AP94" s="228">
        <v>844.02</v>
      </c>
      <c r="AQ94" s="228">
        <v>0</v>
      </c>
      <c r="AR94" s="230">
        <v>14884100</v>
      </c>
      <c r="AS94" s="230">
        <v>6995800</v>
      </c>
      <c r="AT94" s="230">
        <v>7888300</v>
      </c>
      <c r="AU94" s="229">
        <v>1.1275999999999999</v>
      </c>
      <c r="AV94" s="230">
        <v>12147800</v>
      </c>
      <c r="AW94" s="230">
        <v>5408200</v>
      </c>
      <c r="AX94" s="230">
        <v>6739600</v>
      </c>
      <c r="AY94" s="229">
        <v>1.2462</v>
      </c>
      <c r="AZ94" s="230">
        <v>2582300</v>
      </c>
      <c r="BA94" s="230">
        <v>1533700</v>
      </c>
      <c r="BB94" s="230">
        <v>1048600</v>
      </c>
      <c r="BC94" s="229">
        <v>0.68369999999999997</v>
      </c>
      <c r="BD94" s="230">
        <v>154000</v>
      </c>
      <c r="BE94" s="230">
        <v>53900</v>
      </c>
      <c r="BF94" s="230">
        <v>100100</v>
      </c>
      <c r="BG94" s="229">
        <v>1.8571</v>
      </c>
      <c r="BH94" s="230">
        <v>23011100</v>
      </c>
      <c r="BI94" s="230">
        <v>8157100</v>
      </c>
      <c r="BJ94" s="230">
        <v>14854000</v>
      </c>
      <c r="BK94" s="229">
        <v>1.821</v>
      </c>
      <c r="BL94" s="230">
        <v>21862400</v>
      </c>
      <c r="BM94" s="230">
        <v>5422900</v>
      </c>
      <c r="BN94" s="230">
        <v>16439500</v>
      </c>
      <c r="BO94" s="229">
        <v>3.0314999999999999</v>
      </c>
      <c r="BP94" s="230">
        <v>59757600</v>
      </c>
      <c r="BQ94" s="230">
        <v>20575800</v>
      </c>
      <c r="BR94" s="230">
        <v>39181800</v>
      </c>
      <c r="BS94" s="229">
        <v>1.9043000000000001</v>
      </c>
      <c r="BT94" s="230">
        <v>7707136</v>
      </c>
      <c r="BU94" s="230">
        <v>2789189</v>
      </c>
      <c r="BV94" s="230">
        <v>4917947</v>
      </c>
      <c r="BW94" s="229">
        <v>1.7632000000000001</v>
      </c>
      <c r="BX94" s="230">
        <v>41130600</v>
      </c>
      <c r="BY94" s="230">
        <v>39954600</v>
      </c>
      <c r="BZ94" s="230">
        <v>1176000</v>
      </c>
      <c r="CA94" s="229">
        <v>2.9399999999999999E-2</v>
      </c>
      <c r="CB94" s="230">
        <v>36365700</v>
      </c>
      <c r="CC94" s="230">
        <v>36354500</v>
      </c>
      <c r="CD94" s="230">
        <v>11200</v>
      </c>
      <c r="CE94" s="229">
        <v>2.9999999999999997E-4</v>
      </c>
      <c r="CF94" s="230">
        <v>4450600</v>
      </c>
      <c r="CG94" s="230">
        <v>3360700</v>
      </c>
      <c r="CH94" s="230">
        <v>1089900</v>
      </c>
      <c r="CI94" s="229">
        <v>0.32429999999999998</v>
      </c>
      <c r="CJ94" s="230">
        <v>314300</v>
      </c>
      <c r="CK94" s="230">
        <v>239400</v>
      </c>
      <c r="CL94" s="230">
        <v>74900</v>
      </c>
      <c r="CM94" s="229">
        <v>0.31290000000000001</v>
      </c>
      <c r="CN94" s="230">
        <v>9250500</v>
      </c>
      <c r="CO94" s="230">
        <v>6927900</v>
      </c>
      <c r="CP94" s="230">
        <v>2322600</v>
      </c>
      <c r="CQ94" s="229">
        <v>0.33529999999999999</v>
      </c>
      <c r="CR94" s="230">
        <v>7284200</v>
      </c>
      <c r="CS94" s="230">
        <v>5917100</v>
      </c>
      <c r="CT94" s="230">
        <v>1367100</v>
      </c>
      <c r="CU94" s="229">
        <v>0.23100000000000001</v>
      </c>
      <c r="CV94" s="230">
        <v>57665300</v>
      </c>
      <c r="CW94" s="230">
        <v>52799600</v>
      </c>
      <c r="CX94" s="230">
        <v>4865700</v>
      </c>
      <c r="CY94" s="229">
        <v>9.2200000000000004E-2</v>
      </c>
      <c r="CZ94" s="228">
        <v>38.99</v>
      </c>
      <c r="DA94" s="228">
        <v>35.659999999999997</v>
      </c>
      <c r="DB94" s="228">
        <v>3.33</v>
      </c>
      <c r="DC94" s="228">
        <v>3.33</v>
      </c>
      <c r="DD94" s="228">
        <v>41.89</v>
      </c>
      <c r="DE94" s="228">
        <v>41.36</v>
      </c>
      <c r="DF94" s="228">
        <v>-2.9</v>
      </c>
      <c r="DG94" s="228">
        <v>0.53</v>
      </c>
      <c r="DH94" s="228">
        <v>38.33</v>
      </c>
      <c r="DI94" s="228">
        <v>34.82</v>
      </c>
      <c r="DJ94" s="228">
        <v>3.51</v>
      </c>
      <c r="DK94" s="228">
        <v>3.51</v>
      </c>
      <c r="DL94" s="228">
        <v>39.68</v>
      </c>
      <c r="DM94" s="228">
        <v>36.93</v>
      </c>
      <c r="DN94" s="228">
        <v>2.75</v>
      </c>
      <c r="DO94" s="228">
        <v>2.75</v>
      </c>
      <c r="DP94" s="228">
        <v>0.79</v>
      </c>
      <c r="DQ94" s="228">
        <v>0.85</v>
      </c>
      <c r="DR94" s="228">
        <v>-0.06</v>
      </c>
      <c r="DS94" s="229">
        <v>-7.0599999999999996E-2</v>
      </c>
      <c r="DT94" s="228">
        <v>900</v>
      </c>
      <c r="DU94" s="228">
        <v>900</v>
      </c>
      <c r="DV94" s="228">
        <v>0.95</v>
      </c>
      <c r="DW94" s="228">
        <v>0.66</v>
      </c>
      <c r="DX94" s="228">
        <v>0.28999999999999998</v>
      </c>
      <c r="DY94" s="229">
        <v>0.43940000000000001</v>
      </c>
      <c r="DZ94" s="229">
        <v>0.1158</v>
      </c>
      <c r="EA94" s="230">
        <v>3600100</v>
      </c>
      <c r="EB94" s="229">
        <v>7.0000000000000001E-3</v>
      </c>
      <c r="EC94" s="229">
        <v>0.1158</v>
      </c>
      <c r="ED94" s="228">
        <v>5.17</v>
      </c>
      <c r="EE94" s="229">
        <v>6.1999999999999998E-3</v>
      </c>
      <c r="EF94" s="230">
        <v>2850462</v>
      </c>
      <c r="EG94" s="230">
        <v>1272801</v>
      </c>
      <c r="EH94" s="229">
        <v>1.2395</v>
      </c>
      <c r="EI94" s="229">
        <v>0.36980000000000002</v>
      </c>
      <c r="EJ94" s="231">
        <v>207923.43</v>
      </c>
      <c r="EK94" s="231">
        <v>185988.69</v>
      </c>
      <c r="EL94" s="231">
        <v>125007.53</v>
      </c>
      <c r="EM94" s="231">
        <v>10645</v>
      </c>
      <c r="EN94" s="231">
        <v>518919.65</v>
      </c>
      <c r="EO94" s="231">
        <v>187981.61</v>
      </c>
      <c r="EP94" s="231">
        <v>330938.03999999998</v>
      </c>
      <c r="EQ94" s="229">
        <v>1.7605</v>
      </c>
      <c r="ER94" s="231">
        <v>86361</v>
      </c>
      <c r="ES94" s="231">
        <v>63278</v>
      </c>
      <c r="ET94" s="231">
        <v>342066</v>
      </c>
      <c r="EU94" s="231">
        <v>93808799</v>
      </c>
      <c r="EV94" s="231">
        <v>491705</v>
      </c>
      <c r="EW94" s="231">
        <v>469483</v>
      </c>
      <c r="EX94" s="231">
        <v>22222</v>
      </c>
      <c r="EY94" s="229">
        <v>4.7300000000000002E-2</v>
      </c>
      <c r="EZ94" s="229">
        <v>0.61470000000000002</v>
      </c>
      <c r="FA94" s="227" t="s">
        <v>567</v>
      </c>
      <c r="FB94" s="161">
        <f t="shared" si="1"/>
        <v>4764900</v>
      </c>
    </row>
    <row r="95" spans="1:158" ht="17.25" thickBot="1" x14ac:dyDescent="0.3">
      <c r="A95" s="226">
        <v>46093</v>
      </c>
      <c r="B95" s="227" t="s">
        <v>188</v>
      </c>
      <c r="C95" s="227" t="s">
        <v>473</v>
      </c>
      <c r="D95" s="228">
        <v>1700</v>
      </c>
      <c r="E95" s="228">
        <v>442.45</v>
      </c>
      <c r="F95" s="228">
        <v>439.3</v>
      </c>
      <c r="G95" s="228">
        <v>3.15</v>
      </c>
      <c r="H95" s="229">
        <v>7.1999999999999998E-3</v>
      </c>
      <c r="I95" s="228">
        <v>442.05</v>
      </c>
      <c r="J95" s="228">
        <v>438.75</v>
      </c>
      <c r="K95" s="228">
        <v>3.3</v>
      </c>
      <c r="L95" s="229">
        <v>7.4999999999999997E-3</v>
      </c>
      <c r="M95" s="228">
        <v>442.45</v>
      </c>
      <c r="N95" s="228">
        <v>439.3</v>
      </c>
      <c r="O95" s="228">
        <v>3.15</v>
      </c>
      <c r="P95" s="229">
        <v>7.1999999999999998E-3</v>
      </c>
      <c r="Q95" s="228">
        <v>445.05</v>
      </c>
      <c r="R95" s="228">
        <v>442.25</v>
      </c>
      <c r="S95" s="228">
        <v>2.8</v>
      </c>
      <c r="T95" s="229">
        <v>6.3E-3</v>
      </c>
      <c r="U95" s="228">
        <v>446.85</v>
      </c>
      <c r="V95" s="228">
        <v>446.3</v>
      </c>
      <c r="W95" s="228">
        <v>0.55000000000000004</v>
      </c>
      <c r="X95" s="229">
        <v>1.1999999999999999E-3</v>
      </c>
      <c r="Y95" s="228">
        <v>0.4</v>
      </c>
      <c r="Z95" s="228">
        <v>0.55000000000000004</v>
      </c>
      <c r="AA95" s="228">
        <v>-0.15</v>
      </c>
      <c r="AB95" s="229">
        <v>8.9999999999999998E-4</v>
      </c>
      <c r="AC95" s="228">
        <v>0.4</v>
      </c>
      <c r="AD95" s="228">
        <v>0.55000000000000004</v>
      </c>
      <c r="AE95" s="228">
        <v>-0.15</v>
      </c>
      <c r="AF95" s="229">
        <v>8.9999999999999998E-4</v>
      </c>
      <c r="AG95" s="228">
        <v>3</v>
      </c>
      <c r="AH95" s="228">
        <v>3.5</v>
      </c>
      <c r="AI95" s="228">
        <v>-0.5</v>
      </c>
      <c r="AJ95" s="229">
        <v>6.7999999999999996E-3</v>
      </c>
      <c r="AK95" s="228">
        <v>4.8</v>
      </c>
      <c r="AL95" s="228">
        <v>7.55</v>
      </c>
      <c r="AM95" s="228">
        <v>-2.75</v>
      </c>
      <c r="AN95" s="229">
        <v>1.09E-2</v>
      </c>
      <c r="AO95" s="228">
        <v>440.5</v>
      </c>
      <c r="AP95" s="228">
        <v>443.37</v>
      </c>
      <c r="AQ95" s="228">
        <v>0</v>
      </c>
      <c r="AR95" s="230">
        <v>11014300</v>
      </c>
      <c r="AS95" s="230">
        <v>5771500</v>
      </c>
      <c r="AT95" s="230">
        <v>5242800</v>
      </c>
      <c r="AU95" s="229">
        <v>0.90839999999999999</v>
      </c>
      <c r="AV95" s="230">
        <v>9735900</v>
      </c>
      <c r="AW95" s="230">
        <v>5547100</v>
      </c>
      <c r="AX95" s="230">
        <v>4188800</v>
      </c>
      <c r="AY95" s="229">
        <v>0.75509999999999999</v>
      </c>
      <c r="AZ95" s="230">
        <v>1234200</v>
      </c>
      <c r="BA95" s="230">
        <v>212500</v>
      </c>
      <c r="BB95" s="230">
        <v>1021700</v>
      </c>
      <c r="BC95" s="229">
        <v>4.8079999999999998</v>
      </c>
      <c r="BD95" s="230">
        <v>44200</v>
      </c>
      <c r="BE95" s="230">
        <v>11900</v>
      </c>
      <c r="BF95" s="230">
        <v>32300</v>
      </c>
      <c r="BG95" s="229">
        <v>2.7143000000000002</v>
      </c>
      <c r="BH95" s="230">
        <v>20024300</v>
      </c>
      <c r="BI95" s="230">
        <v>8705700</v>
      </c>
      <c r="BJ95" s="230">
        <v>11318600</v>
      </c>
      <c r="BK95" s="229">
        <v>1.3001</v>
      </c>
      <c r="BL95" s="230">
        <v>11942500</v>
      </c>
      <c r="BM95" s="230">
        <v>3774000</v>
      </c>
      <c r="BN95" s="230">
        <v>8168500</v>
      </c>
      <c r="BO95" s="229">
        <v>2.1644000000000001</v>
      </c>
      <c r="BP95" s="230">
        <v>42981100</v>
      </c>
      <c r="BQ95" s="230">
        <v>18251200</v>
      </c>
      <c r="BR95" s="230">
        <v>24729900</v>
      </c>
      <c r="BS95" s="229">
        <v>1.355</v>
      </c>
      <c r="BT95" s="230">
        <v>5643315</v>
      </c>
      <c r="BU95" s="230">
        <v>2631096</v>
      </c>
      <c r="BV95" s="230">
        <v>3012219</v>
      </c>
      <c r="BW95" s="229">
        <v>1.1449</v>
      </c>
      <c r="BX95" s="230">
        <v>72438700</v>
      </c>
      <c r="BY95" s="230">
        <v>72836500</v>
      </c>
      <c r="BZ95" s="230">
        <v>-397800</v>
      </c>
      <c r="CA95" s="229">
        <v>-5.4999999999999997E-3</v>
      </c>
      <c r="CB95" s="230">
        <v>70907000</v>
      </c>
      <c r="CC95" s="230">
        <v>71668600</v>
      </c>
      <c r="CD95" s="230">
        <v>-761600</v>
      </c>
      <c r="CE95" s="229">
        <v>-1.06E-2</v>
      </c>
      <c r="CF95" s="230">
        <v>1448400</v>
      </c>
      <c r="CG95" s="230">
        <v>1088000</v>
      </c>
      <c r="CH95" s="230">
        <v>360400</v>
      </c>
      <c r="CI95" s="229">
        <v>0.33129999999999998</v>
      </c>
      <c r="CJ95" s="230">
        <v>83300</v>
      </c>
      <c r="CK95" s="230">
        <v>79900</v>
      </c>
      <c r="CL95" s="230">
        <v>3400</v>
      </c>
      <c r="CM95" s="229">
        <v>4.2599999999999999E-2</v>
      </c>
      <c r="CN95" s="230">
        <v>13436800</v>
      </c>
      <c r="CO95" s="230">
        <v>12950600</v>
      </c>
      <c r="CP95" s="230">
        <v>486200</v>
      </c>
      <c r="CQ95" s="229">
        <v>3.7499999999999999E-2</v>
      </c>
      <c r="CR95" s="230">
        <v>7119600</v>
      </c>
      <c r="CS95" s="230">
        <v>6562000</v>
      </c>
      <c r="CT95" s="230">
        <v>557600</v>
      </c>
      <c r="CU95" s="229">
        <v>8.5000000000000006E-2</v>
      </c>
      <c r="CV95" s="230">
        <v>92995100</v>
      </c>
      <c r="CW95" s="230">
        <v>92349100</v>
      </c>
      <c r="CX95" s="230">
        <v>646000</v>
      </c>
      <c r="CY95" s="229">
        <v>7.0000000000000001E-3</v>
      </c>
      <c r="CZ95" s="228">
        <v>33.409999999999997</v>
      </c>
      <c r="DA95" s="228">
        <v>34.28</v>
      </c>
      <c r="DB95" s="228">
        <v>-0.87</v>
      </c>
      <c r="DC95" s="228">
        <v>-0.87</v>
      </c>
      <c r="DD95" s="228">
        <v>36.9</v>
      </c>
      <c r="DE95" s="228">
        <v>36.979999999999997</v>
      </c>
      <c r="DF95" s="228">
        <v>-3.49</v>
      </c>
      <c r="DG95" s="228">
        <v>-0.08</v>
      </c>
      <c r="DH95" s="228">
        <v>33.18</v>
      </c>
      <c r="DI95" s="228">
        <v>34.07</v>
      </c>
      <c r="DJ95" s="228">
        <v>-0.89</v>
      </c>
      <c r="DK95" s="228">
        <v>-0.89</v>
      </c>
      <c r="DL95" s="228">
        <v>33.78</v>
      </c>
      <c r="DM95" s="228">
        <v>34.76</v>
      </c>
      <c r="DN95" s="228">
        <v>-0.98</v>
      </c>
      <c r="DO95" s="228">
        <v>-0.98</v>
      </c>
      <c r="DP95" s="228">
        <v>0.53</v>
      </c>
      <c r="DQ95" s="228">
        <v>0.51</v>
      </c>
      <c r="DR95" s="228">
        <v>0.02</v>
      </c>
      <c r="DS95" s="229">
        <v>3.9199999999999999E-2</v>
      </c>
      <c r="DT95" s="228">
        <v>500</v>
      </c>
      <c r="DU95" s="228">
        <v>470</v>
      </c>
      <c r="DV95" s="228">
        <v>0.6</v>
      </c>
      <c r="DW95" s="228">
        <v>0.43</v>
      </c>
      <c r="DX95" s="228">
        <v>0.17</v>
      </c>
      <c r="DY95" s="229">
        <v>0.39529999999999998</v>
      </c>
      <c r="DZ95" s="229">
        <v>2.1100000000000001E-2</v>
      </c>
      <c r="EA95" s="230">
        <v>1167900</v>
      </c>
      <c r="EB95" s="229">
        <v>5.8999999999999999E-3</v>
      </c>
      <c r="EC95" s="229">
        <v>2.1100000000000001E-2</v>
      </c>
      <c r="ED95" s="228">
        <v>2.87</v>
      </c>
      <c r="EE95" s="229">
        <v>6.4999999999999997E-3</v>
      </c>
      <c r="EF95" s="230">
        <v>2502142</v>
      </c>
      <c r="EG95" s="230">
        <v>1348871</v>
      </c>
      <c r="EH95" s="229">
        <v>0.85499999999999998</v>
      </c>
      <c r="EI95" s="229">
        <v>0.44340000000000002</v>
      </c>
      <c r="EJ95" s="231">
        <v>92376.19</v>
      </c>
      <c r="EK95" s="231">
        <v>53412.51</v>
      </c>
      <c r="EL95" s="231">
        <v>48554.54</v>
      </c>
      <c r="EM95" s="231">
        <v>4262</v>
      </c>
      <c r="EN95" s="231">
        <v>194343.24</v>
      </c>
      <c r="EO95" s="231">
        <v>83360.12</v>
      </c>
      <c r="EP95" s="231">
        <v>110983.12</v>
      </c>
      <c r="EQ95" s="229">
        <v>1.3313999999999999</v>
      </c>
      <c r="ER95" s="231">
        <v>63634</v>
      </c>
      <c r="ES95" s="231">
        <v>31258</v>
      </c>
      <c r="ET95" s="231">
        <v>320546</v>
      </c>
      <c r="EU95" s="231">
        <v>193623116</v>
      </c>
      <c r="EV95" s="231">
        <v>415439</v>
      </c>
      <c r="EW95" s="231">
        <v>410671</v>
      </c>
      <c r="EX95" s="231">
        <v>4768</v>
      </c>
      <c r="EY95" s="229">
        <v>1.1599999999999999E-2</v>
      </c>
      <c r="EZ95" s="229">
        <v>0.4803</v>
      </c>
      <c r="FA95" s="227" t="s">
        <v>556</v>
      </c>
      <c r="FB95" s="161">
        <f t="shared" si="1"/>
        <v>1531700</v>
      </c>
    </row>
    <row r="96" spans="1:158" ht="17.25" thickBot="1" x14ac:dyDescent="0.3">
      <c r="A96" s="226">
        <v>46093</v>
      </c>
      <c r="B96" s="227" t="s">
        <v>221</v>
      </c>
      <c r="C96" s="227" t="s">
        <v>240</v>
      </c>
      <c r="D96" s="228">
        <v>400</v>
      </c>
      <c r="E96" s="231">
        <v>1270.2</v>
      </c>
      <c r="F96" s="231">
        <v>1278.3</v>
      </c>
      <c r="G96" s="228">
        <v>-8.1</v>
      </c>
      <c r="H96" s="229">
        <v>-6.3E-3</v>
      </c>
      <c r="I96" s="231">
        <v>1265.8</v>
      </c>
      <c r="J96" s="231">
        <v>1276.3</v>
      </c>
      <c r="K96" s="228">
        <v>-10.5</v>
      </c>
      <c r="L96" s="229">
        <v>-8.2000000000000007E-3</v>
      </c>
      <c r="M96" s="231">
        <v>1270.2</v>
      </c>
      <c r="N96" s="231">
        <v>1278.3</v>
      </c>
      <c r="O96" s="228">
        <v>-8.1</v>
      </c>
      <c r="P96" s="229">
        <v>-6.3E-3</v>
      </c>
      <c r="Q96" s="231">
        <v>1275.5999999999999</v>
      </c>
      <c r="R96" s="231">
        <v>1283.4000000000001</v>
      </c>
      <c r="S96" s="228">
        <v>-7.8</v>
      </c>
      <c r="T96" s="229">
        <v>-6.1000000000000004E-3</v>
      </c>
      <c r="U96" s="231">
        <v>1277.8</v>
      </c>
      <c r="V96" s="231">
        <v>1288.4000000000001</v>
      </c>
      <c r="W96" s="228">
        <v>-10.6</v>
      </c>
      <c r="X96" s="229">
        <v>-8.2000000000000007E-3</v>
      </c>
      <c r="Y96" s="228">
        <v>4.4000000000000004</v>
      </c>
      <c r="Z96" s="228">
        <v>2</v>
      </c>
      <c r="AA96" s="228">
        <v>2.4</v>
      </c>
      <c r="AB96" s="229">
        <v>3.5000000000000001E-3</v>
      </c>
      <c r="AC96" s="228">
        <v>4.4000000000000004</v>
      </c>
      <c r="AD96" s="228">
        <v>2</v>
      </c>
      <c r="AE96" s="228">
        <v>2.4</v>
      </c>
      <c r="AF96" s="229">
        <v>3.5000000000000001E-3</v>
      </c>
      <c r="AG96" s="228">
        <v>9.8000000000000007</v>
      </c>
      <c r="AH96" s="228">
        <v>7.1</v>
      </c>
      <c r="AI96" s="228">
        <v>2.7</v>
      </c>
      <c r="AJ96" s="229">
        <v>7.7000000000000002E-3</v>
      </c>
      <c r="AK96" s="228">
        <v>12</v>
      </c>
      <c r="AL96" s="228">
        <v>12.1</v>
      </c>
      <c r="AM96" s="228">
        <v>-0.1</v>
      </c>
      <c r="AN96" s="229">
        <v>9.4999999999999998E-3</v>
      </c>
      <c r="AO96" s="231">
        <v>1270.69</v>
      </c>
      <c r="AP96" s="231">
        <v>1276.68</v>
      </c>
      <c r="AQ96" s="228">
        <v>0</v>
      </c>
      <c r="AR96" s="230">
        <v>11283600</v>
      </c>
      <c r="AS96" s="230">
        <v>8419200</v>
      </c>
      <c r="AT96" s="230">
        <v>2864400</v>
      </c>
      <c r="AU96" s="229">
        <v>0.3402</v>
      </c>
      <c r="AV96" s="230">
        <v>8807200</v>
      </c>
      <c r="AW96" s="230">
        <v>7452400</v>
      </c>
      <c r="AX96" s="230">
        <v>1354800</v>
      </c>
      <c r="AY96" s="229">
        <v>0.18179999999999999</v>
      </c>
      <c r="AZ96" s="230">
        <v>2374000</v>
      </c>
      <c r="BA96" s="230">
        <v>857200</v>
      </c>
      <c r="BB96" s="230">
        <v>1516800</v>
      </c>
      <c r="BC96" s="229">
        <v>1.7695000000000001</v>
      </c>
      <c r="BD96" s="230">
        <v>102400</v>
      </c>
      <c r="BE96" s="230">
        <v>109600</v>
      </c>
      <c r="BF96" s="230">
        <v>-7200</v>
      </c>
      <c r="BG96" s="229">
        <v>-6.5699999999999995E-2</v>
      </c>
      <c r="BH96" s="230">
        <v>27806800</v>
      </c>
      <c r="BI96" s="230">
        <v>23953200</v>
      </c>
      <c r="BJ96" s="230">
        <v>3853600</v>
      </c>
      <c r="BK96" s="229">
        <v>0.16089999999999999</v>
      </c>
      <c r="BL96" s="230">
        <v>14530000</v>
      </c>
      <c r="BM96" s="230">
        <v>14026000</v>
      </c>
      <c r="BN96" s="230">
        <v>504000</v>
      </c>
      <c r="BO96" s="229">
        <v>3.5900000000000001E-2</v>
      </c>
      <c r="BP96" s="230">
        <v>53620400</v>
      </c>
      <c r="BQ96" s="230">
        <v>46398400</v>
      </c>
      <c r="BR96" s="230">
        <v>7222000</v>
      </c>
      <c r="BS96" s="229">
        <v>0.15570000000000001</v>
      </c>
      <c r="BT96" s="230">
        <v>8278203</v>
      </c>
      <c r="BU96" s="230">
        <v>8456867</v>
      </c>
      <c r="BV96" s="230">
        <v>-178664</v>
      </c>
      <c r="BW96" s="229">
        <v>-2.1100000000000001E-2</v>
      </c>
      <c r="BX96" s="230">
        <v>78263200</v>
      </c>
      <c r="BY96" s="230">
        <v>78864000</v>
      </c>
      <c r="BZ96" s="230">
        <v>-600800</v>
      </c>
      <c r="CA96" s="229">
        <v>-7.6E-3</v>
      </c>
      <c r="CB96" s="230">
        <v>70228800</v>
      </c>
      <c r="CC96" s="230">
        <v>72383600</v>
      </c>
      <c r="CD96" s="230">
        <v>-2154800</v>
      </c>
      <c r="CE96" s="229">
        <v>-2.98E-2</v>
      </c>
      <c r="CF96" s="230">
        <v>6439200</v>
      </c>
      <c r="CG96" s="230">
        <v>4894800</v>
      </c>
      <c r="CH96" s="230">
        <v>1544400</v>
      </c>
      <c r="CI96" s="229">
        <v>0.3155</v>
      </c>
      <c r="CJ96" s="230">
        <v>1595200</v>
      </c>
      <c r="CK96" s="230">
        <v>1585600</v>
      </c>
      <c r="CL96" s="230">
        <v>9600</v>
      </c>
      <c r="CM96" s="229">
        <v>6.1000000000000004E-3</v>
      </c>
      <c r="CN96" s="230">
        <v>41625600</v>
      </c>
      <c r="CO96" s="230">
        <v>41637600</v>
      </c>
      <c r="CP96" s="230">
        <v>-12000</v>
      </c>
      <c r="CQ96" s="229">
        <v>-2.9999999999999997E-4</v>
      </c>
      <c r="CR96" s="230">
        <v>19366400</v>
      </c>
      <c r="CS96" s="230">
        <v>19520000</v>
      </c>
      <c r="CT96" s="230">
        <v>-153600</v>
      </c>
      <c r="CU96" s="229">
        <v>-7.9000000000000008E-3</v>
      </c>
      <c r="CV96" s="230">
        <v>139255200</v>
      </c>
      <c r="CW96" s="230">
        <v>140021600</v>
      </c>
      <c r="CX96" s="230">
        <v>-766400</v>
      </c>
      <c r="CY96" s="229">
        <v>-5.4999999999999997E-3</v>
      </c>
      <c r="CZ96" s="228">
        <v>34.5</v>
      </c>
      <c r="DA96" s="228">
        <v>35.270000000000003</v>
      </c>
      <c r="DB96" s="228">
        <v>-0.77</v>
      </c>
      <c r="DC96" s="228">
        <v>-0.77</v>
      </c>
      <c r="DD96" s="228">
        <v>30.55</v>
      </c>
      <c r="DE96" s="228">
        <v>30.61</v>
      </c>
      <c r="DF96" s="228">
        <v>3.95</v>
      </c>
      <c r="DG96" s="228">
        <v>-0.06</v>
      </c>
      <c r="DH96" s="228">
        <v>33.520000000000003</v>
      </c>
      <c r="DI96" s="228">
        <v>33.909999999999997</v>
      </c>
      <c r="DJ96" s="228">
        <v>-0.39</v>
      </c>
      <c r="DK96" s="228">
        <v>-0.39</v>
      </c>
      <c r="DL96" s="228">
        <v>36.380000000000003</v>
      </c>
      <c r="DM96" s="228">
        <v>37.58</v>
      </c>
      <c r="DN96" s="228">
        <v>-1.2</v>
      </c>
      <c r="DO96" s="228">
        <v>-1.2</v>
      </c>
      <c r="DP96" s="228">
        <v>0.47</v>
      </c>
      <c r="DQ96" s="228">
        <v>0.47</v>
      </c>
      <c r="DR96" s="228">
        <v>0</v>
      </c>
      <c r="DS96" s="229">
        <v>0</v>
      </c>
      <c r="DT96" s="231">
        <v>1400</v>
      </c>
      <c r="DU96" s="231">
        <v>1280</v>
      </c>
      <c r="DV96" s="228">
        <v>0.52</v>
      </c>
      <c r="DW96" s="228">
        <v>0.59</v>
      </c>
      <c r="DX96" s="228">
        <v>-7.0000000000000007E-2</v>
      </c>
      <c r="DY96" s="229">
        <v>-0.1186</v>
      </c>
      <c r="DZ96" s="229">
        <v>0.1027</v>
      </c>
      <c r="EA96" s="230">
        <v>6480400</v>
      </c>
      <c r="EB96" s="229">
        <v>4.3E-3</v>
      </c>
      <c r="EC96" s="229">
        <v>0.1027</v>
      </c>
      <c r="ED96" s="228">
        <v>5.99</v>
      </c>
      <c r="EE96" s="229">
        <v>4.7000000000000002E-3</v>
      </c>
      <c r="EF96" s="230">
        <v>3595282</v>
      </c>
      <c r="EG96" s="230">
        <v>4050436</v>
      </c>
      <c r="EH96" s="229">
        <v>-0.1124</v>
      </c>
      <c r="EI96" s="229">
        <v>0.43430000000000002</v>
      </c>
      <c r="EJ96" s="231">
        <v>385694.31</v>
      </c>
      <c r="EK96" s="231">
        <v>182048.85</v>
      </c>
      <c r="EL96" s="231">
        <v>143532.24</v>
      </c>
      <c r="EM96" s="231">
        <v>25014</v>
      </c>
      <c r="EN96" s="231">
        <v>711275.4</v>
      </c>
      <c r="EO96" s="231">
        <v>618493.48</v>
      </c>
      <c r="EP96" s="231">
        <v>92781.92</v>
      </c>
      <c r="EQ96" s="229">
        <v>0.15</v>
      </c>
      <c r="ER96" s="231">
        <v>591425</v>
      </c>
      <c r="ES96" s="231">
        <v>250499</v>
      </c>
      <c r="ET96" s="231">
        <v>994568</v>
      </c>
      <c r="EU96" s="231">
        <v>368703409</v>
      </c>
      <c r="EV96" s="231">
        <v>1836492</v>
      </c>
      <c r="EW96" s="231">
        <v>1855091</v>
      </c>
      <c r="EX96" s="231">
        <v>-18599</v>
      </c>
      <c r="EY96" s="229">
        <v>-0.01</v>
      </c>
      <c r="EZ96" s="229">
        <v>0.37769999999999998</v>
      </c>
      <c r="FA96" s="227" t="s">
        <v>568</v>
      </c>
      <c r="FB96" s="161">
        <f t="shared" si="1"/>
        <v>8034400</v>
      </c>
    </row>
    <row r="97" spans="1:158" ht="17.25" thickBot="1" x14ac:dyDescent="0.3">
      <c r="A97" s="226">
        <v>46093</v>
      </c>
      <c r="B97" s="227" t="s">
        <v>161</v>
      </c>
      <c r="C97" s="227" t="s">
        <v>668</v>
      </c>
      <c r="D97" s="228">
        <v>3575</v>
      </c>
      <c r="E97" s="228">
        <v>83.99</v>
      </c>
      <c r="F97" s="228">
        <v>82.38</v>
      </c>
      <c r="G97" s="228">
        <v>1.61</v>
      </c>
      <c r="H97" s="229">
        <v>1.95E-2</v>
      </c>
      <c r="I97" s="228">
        <v>83.68</v>
      </c>
      <c r="J97" s="228">
        <v>82.26</v>
      </c>
      <c r="K97" s="228">
        <v>1.42</v>
      </c>
      <c r="L97" s="229">
        <v>1.7299999999999999E-2</v>
      </c>
      <c r="M97" s="228">
        <v>83.99</v>
      </c>
      <c r="N97" s="228">
        <v>82.38</v>
      </c>
      <c r="O97" s="228">
        <v>1.61</v>
      </c>
      <c r="P97" s="229">
        <v>1.95E-2</v>
      </c>
      <c r="Q97" s="228">
        <v>84.4</v>
      </c>
      <c r="R97" s="228">
        <v>83.04</v>
      </c>
      <c r="S97" s="228">
        <v>1.36</v>
      </c>
      <c r="T97" s="229">
        <v>1.6400000000000001E-2</v>
      </c>
      <c r="U97" s="228">
        <v>84.93</v>
      </c>
      <c r="V97" s="228">
        <v>83.48</v>
      </c>
      <c r="W97" s="228">
        <v>1.45</v>
      </c>
      <c r="X97" s="229">
        <v>1.7399999999999999E-2</v>
      </c>
      <c r="Y97" s="228">
        <v>0.31</v>
      </c>
      <c r="Z97" s="228">
        <v>0.12</v>
      </c>
      <c r="AA97" s="228">
        <v>0.19</v>
      </c>
      <c r="AB97" s="229">
        <v>3.7000000000000002E-3</v>
      </c>
      <c r="AC97" s="228">
        <v>0.31</v>
      </c>
      <c r="AD97" s="228">
        <v>0.12</v>
      </c>
      <c r="AE97" s="228">
        <v>0.19</v>
      </c>
      <c r="AF97" s="229">
        <v>3.7000000000000002E-3</v>
      </c>
      <c r="AG97" s="228">
        <v>0.72</v>
      </c>
      <c r="AH97" s="228">
        <v>0.78</v>
      </c>
      <c r="AI97" s="228">
        <v>-0.06</v>
      </c>
      <c r="AJ97" s="229">
        <v>8.6E-3</v>
      </c>
      <c r="AK97" s="228">
        <v>1.25</v>
      </c>
      <c r="AL97" s="228">
        <v>1.22</v>
      </c>
      <c r="AM97" s="228">
        <v>0.03</v>
      </c>
      <c r="AN97" s="229">
        <v>1.49E-2</v>
      </c>
      <c r="AO97" s="228">
        <v>84.63</v>
      </c>
      <c r="AP97" s="228">
        <v>85.41</v>
      </c>
      <c r="AQ97" s="228">
        <v>0</v>
      </c>
      <c r="AR97" s="230">
        <v>20134400</v>
      </c>
      <c r="AS97" s="230">
        <v>10178025</v>
      </c>
      <c r="AT97" s="230">
        <v>9956375</v>
      </c>
      <c r="AU97" s="229">
        <v>0.97819999999999996</v>
      </c>
      <c r="AV97" s="230">
        <v>17217200</v>
      </c>
      <c r="AW97" s="230">
        <v>8926775</v>
      </c>
      <c r="AX97" s="230">
        <v>8290425</v>
      </c>
      <c r="AY97" s="229">
        <v>0.92869999999999997</v>
      </c>
      <c r="AZ97" s="230">
        <v>2749175</v>
      </c>
      <c r="BA97" s="230">
        <v>1122550</v>
      </c>
      <c r="BB97" s="230">
        <v>1626625</v>
      </c>
      <c r="BC97" s="229">
        <v>1.4490000000000001</v>
      </c>
      <c r="BD97" s="230">
        <v>168025</v>
      </c>
      <c r="BE97" s="230">
        <v>128700</v>
      </c>
      <c r="BF97" s="230">
        <v>39325</v>
      </c>
      <c r="BG97" s="229">
        <v>0.30559999999999998</v>
      </c>
      <c r="BH97" s="230">
        <v>54064725</v>
      </c>
      <c r="BI97" s="230">
        <v>23941775</v>
      </c>
      <c r="BJ97" s="230">
        <v>30122950</v>
      </c>
      <c r="BK97" s="229">
        <v>1.2582</v>
      </c>
      <c r="BL97" s="230">
        <v>11829675</v>
      </c>
      <c r="BM97" s="230">
        <v>7550400</v>
      </c>
      <c r="BN97" s="230">
        <v>4279275</v>
      </c>
      <c r="BO97" s="229">
        <v>0.56679999999999997</v>
      </c>
      <c r="BP97" s="230">
        <v>86028800</v>
      </c>
      <c r="BQ97" s="230">
        <v>41670200</v>
      </c>
      <c r="BR97" s="230">
        <v>44358600</v>
      </c>
      <c r="BS97" s="229">
        <v>1.0645</v>
      </c>
      <c r="BT97" s="230">
        <v>21204144</v>
      </c>
      <c r="BU97" s="230">
        <v>10077477</v>
      </c>
      <c r="BV97" s="230">
        <v>11126667</v>
      </c>
      <c r="BW97" s="229">
        <v>1.1041000000000001</v>
      </c>
      <c r="BX97" s="230">
        <v>102670425</v>
      </c>
      <c r="BY97" s="230">
        <v>102452350</v>
      </c>
      <c r="BZ97" s="230">
        <v>218075</v>
      </c>
      <c r="CA97" s="229">
        <v>2.0999999999999999E-3</v>
      </c>
      <c r="CB97" s="230">
        <v>96467800</v>
      </c>
      <c r="CC97" s="230">
        <v>96986175</v>
      </c>
      <c r="CD97" s="230">
        <v>-518375</v>
      </c>
      <c r="CE97" s="229">
        <v>-5.3E-3</v>
      </c>
      <c r="CF97" s="230">
        <v>5594875</v>
      </c>
      <c r="CG97" s="230">
        <v>4904900</v>
      </c>
      <c r="CH97" s="230">
        <v>689975</v>
      </c>
      <c r="CI97" s="229">
        <v>0.14069999999999999</v>
      </c>
      <c r="CJ97" s="230">
        <v>607750</v>
      </c>
      <c r="CK97" s="230">
        <v>561275</v>
      </c>
      <c r="CL97" s="230">
        <v>46475</v>
      </c>
      <c r="CM97" s="229">
        <v>8.2799999999999999E-2</v>
      </c>
      <c r="CN97" s="230">
        <v>37083475</v>
      </c>
      <c r="CO97" s="230">
        <v>38549225</v>
      </c>
      <c r="CP97" s="230">
        <v>-1465750</v>
      </c>
      <c r="CQ97" s="229">
        <v>-3.7999999999999999E-2</v>
      </c>
      <c r="CR97" s="230">
        <v>25275250</v>
      </c>
      <c r="CS97" s="230">
        <v>25035725</v>
      </c>
      <c r="CT97" s="230">
        <v>239525</v>
      </c>
      <c r="CU97" s="229">
        <v>9.5999999999999992E-3</v>
      </c>
      <c r="CV97" s="230">
        <v>165029150</v>
      </c>
      <c r="CW97" s="230">
        <v>166037300</v>
      </c>
      <c r="CX97" s="230">
        <v>-1008150</v>
      </c>
      <c r="CY97" s="229">
        <v>-6.1000000000000004E-3</v>
      </c>
      <c r="CZ97" s="228">
        <v>54.07</v>
      </c>
      <c r="DA97" s="228">
        <v>51.83</v>
      </c>
      <c r="DB97" s="228">
        <v>2.2400000000000002</v>
      </c>
      <c r="DC97" s="228">
        <v>2.2400000000000002</v>
      </c>
      <c r="DD97" s="228">
        <v>50.81</v>
      </c>
      <c r="DE97" s="228">
        <v>50.87</v>
      </c>
      <c r="DF97" s="228">
        <v>3.26</v>
      </c>
      <c r="DG97" s="228">
        <v>-0.06</v>
      </c>
      <c r="DH97" s="228">
        <v>54.15</v>
      </c>
      <c r="DI97" s="228">
        <v>52.08</v>
      </c>
      <c r="DJ97" s="228">
        <v>2.0699999999999998</v>
      </c>
      <c r="DK97" s="228">
        <v>2.0699999999999998</v>
      </c>
      <c r="DL97" s="228">
        <v>53.7</v>
      </c>
      <c r="DM97" s="228">
        <v>51.04</v>
      </c>
      <c r="DN97" s="228">
        <v>2.66</v>
      </c>
      <c r="DO97" s="228">
        <v>2.66</v>
      </c>
      <c r="DP97" s="228">
        <v>0.68</v>
      </c>
      <c r="DQ97" s="228">
        <v>0.65</v>
      </c>
      <c r="DR97" s="228">
        <v>0.03</v>
      </c>
      <c r="DS97" s="229">
        <v>4.6199999999999998E-2</v>
      </c>
      <c r="DT97" s="228">
        <v>100</v>
      </c>
      <c r="DU97" s="228">
        <v>85</v>
      </c>
      <c r="DV97" s="228">
        <v>0.22</v>
      </c>
      <c r="DW97" s="228">
        <v>0.32</v>
      </c>
      <c r="DX97" s="228">
        <v>-0.1</v>
      </c>
      <c r="DY97" s="229">
        <v>-0.3125</v>
      </c>
      <c r="DZ97" s="229">
        <v>6.0400000000000002E-2</v>
      </c>
      <c r="EA97" s="230">
        <v>5466175</v>
      </c>
      <c r="EB97" s="229">
        <v>4.8999999999999998E-3</v>
      </c>
      <c r="EC97" s="229">
        <v>6.0400000000000002E-2</v>
      </c>
      <c r="ED97" s="228">
        <v>0.78</v>
      </c>
      <c r="EE97" s="229">
        <v>9.1999999999999998E-3</v>
      </c>
      <c r="EF97" s="230">
        <v>5809614</v>
      </c>
      <c r="EG97" s="230">
        <v>3374462</v>
      </c>
      <c r="EH97" s="229">
        <v>0.72160000000000002</v>
      </c>
      <c r="EI97" s="229">
        <v>0.27400000000000002</v>
      </c>
      <c r="EJ97" s="231">
        <v>50807.37</v>
      </c>
      <c r="EK97" s="231">
        <v>10019.549999999999</v>
      </c>
      <c r="EL97" s="231">
        <v>17062.79</v>
      </c>
      <c r="EM97" s="231">
        <v>3775</v>
      </c>
      <c r="EN97" s="231">
        <v>77889.710000000006</v>
      </c>
      <c r="EO97" s="231">
        <v>37106.43</v>
      </c>
      <c r="EP97" s="231">
        <v>40783.279999999999</v>
      </c>
      <c r="EQ97" s="229">
        <v>1.0991</v>
      </c>
      <c r="ER97" s="231">
        <v>36123</v>
      </c>
      <c r="ES97" s="231">
        <v>24058</v>
      </c>
      <c r="ET97" s="231">
        <v>86262</v>
      </c>
      <c r="EU97" s="231">
        <v>144708707</v>
      </c>
      <c r="EV97" s="231">
        <v>146443</v>
      </c>
      <c r="EW97" s="231">
        <v>145974</v>
      </c>
      <c r="EX97" s="228">
        <v>469</v>
      </c>
      <c r="EY97" s="229">
        <v>3.2000000000000002E-3</v>
      </c>
      <c r="EZ97" s="229">
        <v>1.1404000000000001</v>
      </c>
      <c r="FA97" s="227" t="s">
        <v>555</v>
      </c>
      <c r="FB97" s="161">
        <f t="shared" si="1"/>
        <v>6202625</v>
      </c>
    </row>
    <row r="98" spans="1:158" ht="17.25" thickBot="1" x14ac:dyDescent="0.3">
      <c r="A98" s="226">
        <v>46093</v>
      </c>
      <c r="B98" s="227" t="s">
        <v>193</v>
      </c>
      <c r="C98" s="227" t="s">
        <v>241</v>
      </c>
      <c r="D98" s="228">
        <v>4875</v>
      </c>
      <c r="E98" s="228">
        <v>160.74</v>
      </c>
      <c r="F98" s="228">
        <v>159.04</v>
      </c>
      <c r="G98" s="228">
        <v>1.7</v>
      </c>
      <c r="H98" s="229">
        <v>1.0699999999999999E-2</v>
      </c>
      <c r="I98" s="228">
        <v>160.16</v>
      </c>
      <c r="J98" s="228">
        <v>160.63</v>
      </c>
      <c r="K98" s="228">
        <v>-0.47</v>
      </c>
      <c r="L98" s="229">
        <v>-2.8999999999999998E-3</v>
      </c>
      <c r="M98" s="228">
        <v>160.74</v>
      </c>
      <c r="N98" s="228">
        <v>159.04</v>
      </c>
      <c r="O98" s="228">
        <v>1.7</v>
      </c>
      <c r="P98" s="229">
        <v>1.0699999999999999E-2</v>
      </c>
      <c r="Q98" s="228">
        <v>161.82</v>
      </c>
      <c r="R98" s="228">
        <v>160.02000000000001</v>
      </c>
      <c r="S98" s="228">
        <v>1.8</v>
      </c>
      <c r="T98" s="229">
        <v>1.12E-2</v>
      </c>
      <c r="U98" s="228">
        <v>162.86000000000001</v>
      </c>
      <c r="V98" s="228">
        <v>160.86000000000001</v>
      </c>
      <c r="W98" s="228">
        <v>2</v>
      </c>
      <c r="X98" s="229">
        <v>1.24E-2</v>
      </c>
      <c r="Y98" s="228">
        <v>0.57999999999999996</v>
      </c>
      <c r="Z98" s="228">
        <v>-1.59</v>
      </c>
      <c r="AA98" s="228">
        <v>2.17</v>
      </c>
      <c r="AB98" s="229">
        <v>3.5999999999999999E-3</v>
      </c>
      <c r="AC98" s="228">
        <v>0.57999999999999996</v>
      </c>
      <c r="AD98" s="228">
        <v>-1.59</v>
      </c>
      <c r="AE98" s="228">
        <v>2.17</v>
      </c>
      <c r="AF98" s="229">
        <v>3.5999999999999999E-3</v>
      </c>
      <c r="AG98" s="228">
        <v>1.66</v>
      </c>
      <c r="AH98" s="228">
        <v>-0.61</v>
      </c>
      <c r="AI98" s="228">
        <v>2.27</v>
      </c>
      <c r="AJ98" s="229">
        <v>1.04E-2</v>
      </c>
      <c r="AK98" s="228">
        <v>2.7</v>
      </c>
      <c r="AL98" s="228">
        <v>0.23</v>
      </c>
      <c r="AM98" s="228">
        <v>2.4700000000000002</v>
      </c>
      <c r="AN98" s="229">
        <v>1.6899999999999998E-2</v>
      </c>
      <c r="AO98" s="228">
        <v>159.30000000000001</v>
      </c>
      <c r="AP98" s="228">
        <v>160.13999999999999</v>
      </c>
      <c r="AQ98" s="228">
        <v>0</v>
      </c>
      <c r="AR98" s="230">
        <v>23478000</v>
      </c>
      <c r="AS98" s="230">
        <v>25086750</v>
      </c>
      <c r="AT98" s="230">
        <v>-1608750</v>
      </c>
      <c r="AU98" s="229">
        <v>-6.4100000000000004E-2</v>
      </c>
      <c r="AV98" s="230">
        <v>21567000</v>
      </c>
      <c r="AW98" s="230">
        <v>23468250</v>
      </c>
      <c r="AX98" s="230">
        <v>-1901250</v>
      </c>
      <c r="AY98" s="229">
        <v>-8.1000000000000003E-2</v>
      </c>
      <c r="AZ98" s="230">
        <v>1647750</v>
      </c>
      <c r="BA98" s="230">
        <v>1486875</v>
      </c>
      <c r="BB98" s="230">
        <v>160875</v>
      </c>
      <c r="BC98" s="229">
        <v>0.1082</v>
      </c>
      <c r="BD98" s="230">
        <v>263250</v>
      </c>
      <c r="BE98" s="230">
        <v>131625</v>
      </c>
      <c r="BF98" s="230">
        <v>131625</v>
      </c>
      <c r="BG98" s="229">
        <v>1</v>
      </c>
      <c r="BH98" s="230">
        <v>57978375</v>
      </c>
      <c r="BI98" s="230">
        <v>48618375</v>
      </c>
      <c r="BJ98" s="230">
        <v>9360000</v>
      </c>
      <c r="BK98" s="229">
        <v>0.1925</v>
      </c>
      <c r="BL98" s="230">
        <v>58280625</v>
      </c>
      <c r="BM98" s="230">
        <v>45537375</v>
      </c>
      <c r="BN98" s="230">
        <v>12743250</v>
      </c>
      <c r="BO98" s="229">
        <v>0.27979999999999999</v>
      </c>
      <c r="BP98" s="230">
        <v>139737000</v>
      </c>
      <c r="BQ98" s="230">
        <v>119242500</v>
      </c>
      <c r="BR98" s="230">
        <v>20494500</v>
      </c>
      <c r="BS98" s="229">
        <v>0.1719</v>
      </c>
      <c r="BT98" s="230">
        <v>22738627</v>
      </c>
      <c r="BU98" s="230">
        <v>23471830</v>
      </c>
      <c r="BV98" s="230">
        <v>-733203</v>
      </c>
      <c r="BW98" s="229">
        <v>-3.1199999999999999E-2</v>
      </c>
      <c r="BX98" s="230">
        <v>100386000</v>
      </c>
      <c r="BY98" s="230">
        <v>101136750</v>
      </c>
      <c r="BZ98" s="230">
        <v>-750750</v>
      </c>
      <c r="CA98" s="229">
        <v>-7.4000000000000003E-3</v>
      </c>
      <c r="CB98" s="230">
        <v>96135000</v>
      </c>
      <c r="CC98" s="230">
        <v>97114875</v>
      </c>
      <c r="CD98" s="230">
        <v>-979875</v>
      </c>
      <c r="CE98" s="229">
        <v>-1.01E-2</v>
      </c>
      <c r="CF98" s="230">
        <v>3207750</v>
      </c>
      <c r="CG98" s="230">
        <v>3007875</v>
      </c>
      <c r="CH98" s="230">
        <v>199875</v>
      </c>
      <c r="CI98" s="229">
        <v>6.6500000000000004E-2</v>
      </c>
      <c r="CJ98" s="230">
        <v>1043250</v>
      </c>
      <c r="CK98" s="230">
        <v>1014000</v>
      </c>
      <c r="CL98" s="230">
        <v>29250</v>
      </c>
      <c r="CM98" s="229">
        <v>2.8799999999999999E-2</v>
      </c>
      <c r="CN98" s="230">
        <v>69907500</v>
      </c>
      <c r="CO98" s="230">
        <v>65349375</v>
      </c>
      <c r="CP98" s="230">
        <v>4558125</v>
      </c>
      <c r="CQ98" s="229">
        <v>6.9800000000000001E-2</v>
      </c>
      <c r="CR98" s="230">
        <v>62068500</v>
      </c>
      <c r="CS98" s="230">
        <v>60801000</v>
      </c>
      <c r="CT98" s="230">
        <v>1267500</v>
      </c>
      <c r="CU98" s="229">
        <v>2.0799999999999999E-2</v>
      </c>
      <c r="CV98" s="230">
        <v>232362000</v>
      </c>
      <c r="CW98" s="230">
        <v>227287125</v>
      </c>
      <c r="CX98" s="230">
        <v>5074875</v>
      </c>
      <c r="CY98" s="229">
        <v>2.23E-2</v>
      </c>
      <c r="CZ98" s="228">
        <v>41.03</v>
      </c>
      <c r="DA98" s="228">
        <v>40.46</v>
      </c>
      <c r="DB98" s="228">
        <v>0.56999999999999995</v>
      </c>
      <c r="DC98" s="228">
        <v>0.56999999999999995</v>
      </c>
      <c r="DD98" s="228">
        <v>32.06</v>
      </c>
      <c r="DE98" s="228">
        <v>32.11</v>
      </c>
      <c r="DF98" s="228">
        <v>8.9700000000000006</v>
      </c>
      <c r="DG98" s="228">
        <v>-0.05</v>
      </c>
      <c r="DH98" s="228">
        <v>38.67</v>
      </c>
      <c r="DI98" s="228">
        <v>39.700000000000003</v>
      </c>
      <c r="DJ98" s="228">
        <v>-1.03</v>
      </c>
      <c r="DK98" s="228">
        <v>-1.03</v>
      </c>
      <c r="DL98" s="228">
        <v>43.38</v>
      </c>
      <c r="DM98" s="228">
        <v>41.27</v>
      </c>
      <c r="DN98" s="228">
        <v>2.11</v>
      </c>
      <c r="DO98" s="228">
        <v>2.11</v>
      </c>
      <c r="DP98" s="228">
        <v>0.89</v>
      </c>
      <c r="DQ98" s="228">
        <v>0.93</v>
      </c>
      <c r="DR98" s="228">
        <v>-0.04</v>
      </c>
      <c r="DS98" s="229">
        <v>-4.2999999999999997E-2</v>
      </c>
      <c r="DT98" s="228">
        <v>180</v>
      </c>
      <c r="DU98" s="228">
        <v>150</v>
      </c>
      <c r="DV98" s="228">
        <v>1.01</v>
      </c>
      <c r="DW98" s="228">
        <v>0.94</v>
      </c>
      <c r="DX98" s="228">
        <v>7.0000000000000007E-2</v>
      </c>
      <c r="DY98" s="229">
        <v>7.4499999999999997E-2</v>
      </c>
      <c r="DZ98" s="229">
        <v>4.2299999999999997E-2</v>
      </c>
      <c r="EA98" s="230">
        <v>4021875</v>
      </c>
      <c r="EB98" s="229">
        <v>6.7000000000000002E-3</v>
      </c>
      <c r="EC98" s="229">
        <v>4.2299999999999997E-2</v>
      </c>
      <c r="ED98" s="228">
        <v>0.84</v>
      </c>
      <c r="EE98" s="229">
        <v>5.3E-3</v>
      </c>
      <c r="EF98" s="230">
        <v>7336345</v>
      </c>
      <c r="EG98" s="230">
        <v>12345948</v>
      </c>
      <c r="EH98" s="229">
        <v>-0.40579999999999999</v>
      </c>
      <c r="EI98" s="229">
        <v>0.3226</v>
      </c>
      <c r="EJ98" s="231">
        <v>99413.36</v>
      </c>
      <c r="EK98" s="231">
        <v>92146.559999999998</v>
      </c>
      <c r="EL98" s="231">
        <v>37417.94</v>
      </c>
      <c r="EM98" s="231">
        <v>7598</v>
      </c>
      <c r="EN98" s="231">
        <v>228977.86</v>
      </c>
      <c r="EO98" s="231">
        <v>197397.9</v>
      </c>
      <c r="EP98" s="231">
        <v>31579.96</v>
      </c>
      <c r="EQ98" s="229">
        <v>0.16</v>
      </c>
      <c r="ER98" s="231">
        <v>124330</v>
      </c>
      <c r="ES98" s="231">
        <v>100618</v>
      </c>
      <c r="ET98" s="231">
        <v>161417</v>
      </c>
      <c r="EU98" s="231">
        <v>684903861</v>
      </c>
      <c r="EV98" s="231">
        <v>386365</v>
      </c>
      <c r="EW98" s="231">
        <v>376664</v>
      </c>
      <c r="EX98" s="231">
        <v>9701</v>
      </c>
      <c r="EY98" s="229">
        <v>2.58E-2</v>
      </c>
      <c r="EZ98" s="229">
        <v>0.33929999999999999</v>
      </c>
      <c r="FA98" s="227" t="s">
        <v>556</v>
      </c>
      <c r="FB98" s="161">
        <f t="shared" si="1"/>
        <v>4251000</v>
      </c>
    </row>
    <row r="99" spans="1:158" ht="17.25" thickBot="1" x14ac:dyDescent="0.3">
      <c r="A99" s="226">
        <v>46093</v>
      </c>
      <c r="B99" s="227" t="s">
        <v>175</v>
      </c>
      <c r="C99" s="227" t="s">
        <v>664</v>
      </c>
      <c r="D99" s="228">
        <v>3450</v>
      </c>
      <c r="E99" s="228">
        <v>116.78</v>
      </c>
      <c r="F99" s="228">
        <v>114.76</v>
      </c>
      <c r="G99" s="228">
        <v>2.02</v>
      </c>
      <c r="H99" s="229">
        <v>1.7600000000000001E-2</v>
      </c>
      <c r="I99" s="228">
        <v>117.03</v>
      </c>
      <c r="J99" s="228">
        <v>114.8</v>
      </c>
      <c r="K99" s="228">
        <v>2.23</v>
      </c>
      <c r="L99" s="229">
        <v>1.9400000000000001E-2</v>
      </c>
      <c r="M99" s="228">
        <v>116.78</v>
      </c>
      <c r="N99" s="228">
        <v>114.76</v>
      </c>
      <c r="O99" s="228">
        <v>2.02</v>
      </c>
      <c r="P99" s="229">
        <v>1.7600000000000001E-2</v>
      </c>
      <c r="Q99" s="228">
        <v>115.77</v>
      </c>
      <c r="R99" s="228">
        <v>113.91</v>
      </c>
      <c r="S99" s="228">
        <v>1.86</v>
      </c>
      <c r="T99" s="229">
        <v>1.6299999999999999E-2</v>
      </c>
      <c r="U99" s="228">
        <v>115.49</v>
      </c>
      <c r="V99" s="228">
        <v>113.57</v>
      </c>
      <c r="W99" s="228">
        <v>1.92</v>
      </c>
      <c r="X99" s="229">
        <v>1.6899999999999998E-2</v>
      </c>
      <c r="Y99" s="228">
        <v>-0.25</v>
      </c>
      <c r="Z99" s="228">
        <v>-0.04</v>
      </c>
      <c r="AA99" s="228">
        <v>-0.21</v>
      </c>
      <c r="AB99" s="229">
        <v>-2.0999999999999999E-3</v>
      </c>
      <c r="AC99" s="228">
        <v>-0.25</v>
      </c>
      <c r="AD99" s="228">
        <v>-0.04</v>
      </c>
      <c r="AE99" s="228">
        <v>-0.21</v>
      </c>
      <c r="AF99" s="229">
        <v>-2.0999999999999999E-3</v>
      </c>
      <c r="AG99" s="228">
        <v>-1.26</v>
      </c>
      <c r="AH99" s="228">
        <v>-0.89</v>
      </c>
      <c r="AI99" s="228">
        <v>-0.37</v>
      </c>
      <c r="AJ99" s="229">
        <v>-1.0800000000000001E-2</v>
      </c>
      <c r="AK99" s="228">
        <v>-1.54</v>
      </c>
      <c r="AL99" s="228">
        <v>-1.23</v>
      </c>
      <c r="AM99" s="228">
        <v>-0.31</v>
      </c>
      <c r="AN99" s="229">
        <v>-1.32E-2</v>
      </c>
      <c r="AO99" s="228">
        <v>115.84</v>
      </c>
      <c r="AP99" s="228">
        <v>115.19</v>
      </c>
      <c r="AQ99" s="228">
        <v>0</v>
      </c>
      <c r="AR99" s="230">
        <v>9704850</v>
      </c>
      <c r="AS99" s="230">
        <v>6499800</v>
      </c>
      <c r="AT99" s="230">
        <v>3205050</v>
      </c>
      <c r="AU99" s="229">
        <v>0.49309999999999998</v>
      </c>
      <c r="AV99" s="230">
        <v>7669350</v>
      </c>
      <c r="AW99" s="230">
        <v>4892100</v>
      </c>
      <c r="AX99" s="230">
        <v>2777250</v>
      </c>
      <c r="AY99" s="229">
        <v>0.56769999999999998</v>
      </c>
      <c r="AZ99" s="230">
        <v>1676700</v>
      </c>
      <c r="BA99" s="230">
        <v>1342050</v>
      </c>
      <c r="BB99" s="230">
        <v>334650</v>
      </c>
      <c r="BC99" s="229">
        <v>0.24940000000000001</v>
      </c>
      <c r="BD99" s="230">
        <v>358800</v>
      </c>
      <c r="BE99" s="230">
        <v>265650</v>
      </c>
      <c r="BF99" s="230">
        <v>93150</v>
      </c>
      <c r="BG99" s="229">
        <v>0.35060000000000002</v>
      </c>
      <c r="BH99" s="230">
        <v>16887750</v>
      </c>
      <c r="BI99" s="230">
        <v>9518550</v>
      </c>
      <c r="BJ99" s="230">
        <v>7369200</v>
      </c>
      <c r="BK99" s="229">
        <v>0.7742</v>
      </c>
      <c r="BL99" s="230">
        <v>3763950</v>
      </c>
      <c r="BM99" s="230">
        <v>2566800</v>
      </c>
      <c r="BN99" s="230">
        <v>1197150</v>
      </c>
      <c r="BO99" s="229">
        <v>0.46639999999999998</v>
      </c>
      <c r="BP99" s="230">
        <v>30356550</v>
      </c>
      <c r="BQ99" s="230">
        <v>18585150</v>
      </c>
      <c r="BR99" s="230">
        <v>11771400</v>
      </c>
      <c r="BS99" s="229">
        <v>0.63339999999999996</v>
      </c>
      <c r="BT99" s="230">
        <v>10496231</v>
      </c>
      <c r="BU99" s="230">
        <v>7177699</v>
      </c>
      <c r="BV99" s="230">
        <v>3318532</v>
      </c>
      <c r="BW99" s="229">
        <v>0.46229999999999999</v>
      </c>
      <c r="BX99" s="230">
        <v>65708700</v>
      </c>
      <c r="BY99" s="230">
        <v>65481000</v>
      </c>
      <c r="BZ99" s="230">
        <v>227700</v>
      </c>
      <c r="CA99" s="229">
        <v>3.5000000000000001E-3</v>
      </c>
      <c r="CB99" s="230">
        <v>56673150</v>
      </c>
      <c r="CC99" s="230">
        <v>56876700</v>
      </c>
      <c r="CD99" s="230">
        <v>-203550</v>
      </c>
      <c r="CE99" s="229">
        <v>-3.5999999999999999E-3</v>
      </c>
      <c r="CF99" s="230">
        <v>7952250</v>
      </c>
      <c r="CG99" s="230">
        <v>7627950</v>
      </c>
      <c r="CH99" s="230">
        <v>324300</v>
      </c>
      <c r="CI99" s="229">
        <v>4.2500000000000003E-2</v>
      </c>
      <c r="CJ99" s="230">
        <v>1083300</v>
      </c>
      <c r="CK99" s="230">
        <v>976350</v>
      </c>
      <c r="CL99" s="230">
        <v>106950</v>
      </c>
      <c r="CM99" s="229">
        <v>0.1095</v>
      </c>
      <c r="CN99" s="230">
        <v>28945500</v>
      </c>
      <c r="CO99" s="230">
        <v>29207700</v>
      </c>
      <c r="CP99" s="230">
        <v>-262200</v>
      </c>
      <c r="CQ99" s="229">
        <v>-8.9999999999999993E-3</v>
      </c>
      <c r="CR99" s="230">
        <v>19206150</v>
      </c>
      <c r="CS99" s="230">
        <v>19592550</v>
      </c>
      <c r="CT99" s="230">
        <v>-386400</v>
      </c>
      <c r="CU99" s="229">
        <v>-1.9699999999999999E-2</v>
      </c>
      <c r="CV99" s="230">
        <v>113860350</v>
      </c>
      <c r="CW99" s="230">
        <v>114281250</v>
      </c>
      <c r="CX99" s="230">
        <v>-420900</v>
      </c>
      <c r="CY99" s="229">
        <v>-3.7000000000000002E-3</v>
      </c>
      <c r="CZ99" s="228">
        <v>40.770000000000003</v>
      </c>
      <c r="DA99" s="228">
        <v>41.84</v>
      </c>
      <c r="DB99" s="228">
        <v>-1.07</v>
      </c>
      <c r="DC99" s="228">
        <v>-1.07</v>
      </c>
      <c r="DD99" s="228">
        <v>47.69</v>
      </c>
      <c r="DE99" s="228">
        <v>47.75</v>
      </c>
      <c r="DF99" s="228">
        <v>-6.92</v>
      </c>
      <c r="DG99" s="228">
        <v>-0.06</v>
      </c>
      <c r="DH99" s="228">
        <v>40.76</v>
      </c>
      <c r="DI99" s="228">
        <v>41.86</v>
      </c>
      <c r="DJ99" s="228">
        <v>-1.1000000000000001</v>
      </c>
      <c r="DK99" s="228">
        <v>-1.1000000000000001</v>
      </c>
      <c r="DL99" s="228">
        <v>40.799999999999997</v>
      </c>
      <c r="DM99" s="228">
        <v>41.79</v>
      </c>
      <c r="DN99" s="228">
        <v>-0.99</v>
      </c>
      <c r="DO99" s="228">
        <v>-0.99</v>
      </c>
      <c r="DP99" s="228">
        <v>0.66</v>
      </c>
      <c r="DQ99" s="228">
        <v>0.67</v>
      </c>
      <c r="DR99" s="228">
        <v>-0.01</v>
      </c>
      <c r="DS99" s="229">
        <v>-1.49E-2</v>
      </c>
      <c r="DT99" s="228">
        <v>130</v>
      </c>
      <c r="DU99" s="228">
        <v>120</v>
      </c>
      <c r="DV99" s="228">
        <v>0.22</v>
      </c>
      <c r="DW99" s="228">
        <v>0.27</v>
      </c>
      <c r="DX99" s="228">
        <v>-0.05</v>
      </c>
      <c r="DY99" s="229">
        <v>-0.1852</v>
      </c>
      <c r="DZ99" s="229">
        <v>0.13750000000000001</v>
      </c>
      <c r="EA99" s="230">
        <v>8604300</v>
      </c>
      <c r="EB99" s="229">
        <v>-8.6E-3</v>
      </c>
      <c r="EC99" s="229">
        <v>0.13750000000000001</v>
      </c>
      <c r="ED99" s="228">
        <v>-0.65</v>
      </c>
      <c r="EE99" s="229">
        <v>-5.5999999999999999E-3</v>
      </c>
      <c r="EF99" s="230">
        <v>2636318</v>
      </c>
      <c r="EG99" s="230">
        <v>2265686</v>
      </c>
      <c r="EH99" s="229">
        <v>0.1636</v>
      </c>
      <c r="EI99" s="229">
        <v>0.25119999999999998</v>
      </c>
      <c r="EJ99" s="231">
        <v>21089.63</v>
      </c>
      <c r="EK99" s="231">
        <v>4434.8500000000004</v>
      </c>
      <c r="EL99" s="231">
        <v>11227.29</v>
      </c>
      <c r="EM99" s="231">
        <v>3244</v>
      </c>
      <c r="EN99" s="231">
        <v>36751.769999999997</v>
      </c>
      <c r="EO99" s="231">
        <v>22549.29</v>
      </c>
      <c r="EP99" s="231">
        <v>14202.48</v>
      </c>
      <c r="EQ99" s="229">
        <v>0.62980000000000003</v>
      </c>
      <c r="ER99" s="231">
        <v>37256</v>
      </c>
      <c r="ES99" s="231">
        <v>23438</v>
      </c>
      <c r="ET99" s="231">
        <v>76640</v>
      </c>
      <c r="EU99" s="231">
        <v>119011160</v>
      </c>
      <c r="EV99" s="231">
        <v>137334</v>
      </c>
      <c r="EW99" s="231">
        <v>136514</v>
      </c>
      <c r="EX99" s="228">
        <v>820</v>
      </c>
      <c r="EY99" s="229">
        <v>6.0000000000000001E-3</v>
      </c>
      <c r="EZ99" s="229">
        <v>0.95669999999999999</v>
      </c>
      <c r="FA99" s="227" t="s">
        <v>555</v>
      </c>
      <c r="FB99" s="161">
        <f t="shared" si="1"/>
        <v>9035550</v>
      </c>
    </row>
    <row r="100" spans="1:158" ht="17.25" thickBot="1" x14ac:dyDescent="0.3">
      <c r="A100" s="226">
        <v>46093</v>
      </c>
      <c r="B100" s="227" t="s">
        <v>215</v>
      </c>
      <c r="C100" s="227" t="s">
        <v>592</v>
      </c>
      <c r="D100" s="228">
        <v>4250</v>
      </c>
      <c r="E100" s="228">
        <v>98.87</v>
      </c>
      <c r="F100" s="228">
        <v>97.72</v>
      </c>
      <c r="G100" s="228">
        <v>1.1499999999999999</v>
      </c>
      <c r="H100" s="229">
        <v>1.18E-2</v>
      </c>
      <c r="I100" s="228">
        <v>99.92</v>
      </c>
      <c r="J100" s="228">
        <v>99.25</v>
      </c>
      <c r="K100" s="228">
        <v>0.67</v>
      </c>
      <c r="L100" s="229">
        <v>6.7999999999999996E-3</v>
      </c>
      <c r="M100" s="228">
        <v>98.87</v>
      </c>
      <c r="N100" s="228">
        <v>97.72</v>
      </c>
      <c r="O100" s="228">
        <v>1.1499999999999999</v>
      </c>
      <c r="P100" s="229">
        <v>1.18E-2</v>
      </c>
      <c r="Q100" s="228">
        <v>98.58</v>
      </c>
      <c r="R100" s="228">
        <v>97.39</v>
      </c>
      <c r="S100" s="228">
        <v>1.19</v>
      </c>
      <c r="T100" s="229">
        <v>1.2200000000000001E-2</v>
      </c>
      <c r="U100" s="228">
        <v>98.61</v>
      </c>
      <c r="V100" s="228">
        <v>97.44</v>
      </c>
      <c r="W100" s="228">
        <v>1.17</v>
      </c>
      <c r="X100" s="229">
        <v>1.2E-2</v>
      </c>
      <c r="Y100" s="228">
        <v>-1.05</v>
      </c>
      <c r="Z100" s="228">
        <v>-1.53</v>
      </c>
      <c r="AA100" s="228">
        <v>0.48</v>
      </c>
      <c r="AB100" s="229">
        <v>-1.0500000000000001E-2</v>
      </c>
      <c r="AC100" s="228">
        <v>-1.05</v>
      </c>
      <c r="AD100" s="228">
        <v>-1.53</v>
      </c>
      <c r="AE100" s="228">
        <v>0.48</v>
      </c>
      <c r="AF100" s="229">
        <v>-1.0500000000000001E-2</v>
      </c>
      <c r="AG100" s="228">
        <v>-1.34</v>
      </c>
      <c r="AH100" s="228">
        <v>-1.86</v>
      </c>
      <c r="AI100" s="228">
        <v>0.52</v>
      </c>
      <c r="AJ100" s="229">
        <v>-1.34E-2</v>
      </c>
      <c r="AK100" s="228">
        <v>-1.31</v>
      </c>
      <c r="AL100" s="228">
        <v>-1.81</v>
      </c>
      <c r="AM100" s="228">
        <v>0.5</v>
      </c>
      <c r="AN100" s="229">
        <v>-1.3100000000000001E-2</v>
      </c>
      <c r="AO100" s="228">
        <v>98.34</v>
      </c>
      <c r="AP100" s="228">
        <v>98.54</v>
      </c>
      <c r="AQ100" s="228">
        <v>0</v>
      </c>
      <c r="AR100" s="230">
        <v>13816750</v>
      </c>
      <c r="AS100" s="230">
        <v>11326250</v>
      </c>
      <c r="AT100" s="230">
        <v>2490500</v>
      </c>
      <c r="AU100" s="229">
        <v>0.21990000000000001</v>
      </c>
      <c r="AV100" s="230">
        <v>10744000</v>
      </c>
      <c r="AW100" s="230">
        <v>9375500</v>
      </c>
      <c r="AX100" s="230">
        <v>1368500</v>
      </c>
      <c r="AY100" s="229">
        <v>0.14599999999999999</v>
      </c>
      <c r="AZ100" s="230">
        <v>2507500</v>
      </c>
      <c r="BA100" s="230">
        <v>1666000</v>
      </c>
      <c r="BB100" s="230">
        <v>841500</v>
      </c>
      <c r="BC100" s="229">
        <v>0.50509999999999999</v>
      </c>
      <c r="BD100" s="230">
        <v>565250</v>
      </c>
      <c r="BE100" s="230">
        <v>284750</v>
      </c>
      <c r="BF100" s="230">
        <v>280500</v>
      </c>
      <c r="BG100" s="229">
        <v>0.98509999999999998</v>
      </c>
      <c r="BH100" s="230">
        <v>44280750</v>
      </c>
      <c r="BI100" s="230">
        <v>36129250</v>
      </c>
      <c r="BJ100" s="230">
        <v>8151500</v>
      </c>
      <c r="BK100" s="229">
        <v>0.22559999999999999</v>
      </c>
      <c r="BL100" s="230">
        <v>14870750</v>
      </c>
      <c r="BM100" s="230">
        <v>12605500</v>
      </c>
      <c r="BN100" s="230">
        <v>2265250</v>
      </c>
      <c r="BO100" s="229">
        <v>0.1797</v>
      </c>
      <c r="BP100" s="230">
        <v>72968250</v>
      </c>
      <c r="BQ100" s="230">
        <v>60061000</v>
      </c>
      <c r="BR100" s="230">
        <v>12907250</v>
      </c>
      <c r="BS100" s="229">
        <v>0.21490000000000001</v>
      </c>
      <c r="BT100" s="230">
        <v>15521085</v>
      </c>
      <c r="BU100" s="230">
        <v>13986583</v>
      </c>
      <c r="BV100" s="230">
        <v>1534502</v>
      </c>
      <c r="BW100" s="229">
        <v>0.10970000000000001</v>
      </c>
      <c r="BX100" s="230">
        <v>73720500</v>
      </c>
      <c r="BY100" s="230">
        <v>74787250</v>
      </c>
      <c r="BZ100" s="230">
        <v>-1066750</v>
      </c>
      <c r="CA100" s="229">
        <v>-1.43E-2</v>
      </c>
      <c r="CB100" s="230">
        <v>60830250</v>
      </c>
      <c r="CC100" s="230">
        <v>62343250</v>
      </c>
      <c r="CD100" s="230">
        <v>-1513000</v>
      </c>
      <c r="CE100" s="229">
        <v>-2.4299999999999999E-2</v>
      </c>
      <c r="CF100" s="230">
        <v>11173250</v>
      </c>
      <c r="CG100" s="230">
        <v>10888500</v>
      </c>
      <c r="CH100" s="230">
        <v>284750</v>
      </c>
      <c r="CI100" s="229">
        <v>2.6200000000000001E-2</v>
      </c>
      <c r="CJ100" s="230">
        <v>1717000</v>
      </c>
      <c r="CK100" s="230">
        <v>1555500</v>
      </c>
      <c r="CL100" s="230">
        <v>161500</v>
      </c>
      <c r="CM100" s="229">
        <v>0.1038</v>
      </c>
      <c r="CN100" s="230">
        <v>82518000</v>
      </c>
      <c r="CO100" s="230">
        <v>82484000</v>
      </c>
      <c r="CP100" s="230">
        <v>34000</v>
      </c>
      <c r="CQ100" s="229">
        <v>4.0000000000000002E-4</v>
      </c>
      <c r="CR100" s="230">
        <v>47540500</v>
      </c>
      <c r="CS100" s="230">
        <v>47132500</v>
      </c>
      <c r="CT100" s="230">
        <v>408000</v>
      </c>
      <c r="CU100" s="229">
        <v>8.6999999999999994E-3</v>
      </c>
      <c r="CV100" s="230">
        <v>203779000</v>
      </c>
      <c r="CW100" s="230">
        <v>204403750</v>
      </c>
      <c r="CX100" s="230">
        <v>-624750</v>
      </c>
      <c r="CY100" s="229">
        <v>-3.0999999999999999E-3</v>
      </c>
      <c r="CZ100" s="228">
        <v>37.450000000000003</v>
      </c>
      <c r="DA100" s="228">
        <v>38.61</v>
      </c>
      <c r="DB100" s="228">
        <v>-1.1599999999999999</v>
      </c>
      <c r="DC100" s="228">
        <v>-1.1599999999999999</v>
      </c>
      <c r="DD100" s="228">
        <v>44.58</v>
      </c>
      <c r="DE100" s="228">
        <v>44.66</v>
      </c>
      <c r="DF100" s="228">
        <v>-7.13</v>
      </c>
      <c r="DG100" s="228">
        <v>-0.08</v>
      </c>
      <c r="DH100" s="228">
        <v>37.44</v>
      </c>
      <c r="DI100" s="228">
        <v>38.76</v>
      </c>
      <c r="DJ100" s="228">
        <v>-1.32</v>
      </c>
      <c r="DK100" s="228">
        <v>-1.32</v>
      </c>
      <c r="DL100" s="228">
        <v>37.49</v>
      </c>
      <c r="DM100" s="228">
        <v>38.18</v>
      </c>
      <c r="DN100" s="228">
        <v>-0.69</v>
      </c>
      <c r="DO100" s="228">
        <v>-0.69</v>
      </c>
      <c r="DP100" s="228">
        <v>0.57999999999999996</v>
      </c>
      <c r="DQ100" s="228">
        <v>0.56999999999999995</v>
      </c>
      <c r="DR100" s="228">
        <v>0.01</v>
      </c>
      <c r="DS100" s="229">
        <v>1.7500000000000002E-2</v>
      </c>
      <c r="DT100" s="228">
        <v>110</v>
      </c>
      <c r="DU100" s="228">
        <v>100</v>
      </c>
      <c r="DV100" s="228">
        <v>0.34</v>
      </c>
      <c r="DW100" s="228">
        <v>0.35</v>
      </c>
      <c r="DX100" s="228">
        <v>-0.01</v>
      </c>
      <c r="DY100" s="229">
        <v>-2.86E-2</v>
      </c>
      <c r="DZ100" s="229">
        <v>0.1749</v>
      </c>
      <c r="EA100" s="230">
        <v>12444000</v>
      </c>
      <c r="EB100" s="229">
        <v>-2.8999999999999998E-3</v>
      </c>
      <c r="EC100" s="229">
        <v>0.1749</v>
      </c>
      <c r="ED100" s="228">
        <v>0.2</v>
      </c>
      <c r="EE100" s="229">
        <v>2E-3</v>
      </c>
      <c r="EF100" s="230">
        <v>3524790</v>
      </c>
      <c r="EG100" s="230">
        <v>4894358</v>
      </c>
      <c r="EH100" s="229">
        <v>-0.27979999999999999</v>
      </c>
      <c r="EI100" s="229">
        <v>0.2271</v>
      </c>
      <c r="EJ100" s="231">
        <v>46763.93</v>
      </c>
      <c r="EK100" s="231">
        <v>14582.57</v>
      </c>
      <c r="EL100" s="231">
        <v>13593.59</v>
      </c>
      <c r="EM100" s="231">
        <v>3832</v>
      </c>
      <c r="EN100" s="231">
        <v>74940.09</v>
      </c>
      <c r="EO100" s="231">
        <v>62236.959999999999</v>
      </c>
      <c r="EP100" s="231">
        <v>12703.13</v>
      </c>
      <c r="EQ100" s="229">
        <v>0.2041</v>
      </c>
      <c r="ER100" s="231">
        <v>90157</v>
      </c>
      <c r="ES100" s="231">
        <v>48402</v>
      </c>
      <c r="ET100" s="231">
        <v>72851</v>
      </c>
      <c r="EU100" s="231">
        <v>200960551</v>
      </c>
      <c r="EV100" s="231">
        <v>211410</v>
      </c>
      <c r="EW100" s="231">
        <v>211326</v>
      </c>
      <c r="EX100" s="228">
        <v>84</v>
      </c>
      <c r="EY100" s="229">
        <v>4.0000000000000002E-4</v>
      </c>
      <c r="EZ100" s="229">
        <v>1.014</v>
      </c>
      <c r="FA100" s="227" t="s">
        <v>556</v>
      </c>
      <c r="FB100" s="161">
        <f t="shared" si="1"/>
        <v>12890250</v>
      </c>
    </row>
    <row r="101" spans="1:158" ht="17.25" thickBot="1" x14ac:dyDescent="0.3">
      <c r="A101" s="226">
        <v>46093</v>
      </c>
      <c r="B101" s="227" t="s">
        <v>168</v>
      </c>
      <c r="C101" s="227" t="s">
        <v>242</v>
      </c>
      <c r="D101" s="228">
        <v>1600</v>
      </c>
      <c r="E101" s="228">
        <v>304.95</v>
      </c>
      <c r="F101" s="228">
        <v>309.35000000000002</v>
      </c>
      <c r="G101" s="228">
        <v>-4.4000000000000004</v>
      </c>
      <c r="H101" s="229">
        <v>-1.4200000000000001E-2</v>
      </c>
      <c r="I101" s="228">
        <v>304.10000000000002</v>
      </c>
      <c r="J101" s="228">
        <v>309</v>
      </c>
      <c r="K101" s="228">
        <v>-4.9000000000000004</v>
      </c>
      <c r="L101" s="229">
        <v>-1.5900000000000001E-2</v>
      </c>
      <c r="M101" s="228">
        <v>304.95</v>
      </c>
      <c r="N101" s="228">
        <v>309.35000000000002</v>
      </c>
      <c r="O101" s="228">
        <v>-4.4000000000000004</v>
      </c>
      <c r="P101" s="229">
        <v>-1.4200000000000001E-2</v>
      </c>
      <c r="Q101" s="228">
        <v>307</v>
      </c>
      <c r="R101" s="228">
        <v>311.25</v>
      </c>
      <c r="S101" s="228">
        <v>-4.25</v>
      </c>
      <c r="T101" s="229">
        <v>-1.37E-2</v>
      </c>
      <c r="U101" s="228">
        <v>308.60000000000002</v>
      </c>
      <c r="V101" s="228">
        <v>312.7</v>
      </c>
      <c r="W101" s="228">
        <v>-4.0999999999999996</v>
      </c>
      <c r="X101" s="229">
        <v>-1.3100000000000001E-2</v>
      </c>
      <c r="Y101" s="228">
        <v>0.85</v>
      </c>
      <c r="Z101" s="228">
        <v>0.35</v>
      </c>
      <c r="AA101" s="228">
        <v>0.5</v>
      </c>
      <c r="AB101" s="229">
        <v>2.8E-3</v>
      </c>
      <c r="AC101" s="228">
        <v>0.85</v>
      </c>
      <c r="AD101" s="228">
        <v>0.35</v>
      </c>
      <c r="AE101" s="228">
        <v>0.5</v>
      </c>
      <c r="AF101" s="229">
        <v>2.8E-3</v>
      </c>
      <c r="AG101" s="228">
        <v>2.9</v>
      </c>
      <c r="AH101" s="228">
        <v>2.25</v>
      </c>
      <c r="AI101" s="228">
        <v>0.65</v>
      </c>
      <c r="AJ101" s="229">
        <v>9.4999999999999998E-3</v>
      </c>
      <c r="AK101" s="228">
        <v>4.5</v>
      </c>
      <c r="AL101" s="228">
        <v>3.7</v>
      </c>
      <c r="AM101" s="228">
        <v>0.8</v>
      </c>
      <c r="AN101" s="229">
        <v>1.4800000000000001E-2</v>
      </c>
      <c r="AO101" s="228">
        <v>306.42</v>
      </c>
      <c r="AP101" s="228">
        <v>308.29000000000002</v>
      </c>
      <c r="AQ101" s="228">
        <v>0</v>
      </c>
      <c r="AR101" s="230">
        <v>14620800</v>
      </c>
      <c r="AS101" s="230">
        <v>10976000</v>
      </c>
      <c r="AT101" s="230">
        <v>3644800</v>
      </c>
      <c r="AU101" s="229">
        <v>0.33210000000000001</v>
      </c>
      <c r="AV101" s="230">
        <v>12086400</v>
      </c>
      <c r="AW101" s="230">
        <v>9561600</v>
      </c>
      <c r="AX101" s="230">
        <v>2524800</v>
      </c>
      <c r="AY101" s="229">
        <v>0.2641</v>
      </c>
      <c r="AZ101" s="230">
        <v>2091200</v>
      </c>
      <c r="BA101" s="230">
        <v>1184000</v>
      </c>
      <c r="BB101" s="230">
        <v>907200</v>
      </c>
      <c r="BC101" s="229">
        <v>0.76619999999999999</v>
      </c>
      <c r="BD101" s="230">
        <v>443200</v>
      </c>
      <c r="BE101" s="230">
        <v>230400</v>
      </c>
      <c r="BF101" s="230">
        <v>212800</v>
      </c>
      <c r="BG101" s="229">
        <v>0.92359999999999998</v>
      </c>
      <c r="BH101" s="230">
        <v>70763200</v>
      </c>
      <c r="BI101" s="230">
        <v>43654400</v>
      </c>
      <c r="BJ101" s="230">
        <v>27108800</v>
      </c>
      <c r="BK101" s="229">
        <v>0.621</v>
      </c>
      <c r="BL101" s="230">
        <v>24667200</v>
      </c>
      <c r="BM101" s="230">
        <v>18169600</v>
      </c>
      <c r="BN101" s="230">
        <v>6497600</v>
      </c>
      <c r="BO101" s="229">
        <v>0.35759999999999997</v>
      </c>
      <c r="BP101" s="230">
        <v>110051200</v>
      </c>
      <c r="BQ101" s="230">
        <v>72800000</v>
      </c>
      <c r="BR101" s="230">
        <v>37251200</v>
      </c>
      <c r="BS101" s="229">
        <v>0.51170000000000004</v>
      </c>
      <c r="BT101" s="230">
        <v>23770827</v>
      </c>
      <c r="BU101" s="230">
        <v>15520255</v>
      </c>
      <c r="BV101" s="230">
        <v>8250572</v>
      </c>
      <c r="BW101" s="229">
        <v>0.53159999999999996</v>
      </c>
      <c r="BX101" s="230">
        <v>168619200</v>
      </c>
      <c r="BY101" s="230">
        <v>169563200</v>
      </c>
      <c r="BZ101" s="230">
        <v>-944000</v>
      </c>
      <c r="CA101" s="229">
        <v>-5.5999999999999999E-3</v>
      </c>
      <c r="CB101" s="230">
        <v>154356800</v>
      </c>
      <c r="CC101" s="230">
        <v>155833600</v>
      </c>
      <c r="CD101" s="230">
        <v>-1476800</v>
      </c>
      <c r="CE101" s="229">
        <v>-9.4999999999999998E-3</v>
      </c>
      <c r="CF101" s="230">
        <v>12622400</v>
      </c>
      <c r="CG101" s="230">
        <v>12308800</v>
      </c>
      <c r="CH101" s="230">
        <v>313600</v>
      </c>
      <c r="CI101" s="229">
        <v>2.5499999999999998E-2</v>
      </c>
      <c r="CJ101" s="230">
        <v>1640000</v>
      </c>
      <c r="CK101" s="230">
        <v>1420800</v>
      </c>
      <c r="CL101" s="230">
        <v>219200</v>
      </c>
      <c r="CM101" s="229">
        <v>0.15429999999999999</v>
      </c>
      <c r="CN101" s="230">
        <v>121761600</v>
      </c>
      <c r="CO101" s="230">
        <v>119574400</v>
      </c>
      <c r="CP101" s="230">
        <v>2187200</v>
      </c>
      <c r="CQ101" s="229">
        <v>1.83E-2</v>
      </c>
      <c r="CR101" s="230">
        <v>54900800</v>
      </c>
      <c r="CS101" s="230">
        <v>53118400</v>
      </c>
      <c r="CT101" s="230">
        <v>1782400</v>
      </c>
      <c r="CU101" s="229">
        <v>3.3599999999999998E-2</v>
      </c>
      <c r="CV101" s="230">
        <v>345281600</v>
      </c>
      <c r="CW101" s="230">
        <v>342256000</v>
      </c>
      <c r="CX101" s="230">
        <v>3025600</v>
      </c>
      <c r="CY101" s="229">
        <v>8.8000000000000005E-3</v>
      </c>
      <c r="CZ101" s="228">
        <v>23.48</v>
      </c>
      <c r="DA101" s="228">
        <v>22</v>
      </c>
      <c r="DB101" s="228">
        <v>1.48</v>
      </c>
      <c r="DC101" s="228">
        <v>1.48</v>
      </c>
      <c r="DD101" s="228">
        <v>24.24</v>
      </c>
      <c r="DE101" s="228">
        <v>24.21</v>
      </c>
      <c r="DF101" s="228">
        <v>-0.76</v>
      </c>
      <c r="DG101" s="228">
        <v>0.03</v>
      </c>
      <c r="DH101" s="228">
        <v>23.77</v>
      </c>
      <c r="DI101" s="228">
        <v>22.23</v>
      </c>
      <c r="DJ101" s="228">
        <v>1.54</v>
      </c>
      <c r="DK101" s="228">
        <v>1.54</v>
      </c>
      <c r="DL101" s="228">
        <v>22.64</v>
      </c>
      <c r="DM101" s="228">
        <v>21.44</v>
      </c>
      <c r="DN101" s="228">
        <v>1.2</v>
      </c>
      <c r="DO101" s="228">
        <v>1.2</v>
      </c>
      <c r="DP101" s="228">
        <v>0.45</v>
      </c>
      <c r="DQ101" s="228">
        <v>0.44</v>
      </c>
      <c r="DR101" s="228">
        <v>0.01</v>
      </c>
      <c r="DS101" s="229">
        <v>2.2700000000000001E-2</v>
      </c>
      <c r="DT101" s="228">
        <v>320</v>
      </c>
      <c r="DU101" s="228">
        <v>320</v>
      </c>
      <c r="DV101" s="228">
        <v>0.35</v>
      </c>
      <c r="DW101" s="228">
        <v>0.42</v>
      </c>
      <c r="DX101" s="228">
        <v>-7.0000000000000007E-2</v>
      </c>
      <c r="DY101" s="229">
        <v>-0.16669999999999999</v>
      </c>
      <c r="DZ101" s="229">
        <v>8.4599999999999995E-2</v>
      </c>
      <c r="EA101" s="230">
        <v>13729600</v>
      </c>
      <c r="EB101" s="229">
        <v>6.7000000000000002E-3</v>
      </c>
      <c r="EC101" s="229">
        <v>8.4599999999999995E-2</v>
      </c>
      <c r="ED101" s="228">
        <v>1.87</v>
      </c>
      <c r="EE101" s="229">
        <v>6.1000000000000004E-3</v>
      </c>
      <c r="EF101" s="230">
        <v>13483016</v>
      </c>
      <c r="EG101" s="230">
        <v>10008732</v>
      </c>
      <c r="EH101" s="229">
        <v>0.34710000000000002</v>
      </c>
      <c r="EI101" s="229">
        <v>0.56720000000000004</v>
      </c>
      <c r="EJ101" s="231">
        <v>229408.05</v>
      </c>
      <c r="EK101" s="231">
        <v>76591.72</v>
      </c>
      <c r="EL101" s="231">
        <v>44854.32</v>
      </c>
      <c r="EM101" s="231">
        <v>8841</v>
      </c>
      <c r="EN101" s="231">
        <v>350854.09</v>
      </c>
      <c r="EO101" s="231">
        <v>232490.67</v>
      </c>
      <c r="EP101" s="231">
        <v>118363.42</v>
      </c>
      <c r="EQ101" s="229">
        <v>0.5091</v>
      </c>
      <c r="ER101" s="231">
        <v>404671</v>
      </c>
      <c r="ES101" s="231">
        <v>175446</v>
      </c>
      <c r="ET101" s="231">
        <v>514523</v>
      </c>
      <c r="EU101" s="231">
        <v>1252401670</v>
      </c>
      <c r="EV101" s="231">
        <v>1094640</v>
      </c>
      <c r="EW101" s="231">
        <v>1093515</v>
      </c>
      <c r="EX101" s="231">
        <v>1125</v>
      </c>
      <c r="EY101" s="229">
        <v>1E-3</v>
      </c>
      <c r="EZ101" s="229">
        <v>0.2757</v>
      </c>
      <c r="FA101" s="227" t="s">
        <v>568</v>
      </c>
      <c r="FB101" s="161">
        <f t="shared" si="1"/>
        <v>14262400</v>
      </c>
    </row>
    <row r="102" spans="1:158" ht="17.25" thickBot="1" x14ac:dyDescent="0.3">
      <c r="A102" s="226">
        <v>46093</v>
      </c>
      <c r="B102" s="227" t="s">
        <v>227</v>
      </c>
      <c r="C102" s="227" t="s">
        <v>243</v>
      </c>
      <c r="D102" s="228">
        <v>625</v>
      </c>
      <c r="E102" s="231">
        <v>1227.9000000000001</v>
      </c>
      <c r="F102" s="231">
        <v>1187.9000000000001</v>
      </c>
      <c r="G102" s="228">
        <v>40</v>
      </c>
      <c r="H102" s="229">
        <v>3.3700000000000001E-2</v>
      </c>
      <c r="I102" s="231">
        <v>1225</v>
      </c>
      <c r="J102" s="231">
        <v>1187</v>
      </c>
      <c r="K102" s="228">
        <v>38</v>
      </c>
      <c r="L102" s="229">
        <v>3.2000000000000001E-2</v>
      </c>
      <c r="M102" s="231">
        <v>1227.9000000000001</v>
      </c>
      <c r="N102" s="231">
        <v>1187.9000000000001</v>
      </c>
      <c r="O102" s="228">
        <v>40</v>
      </c>
      <c r="P102" s="229">
        <v>3.3700000000000001E-2</v>
      </c>
      <c r="Q102" s="231">
        <v>1233.7</v>
      </c>
      <c r="R102" s="231">
        <v>1193.9000000000001</v>
      </c>
      <c r="S102" s="228">
        <v>39.799999999999997</v>
      </c>
      <c r="T102" s="229">
        <v>3.3300000000000003E-2</v>
      </c>
      <c r="U102" s="231">
        <v>1240.8</v>
      </c>
      <c r="V102" s="231">
        <v>1202.0999999999999</v>
      </c>
      <c r="W102" s="228">
        <v>38.700000000000003</v>
      </c>
      <c r="X102" s="229">
        <v>3.2199999999999999E-2</v>
      </c>
      <c r="Y102" s="228">
        <v>2.9</v>
      </c>
      <c r="Z102" s="228">
        <v>0.9</v>
      </c>
      <c r="AA102" s="228">
        <v>2</v>
      </c>
      <c r="AB102" s="229">
        <v>2.3999999999999998E-3</v>
      </c>
      <c r="AC102" s="228">
        <v>2.9</v>
      </c>
      <c r="AD102" s="228">
        <v>0.9</v>
      </c>
      <c r="AE102" s="228">
        <v>2</v>
      </c>
      <c r="AF102" s="229">
        <v>2.3999999999999998E-3</v>
      </c>
      <c r="AG102" s="228">
        <v>8.6999999999999993</v>
      </c>
      <c r="AH102" s="228">
        <v>6.9</v>
      </c>
      <c r="AI102" s="228">
        <v>1.8</v>
      </c>
      <c r="AJ102" s="229">
        <v>7.1000000000000004E-3</v>
      </c>
      <c r="AK102" s="228">
        <v>15.8</v>
      </c>
      <c r="AL102" s="228">
        <v>15.1</v>
      </c>
      <c r="AM102" s="228">
        <v>0.7</v>
      </c>
      <c r="AN102" s="229">
        <v>1.29E-2</v>
      </c>
      <c r="AO102" s="231">
        <v>1208.78</v>
      </c>
      <c r="AP102" s="231">
        <v>1214.67</v>
      </c>
      <c r="AQ102" s="228">
        <v>0</v>
      </c>
      <c r="AR102" s="230">
        <v>3053125</v>
      </c>
      <c r="AS102" s="230">
        <v>1801250</v>
      </c>
      <c r="AT102" s="230">
        <v>1251875</v>
      </c>
      <c r="AU102" s="229">
        <v>0.69499999999999995</v>
      </c>
      <c r="AV102" s="230">
        <v>2904375</v>
      </c>
      <c r="AW102" s="230">
        <v>1686250</v>
      </c>
      <c r="AX102" s="230">
        <v>1218125</v>
      </c>
      <c r="AY102" s="229">
        <v>0.72240000000000004</v>
      </c>
      <c r="AZ102" s="230">
        <v>138750</v>
      </c>
      <c r="BA102" s="230">
        <v>111875</v>
      </c>
      <c r="BB102" s="230">
        <v>26875</v>
      </c>
      <c r="BC102" s="229">
        <v>0.2402</v>
      </c>
      <c r="BD102" s="230">
        <v>10000</v>
      </c>
      <c r="BE102" s="230">
        <v>3125</v>
      </c>
      <c r="BF102" s="230">
        <v>6875</v>
      </c>
      <c r="BG102" s="229">
        <v>2.2000000000000002</v>
      </c>
      <c r="BH102" s="230">
        <v>7139375</v>
      </c>
      <c r="BI102" s="230">
        <v>4431875</v>
      </c>
      <c r="BJ102" s="230">
        <v>2707500</v>
      </c>
      <c r="BK102" s="229">
        <v>0.6109</v>
      </c>
      <c r="BL102" s="230">
        <v>4343750</v>
      </c>
      <c r="BM102" s="230">
        <v>2831875</v>
      </c>
      <c r="BN102" s="230">
        <v>1511875</v>
      </c>
      <c r="BO102" s="229">
        <v>0.53390000000000004</v>
      </c>
      <c r="BP102" s="230">
        <v>14536250</v>
      </c>
      <c r="BQ102" s="230">
        <v>9065000</v>
      </c>
      <c r="BR102" s="230">
        <v>5471250</v>
      </c>
      <c r="BS102" s="229">
        <v>0.60360000000000003</v>
      </c>
      <c r="BT102" s="230">
        <v>1997836</v>
      </c>
      <c r="BU102" s="230">
        <v>1063786</v>
      </c>
      <c r="BV102" s="230">
        <v>934050</v>
      </c>
      <c r="BW102" s="229">
        <v>0.878</v>
      </c>
      <c r="BX102" s="230">
        <v>10211250</v>
      </c>
      <c r="BY102" s="230">
        <v>10354375</v>
      </c>
      <c r="BZ102" s="230">
        <v>-143125</v>
      </c>
      <c r="CA102" s="229">
        <v>-1.38E-2</v>
      </c>
      <c r="CB102" s="230">
        <v>10012500</v>
      </c>
      <c r="CC102" s="230">
        <v>10198125</v>
      </c>
      <c r="CD102" s="230">
        <v>-185625</v>
      </c>
      <c r="CE102" s="229">
        <v>-1.8200000000000001E-2</v>
      </c>
      <c r="CF102" s="230">
        <v>182500</v>
      </c>
      <c r="CG102" s="230">
        <v>143125</v>
      </c>
      <c r="CH102" s="230">
        <v>39375</v>
      </c>
      <c r="CI102" s="229">
        <v>0.27510000000000001</v>
      </c>
      <c r="CJ102" s="230">
        <v>16250</v>
      </c>
      <c r="CK102" s="230">
        <v>13125</v>
      </c>
      <c r="CL102" s="230">
        <v>3125</v>
      </c>
      <c r="CM102" s="229">
        <v>0.23810000000000001</v>
      </c>
      <c r="CN102" s="230">
        <v>3258750</v>
      </c>
      <c r="CO102" s="230">
        <v>3413125</v>
      </c>
      <c r="CP102" s="230">
        <v>-154375</v>
      </c>
      <c r="CQ102" s="229">
        <v>-4.5199999999999997E-2</v>
      </c>
      <c r="CR102" s="230">
        <v>3684375</v>
      </c>
      <c r="CS102" s="230">
        <v>3513750</v>
      </c>
      <c r="CT102" s="230">
        <v>170625</v>
      </c>
      <c r="CU102" s="229">
        <v>4.8599999999999997E-2</v>
      </c>
      <c r="CV102" s="230">
        <v>17154375</v>
      </c>
      <c r="CW102" s="230">
        <v>17281250</v>
      </c>
      <c r="CX102" s="230">
        <v>-126875</v>
      </c>
      <c r="CY102" s="229">
        <v>-7.3000000000000001E-3</v>
      </c>
      <c r="CZ102" s="228">
        <v>33.11</v>
      </c>
      <c r="DA102" s="228">
        <v>31.63</v>
      </c>
      <c r="DB102" s="228">
        <v>1.48</v>
      </c>
      <c r="DC102" s="228">
        <v>1.48</v>
      </c>
      <c r="DD102" s="228">
        <v>35.520000000000003</v>
      </c>
      <c r="DE102" s="228">
        <v>35.36</v>
      </c>
      <c r="DF102" s="228">
        <v>-2.41</v>
      </c>
      <c r="DG102" s="228">
        <v>0.16</v>
      </c>
      <c r="DH102" s="228">
        <v>31.57</v>
      </c>
      <c r="DI102" s="228">
        <v>30.8</v>
      </c>
      <c r="DJ102" s="228">
        <v>0.77</v>
      </c>
      <c r="DK102" s="228">
        <v>0.77</v>
      </c>
      <c r="DL102" s="228">
        <v>35.64</v>
      </c>
      <c r="DM102" s="228">
        <v>32.94</v>
      </c>
      <c r="DN102" s="228">
        <v>2.7</v>
      </c>
      <c r="DO102" s="228">
        <v>2.7</v>
      </c>
      <c r="DP102" s="228">
        <v>1.1299999999999999</v>
      </c>
      <c r="DQ102" s="228">
        <v>1.03</v>
      </c>
      <c r="DR102" s="228">
        <v>0.1</v>
      </c>
      <c r="DS102" s="229">
        <v>9.7100000000000006E-2</v>
      </c>
      <c r="DT102" s="231">
        <v>1300</v>
      </c>
      <c r="DU102" s="231">
        <v>1180</v>
      </c>
      <c r="DV102" s="228">
        <v>0.61</v>
      </c>
      <c r="DW102" s="228">
        <v>0.64</v>
      </c>
      <c r="DX102" s="228">
        <v>-0.03</v>
      </c>
      <c r="DY102" s="229">
        <v>-4.6899999999999997E-2</v>
      </c>
      <c r="DZ102" s="229">
        <v>1.95E-2</v>
      </c>
      <c r="EA102" s="230">
        <v>156250</v>
      </c>
      <c r="EB102" s="229">
        <v>4.7000000000000002E-3</v>
      </c>
      <c r="EC102" s="229">
        <v>1.95E-2</v>
      </c>
      <c r="ED102" s="228">
        <v>5.89</v>
      </c>
      <c r="EE102" s="229">
        <v>4.8999999999999998E-3</v>
      </c>
      <c r="EF102" s="230">
        <v>822963</v>
      </c>
      <c r="EG102" s="230">
        <v>446155</v>
      </c>
      <c r="EH102" s="229">
        <v>0.84460000000000002</v>
      </c>
      <c r="EI102" s="229">
        <v>0.41189999999999999</v>
      </c>
      <c r="EJ102" s="231">
        <v>90525.52</v>
      </c>
      <c r="EK102" s="231">
        <v>51003.38</v>
      </c>
      <c r="EL102" s="231">
        <v>36915.5</v>
      </c>
      <c r="EM102" s="231">
        <v>3666</v>
      </c>
      <c r="EN102" s="231">
        <v>178444.4</v>
      </c>
      <c r="EO102" s="231">
        <v>110285.55</v>
      </c>
      <c r="EP102" s="231">
        <v>68158.850000000006</v>
      </c>
      <c r="EQ102" s="229">
        <v>0.61799999999999999</v>
      </c>
      <c r="ER102" s="231">
        <v>40922</v>
      </c>
      <c r="ES102" s="231">
        <v>42415</v>
      </c>
      <c r="ET102" s="231">
        <v>125397</v>
      </c>
      <c r="EU102" s="231">
        <v>48257090</v>
      </c>
      <c r="EV102" s="231">
        <v>208734</v>
      </c>
      <c r="EW102" s="231">
        <v>206259</v>
      </c>
      <c r="EX102" s="231">
        <v>2475</v>
      </c>
      <c r="EY102" s="229">
        <v>1.2E-2</v>
      </c>
      <c r="EZ102" s="229">
        <v>0.35549999999999998</v>
      </c>
      <c r="FA102" s="227" t="s">
        <v>556</v>
      </c>
      <c r="FB102" s="161">
        <f t="shared" si="1"/>
        <v>198750</v>
      </c>
    </row>
    <row r="103" spans="1:158" ht="17.25" thickBot="1" x14ac:dyDescent="0.3">
      <c r="A103" s="226">
        <v>46093</v>
      </c>
      <c r="B103" s="227" t="s">
        <v>175</v>
      </c>
      <c r="C103" s="227" t="s">
        <v>570</v>
      </c>
      <c r="D103" s="228">
        <v>2350</v>
      </c>
      <c r="E103" s="228">
        <v>242.65</v>
      </c>
      <c r="F103" s="228">
        <v>238.9</v>
      </c>
      <c r="G103" s="228">
        <v>3.75</v>
      </c>
      <c r="H103" s="229">
        <v>1.5699999999999999E-2</v>
      </c>
      <c r="I103" s="228">
        <v>242.2</v>
      </c>
      <c r="J103" s="228">
        <v>238.7</v>
      </c>
      <c r="K103" s="228">
        <v>3.5</v>
      </c>
      <c r="L103" s="229">
        <v>1.47E-2</v>
      </c>
      <c r="M103" s="228">
        <v>242.65</v>
      </c>
      <c r="N103" s="228">
        <v>238.9</v>
      </c>
      <c r="O103" s="228">
        <v>3.75</v>
      </c>
      <c r="P103" s="229">
        <v>1.5699999999999999E-2</v>
      </c>
      <c r="Q103" s="228">
        <v>244.2</v>
      </c>
      <c r="R103" s="228">
        <v>240.45</v>
      </c>
      <c r="S103" s="228">
        <v>3.75</v>
      </c>
      <c r="T103" s="229">
        <v>1.5599999999999999E-2</v>
      </c>
      <c r="U103" s="228">
        <v>245.35</v>
      </c>
      <c r="V103" s="228">
        <v>241.8</v>
      </c>
      <c r="W103" s="228">
        <v>3.55</v>
      </c>
      <c r="X103" s="229">
        <v>1.47E-2</v>
      </c>
      <c r="Y103" s="228">
        <v>0.45</v>
      </c>
      <c r="Z103" s="228">
        <v>0.2</v>
      </c>
      <c r="AA103" s="228">
        <v>0.25</v>
      </c>
      <c r="AB103" s="229">
        <v>1.9E-3</v>
      </c>
      <c r="AC103" s="228">
        <v>0.45</v>
      </c>
      <c r="AD103" s="228">
        <v>0.2</v>
      </c>
      <c r="AE103" s="228">
        <v>0.25</v>
      </c>
      <c r="AF103" s="229">
        <v>1.9E-3</v>
      </c>
      <c r="AG103" s="228">
        <v>2</v>
      </c>
      <c r="AH103" s="228">
        <v>1.75</v>
      </c>
      <c r="AI103" s="228">
        <v>0.25</v>
      </c>
      <c r="AJ103" s="229">
        <v>8.3000000000000001E-3</v>
      </c>
      <c r="AK103" s="228">
        <v>3.15</v>
      </c>
      <c r="AL103" s="228">
        <v>3.1</v>
      </c>
      <c r="AM103" s="228">
        <v>0.05</v>
      </c>
      <c r="AN103" s="229">
        <v>1.2999999999999999E-2</v>
      </c>
      <c r="AO103" s="228">
        <v>240.09</v>
      </c>
      <c r="AP103" s="228">
        <v>241.57</v>
      </c>
      <c r="AQ103" s="228">
        <v>0</v>
      </c>
      <c r="AR103" s="230">
        <v>18708350</v>
      </c>
      <c r="AS103" s="230">
        <v>21690500</v>
      </c>
      <c r="AT103" s="230">
        <v>-2982150</v>
      </c>
      <c r="AU103" s="229">
        <v>-0.13750000000000001</v>
      </c>
      <c r="AV103" s="230">
        <v>15218600</v>
      </c>
      <c r="AW103" s="230">
        <v>18764750</v>
      </c>
      <c r="AX103" s="230">
        <v>-3546150</v>
      </c>
      <c r="AY103" s="229">
        <v>-0.189</v>
      </c>
      <c r="AZ103" s="230">
        <v>2923400</v>
      </c>
      <c r="BA103" s="230">
        <v>2425200</v>
      </c>
      <c r="BB103" s="230">
        <v>498200</v>
      </c>
      <c r="BC103" s="229">
        <v>0.2054</v>
      </c>
      <c r="BD103" s="230">
        <v>566350</v>
      </c>
      <c r="BE103" s="230">
        <v>500550</v>
      </c>
      <c r="BF103" s="230">
        <v>65800</v>
      </c>
      <c r="BG103" s="229">
        <v>0.13150000000000001</v>
      </c>
      <c r="BH103" s="230">
        <v>62032950</v>
      </c>
      <c r="BI103" s="230">
        <v>71449400</v>
      </c>
      <c r="BJ103" s="230">
        <v>-9416450</v>
      </c>
      <c r="BK103" s="229">
        <v>-0.1318</v>
      </c>
      <c r="BL103" s="230">
        <v>20292250</v>
      </c>
      <c r="BM103" s="230">
        <v>24797200</v>
      </c>
      <c r="BN103" s="230">
        <v>-4504950</v>
      </c>
      <c r="BO103" s="229">
        <v>-0.1817</v>
      </c>
      <c r="BP103" s="230">
        <v>101033550</v>
      </c>
      <c r="BQ103" s="230">
        <v>117937100</v>
      </c>
      <c r="BR103" s="230">
        <v>-16903550</v>
      </c>
      <c r="BS103" s="229">
        <v>-0.14330000000000001</v>
      </c>
      <c r="BT103" s="230">
        <v>19487701</v>
      </c>
      <c r="BU103" s="230">
        <v>18014075</v>
      </c>
      <c r="BV103" s="230">
        <v>1473626</v>
      </c>
      <c r="BW103" s="229">
        <v>8.1799999999999998E-2</v>
      </c>
      <c r="BX103" s="230">
        <v>175183100</v>
      </c>
      <c r="BY103" s="230">
        <v>176473250</v>
      </c>
      <c r="BZ103" s="230">
        <v>-1290150</v>
      </c>
      <c r="CA103" s="229">
        <v>-7.3000000000000001E-3</v>
      </c>
      <c r="CB103" s="230">
        <v>158930500</v>
      </c>
      <c r="CC103" s="230">
        <v>160876300</v>
      </c>
      <c r="CD103" s="230">
        <v>-1945800</v>
      </c>
      <c r="CE103" s="229">
        <v>-1.21E-2</v>
      </c>
      <c r="CF103" s="230">
        <v>14175200</v>
      </c>
      <c r="CG103" s="230">
        <v>13568900</v>
      </c>
      <c r="CH103" s="230">
        <v>606300</v>
      </c>
      <c r="CI103" s="229">
        <v>4.4699999999999997E-2</v>
      </c>
      <c r="CJ103" s="230">
        <v>2077400</v>
      </c>
      <c r="CK103" s="230">
        <v>2028050</v>
      </c>
      <c r="CL103" s="230">
        <v>49350</v>
      </c>
      <c r="CM103" s="229">
        <v>2.4299999999999999E-2</v>
      </c>
      <c r="CN103" s="230">
        <v>52054850</v>
      </c>
      <c r="CO103" s="230">
        <v>51916200</v>
      </c>
      <c r="CP103" s="230">
        <v>138650</v>
      </c>
      <c r="CQ103" s="229">
        <v>2.7000000000000001E-3</v>
      </c>
      <c r="CR103" s="230">
        <v>42151950</v>
      </c>
      <c r="CS103" s="230">
        <v>41371750</v>
      </c>
      <c r="CT103" s="230">
        <v>780200</v>
      </c>
      <c r="CU103" s="229">
        <v>1.89E-2</v>
      </c>
      <c r="CV103" s="230">
        <v>269389900</v>
      </c>
      <c r="CW103" s="230">
        <v>269761200</v>
      </c>
      <c r="CX103" s="230">
        <v>-371300</v>
      </c>
      <c r="CY103" s="229">
        <v>-1.4E-3</v>
      </c>
      <c r="CZ103" s="228">
        <v>36.31</v>
      </c>
      <c r="DA103" s="228">
        <v>36.729999999999997</v>
      </c>
      <c r="DB103" s="228">
        <v>-0.42</v>
      </c>
      <c r="DC103" s="228">
        <v>-0.42</v>
      </c>
      <c r="DD103" s="228">
        <v>34.85</v>
      </c>
      <c r="DE103" s="228">
        <v>34.869999999999997</v>
      </c>
      <c r="DF103" s="228">
        <v>1.46</v>
      </c>
      <c r="DG103" s="228">
        <v>-0.02</v>
      </c>
      <c r="DH103" s="228">
        <v>35.380000000000003</v>
      </c>
      <c r="DI103" s="228">
        <v>36.479999999999997</v>
      </c>
      <c r="DJ103" s="228">
        <v>-1.1000000000000001</v>
      </c>
      <c r="DK103" s="228">
        <v>-1.1000000000000001</v>
      </c>
      <c r="DL103" s="228">
        <v>39.159999999999997</v>
      </c>
      <c r="DM103" s="228">
        <v>37.44</v>
      </c>
      <c r="DN103" s="228">
        <v>1.72</v>
      </c>
      <c r="DO103" s="228">
        <v>1.72</v>
      </c>
      <c r="DP103" s="228">
        <v>0.81</v>
      </c>
      <c r="DQ103" s="228">
        <v>0.8</v>
      </c>
      <c r="DR103" s="228">
        <v>0.01</v>
      </c>
      <c r="DS103" s="229">
        <v>1.2500000000000001E-2</v>
      </c>
      <c r="DT103" s="228">
        <v>260</v>
      </c>
      <c r="DU103" s="228">
        <v>260</v>
      </c>
      <c r="DV103" s="228">
        <v>0.33</v>
      </c>
      <c r="DW103" s="228">
        <v>0.35</v>
      </c>
      <c r="DX103" s="228">
        <v>-0.02</v>
      </c>
      <c r="DY103" s="229">
        <v>-5.7099999999999998E-2</v>
      </c>
      <c r="DZ103" s="229">
        <v>9.2799999999999994E-2</v>
      </c>
      <c r="EA103" s="230">
        <v>15596950</v>
      </c>
      <c r="EB103" s="229">
        <v>6.4000000000000003E-3</v>
      </c>
      <c r="EC103" s="229">
        <v>9.2799999999999994E-2</v>
      </c>
      <c r="ED103" s="228">
        <v>1.48</v>
      </c>
      <c r="EE103" s="229">
        <v>6.1999999999999998E-3</v>
      </c>
      <c r="EF103" s="230">
        <v>8542658</v>
      </c>
      <c r="EG103" s="230">
        <v>7236591</v>
      </c>
      <c r="EH103" s="229">
        <v>0.18049999999999999</v>
      </c>
      <c r="EI103" s="229">
        <v>0.43840000000000001</v>
      </c>
      <c r="EJ103" s="231">
        <v>160749.21</v>
      </c>
      <c r="EK103" s="231">
        <v>47999.7</v>
      </c>
      <c r="EL103" s="231">
        <v>44973.06</v>
      </c>
      <c r="EM103" s="231">
        <v>9396</v>
      </c>
      <c r="EN103" s="231">
        <v>253721.97</v>
      </c>
      <c r="EO103" s="231">
        <v>295785.92</v>
      </c>
      <c r="EP103" s="231">
        <v>-42063.95</v>
      </c>
      <c r="EQ103" s="229">
        <v>-0.14219999999999999</v>
      </c>
      <c r="ER103" s="231">
        <v>139241</v>
      </c>
      <c r="ES103" s="231">
        <v>108043</v>
      </c>
      <c r="ET103" s="231">
        <v>425358</v>
      </c>
      <c r="EU103" s="231">
        <v>355358091</v>
      </c>
      <c r="EV103" s="231">
        <v>672642</v>
      </c>
      <c r="EW103" s="231">
        <v>666919</v>
      </c>
      <c r="EX103" s="231">
        <v>5723</v>
      </c>
      <c r="EY103" s="229">
        <v>8.6E-3</v>
      </c>
      <c r="EZ103" s="229">
        <v>0.7581</v>
      </c>
      <c r="FA103" s="227" t="s">
        <v>556</v>
      </c>
      <c r="FB103" s="161">
        <f t="shared" si="1"/>
        <v>16252600</v>
      </c>
    </row>
    <row r="104" spans="1:158" ht="17.25" thickBot="1" x14ac:dyDescent="0.3">
      <c r="A104" s="226">
        <v>46093</v>
      </c>
      <c r="B104" s="227" t="s">
        <v>161</v>
      </c>
      <c r="C104" s="227" t="s">
        <v>580</v>
      </c>
      <c r="D104" s="228">
        <v>1000</v>
      </c>
      <c r="E104" s="228">
        <v>520</v>
      </c>
      <c r="F104" s="228">
        <v>488.45</v>
      </c>
      <c r="G104" s="228">
        <v>31.55</v>
      </c>
      <c r="H104" s="229">
        <v>6.4600000000000005E-2</v>
      </c>
      <c r="I104" s="228">
        <v>518.29999999999995</v>
      </c>
      <c r="J104" s="228">
        <v>488</v>
      </c>
      <c r="K104" s="228">
        <v>30.3</v>
      </c>
      <c r="L104" s="229">
        <v>6.2100000000000002E-2</v>
      </c>
      <c r="M104" s="228">
        <v>520</v>
      </c>
      <c r="N104" s="228">
        <v>488.45</v>
      </c>
      <c r="O104" s="228">
        <v>31.55</v>
      </c>
      <c r="P104" s="229">
        <v>6.4600000000000005E-2</v>
      </c>
      <c r="Q104" s="228">
        <v>522.5</v>
      </c>
      <c r="R104" s="228">
        <v>491.35</v>
      </c>
      <c r="S104" s="228">
        <v>31.15</v>
      </c>
      <c r="T104" s="229">
        <v>6.3399999999999998E-2</v>
      </c>
      <c r="U104" s="228">
        <v>525.5</v>
      </c>
      <c r="V104" s="228">
        <v>496.5</v>
      </c>
      <c r="W104" s="228">
        <v>29</v>
      </c>
      <c r="X104" s="229">
        <v>5.8400000000000001E-2</v>
      </c>
      <c r="Y104" s="228">
        <v>1.7</v>
      </c>
      <c r="Z104" s="228">
        <v>0.45</v>
      </c>
      <c r="AA104" s="228">
        <v>1.25</v>
      </c>
      <c r="AB104" s="229">
        <v>3.3E-3</v>
      </c>
      <c r="AC104" s="228">
        <v>1.7</v>
      </c>
      <c r="AD104" s="228">
        <v>0.45</v>
      </c>
      <c r="AE104" s="228">
        <v>1.25</v>
      </c>
      <c r="AF104" s="229">
        <v>3.3E-3</v>
      </c>
      <c r="AG104" s="228">
        <v>4.2</v>
      </c>
      <c r="AH104" s="228">
        <v>3.35</v>
      </c>
      <c r="AI104" s="228">
        <v>0.85</v>
      </c>
      <c r="AJ104" s="229">
        <v>8.0999999999999996E-3</v>
      </c>
      <c r="AK104" s="228">
        <v>7.2</v>
      </c>
      <c r="AL104" s="228">
        <v>8.5</v>
      </c>
      <c r="AM104" s="228">
        <v>-1.3</v>
      </c>
      <c r="AN104" s="229">
        <v>1.3899999999999999E-2</v>
      </c>
      <c r="AO104" s="228">
        <v>515.86</v>
      </c>
      <c r="AP104" s="228">
        <v>518.92999999999995</v>
      </c>
      <c r="AQ104" s="228">
        <v>0</v>
      </c>
      <c r="AR104" s="230">
        <v>12888000</v>
      </c>
      <c r="AS104" s="230">
        <v>2204000</v>
      </c>
      <c r="AT104" s="230">
        <v>10684000</v>
      </c>
      <c r="AU104" s="229">
        <v>4.8475000000000001</v>
      </c>
      <c r="AV104" s="230">
        <v>12244000</v>
      </c>
      <c r="AW104" s="230">
        <v>2145000</v>
      </c>
      <c r="AX104" s="230">
        <v>10099000</v>
      </c>
      <c r="AY104" s="229">
        <v>4.7081999999999997</v>
      </c>
      <c r="AZ104" s="230">
        <v>616000</v>
      </c>
      <c r="BA104" s="230">
        <v>53000</v>
      </c>
      <c r="BB104" s="230">
        <v>563000</v>
      </c>
      <c r="BC104" s="229">
        <v>10.6226</v>
      </c>
      <c r="BD104" s="230">
        <v>28000</v>
      </c>
      <c r="BE104" s="230">
        <v>6000</v>
      </c>
      <c r="BF104" s="230">
        <v>22000</v>
      </c>
      <c r="BG104" s="229">
        <v>3.6667000000000001</v>
      </c>
      <c r="BH104" s="230">
        <v>77476000</v>
      </c>
      <c r="BI104" s="230">
        <v>4496000</v>
      </c>
      <c r="BJ104" s="230">
        <v>72980000</v>
      </c>
      <c r="BK104" s="229">
        <v>16.232199999999999</v>
      </c>
      <c r="BL104" s="230">
        <v>20936000</v>
      </c>
      <c r="BM104" s="230">
        <v>1714000</v>
      </c>
      <c r="BN104" s="230">
        <v>19222000</v>
      </c>
      <c r="BO104" s="229">
        <v>11.214700000000001</v>
      </c>
      <c r="BP104" s="230">
        <v>111300000</v>
      </c>
      <c r="BQ104" s="230">
        <v>8414000</v>
      </c>
      <c r="BR104" s="230">
        <v>102886000</v>
      </c>
      <c r="BS104" s="229">
        <v>12.228</v>
      </c>
      <c r="BT104" s="230">
        <v>20497575</v>
      </c>
      <c r="BU104" s="230">
        <v>1283469</v>
      </c>
      <c r="BV104" s="230">
        <v>19214106</v>
      </c>
      <c r="BW104" s="229">
        <v>14.9704</v>
      </c>
      <c r="BX104" s="230">
        <v>27320000</v>
      </c>
      <c r="BY104" s="230">
        <v>28488000</v>
      </c>
      <c r="BZ104" s="230">
        <v>-1168000</v>
      </c>
      <c r="CA104" s="229">
        <v>-4.1000000000000002E-2</v>
      </c>
      <c r="CB104" s="230">
        <v>26106000</v>
      </c>
      <c r="CC104" s="230">
        <v>27273000</v>
      </c>
      <c r="CD104" s="230">
        <v>-1167000</v>
      </c>
      <c r="CE104" s="229">
        <v>-4.2799999999999998E-2</v>
      </c>
      <c r="CF104" s="230">
        <v>1192000</v>
      </c>
      <c r="CG104" s="230">
        <v>1192000</v>
      </c>
      <c r="CH104" s="228">
        <v>0</v>
      </c>
      <c r="CI104" s="229">
        <v>0</v>
      </c>
      <c r="CJ104" s="230">
        <v>22000</v>
      </c>
      <c r="CK104" s="230">
        <v>23000</v>
      </c>
      <c r="CL104" s="230">
        <v>-1000</v>
      </c>
      <c r="CM104" s="229">
        <v>-4.3499999999999997E-2</v>
      </c>
      <c r="CN104" s="230">
        <v>7087000</v>
      </c>
      <c r="CO104" s="230">
        <v>6109000</v>
      </c>
      <c r="CP104" s="230">
        <v>978000</v>
      </c>
      <c r="CQ104" s="229">
        <v>0.16009999999999999</v>
      </c>
      <c r="CR104" s="230">
        <v>5727000</v>
      </c>
      <c r="CS104" s="230">
        <v>4572000</v>
      </c>
      <c r="CT104" s="230">
        <v>1155000</v>
      </c>
      <c r="CU104" s="229">
        <v>0.25259999999999999</v>
      </c>
      <c r="CV104" s="230">
        <v>40134000</v>
      </c>
      <c r="CW104" s="230">
        <v>39169000</v>
      </c>
      <c r="CX104" s="230">
        <v>965000</v>
      </c>
      <c r="CY104" s="229">
        <v>2.46E-2</v>
      </c>
      <c r="CZ104" s="228">
        <v>40.14</v>
      </c>
      <c r="DA104" s="228">
        <v>33.56</v>
      </c>
      <c r="DB104" s="228">
        <v>6.58</v>
      </c>
      <c r="DC104" s="228">
        <v>6.58</v>
      </c>
      <c r="DD104" s="228">
        <v>42.96</v>
      </c>
      <c r="DE104" s="228">
        <v>42.22</v>
      </c>
      <c r="DF104" s="228">
        <v>-2.82</v>
      </c>
      <c r="DG104" s="228">
        <v>0.74</v>
      </c>
      <c r="DH104" s="228">
        <v>39.76</v>
      </c>
      <c r="DI104" s="228">
        <v>32.880000000000003</v>
      </c>
      <c r="DJ104" s="228">
        <v>6.88</v>
      </c>
      <c r="DK104" s="228">
        <v>6.88</v>
      </c>
      <c r="DL104" s="228">
        <v>41.55</v>
      </c>
      <c r="DM104" s="228">
        <v>35.340000000000003</v>
      </c>
      <c r="DN104" s="228">
        <v>6.21</v>
      </c>
      <c r="DO104" s="228">
        <v>6.21</v>
      </c>
      <c r="DP104" s="228">
        <v>0.81</v>
      </c>
      <c r="DQ104" s="228">
        <v>0.75</v>
      </c>
      <c r="DR104" s="228">
        <v>0.06</v>
      </c>
      <c r="DS104" s="229">
        <v>0.08</v>
      </c>
      <c r="DT104" s="228">
        <v>500</v>
      </c>
      <c r="DU104" s="228">
        <v>530</v>
      </c>
      <c r="DV104" s="228">
        <v>0.27</v>
      </c>
      <c r="DW104" s="228">
        <v>0.38</v>
      </c>
      <c r="DX104" s="228">
        <v>-0.11</v>
      </c>
      <c r="DY104" s="229">
        <v>-0.28949999999999998</v>
      </c>
      <c r="DZ104" s="229">
        <v>4.4400000000000002E-2</v>
      </c>
      <c r="EA104" s="230">
        <v>1215000</v>
      </c>
      <c r="EB104" s="229">
        <v>4.7999999999999996E-3</v>
      </c>
      <c r="EC104" s="229">
        <v>4.4400000000000002E-2</v>
      </c>
      <c r="ED104" s="228">
        <v>3.07</v>
      </c>
      <c r="EE104" s="229">
        <v>6.0000000000000001E-3</v>
      </c>
      <c r="EF104" s="230">
        <v>6322604</v>
      </c>
      <c r="EG104" s="230">
        <v>451004</v>
      </c>
      <c r="EH104" s="229">
        <v>13.019</v>
      </c>
      <c r="EI104" s="229">
        <v>0.3085</v>
      </c>
      <c r="EJ104" s="231">
        <v>419032.47</v>
      </c>
      <c r="EK104" s="231">
        <v>105418.61</v>
      </c>
      <c r="EL104" s="231">
        <v>66504.649999999994</v>
      </c>
      <c r="EM104" s="231">
        <v>3679</v>
      </c>
      <c r="EN104" s="231">
        <v>590955.73</v>
      </c>
      <c r="EO104" s="231">
        <v>42335.38</v>
      </c>
      <c r="EP104" s="231">
        <v>548620.35</v>
      </c>
      <c r="EQ104" s="229">
        <v>12.9589</v>
      </c>
      <c r="ER104" s="231">
        <v>36860</v>
      </c>
      <c r="ES104" s="231">
        <v>28514</v>
      </c>
      <c r="ET104" s="231">
        <v>142095</v>
      </c>
      <c r="EU104" s="231">
        <v>80385888</v>
      </c>
      <c r="EV104" s="231">
        <v>207469</v>
      </c>
      <c r="EW104" s="231">
        <v>192799</v>
      </c>
      <c r="EX104" s="231">
        <v>14670</v>
      </c>
      <c r="EY104" s="229">
        <v>7.6100000000000001E-2</v>
      </c>
      <c r="EZ104" s="229">
        <v>0.49930000000000002</v>
      </c>
      <c r="FA104" s="227" t="s">
        <v>556</v>
      </c>
      <c r="FB104" s="161">
        <f t="shared" si="1"/>
        <v>1214000</v>
      </c>
    </row>
    <row r="105" spans="1:158" ht="17.25" thickBot="1" x14ac:dyDescent="0.3">
      <c r="A105" s="226">
        <v>46093</v>
      </c>
      <c r="B105" s="227" t="s">
        <v>227</v>
      </c>
      <c r="C105" s="227" t="s">
        <v>244</v>
      </c>
      <c r="D105" s="228">
        <v>675</v>
      </c>
      <c r="E105" s="231">
        <v>1174.4000000000001</v>
      </c>
      <c r="F105" s="231">
        <v>1179.2</v>
      </c>
      <c r="G105" s="228">
        <v>-4.8</v>
      </c>
      <c r="H105" s="229">
        <v>-4.1000000000000003E-3</v>
      </c>
      <c r="I105" s="231">
        <v>1172.5999999999999</v>
      </c>
      <c r="J105" s="231">
        <v>1178.8</v>
      </c>
      <c r="K105" s="228">
        <v>-6.2</v>
      </c>
      <c r="L105" s="229">
        <v>-5.3E-3</v>
      </c>
      <c r="M105" s="231">
        <v>1174.4000000000001</v>
      </c>
      <c r="N105" s="231">
        <v>1179.2</v>
      </c>
      <c r="O105" s="228">
        <v>-4.8</v>
      </c>
      <c r="P105" s="229">
        <v>-4.1000000000000003E-3</v>
      </c>
      <c r="Q105" s="231">
        <v>1181.7</v>
      </c>
      <c r="R105" s="231">
        <v>1184.9000000000001</v>
      </c>
      <c r="S105" s="228">
        <v>-3.2</v>
      </c>
      <c r="T105" s="229">
        <v>-2.7000000000000001E-3</v>
      </c>
      <c r="U105" s="231">
        <v>1188</v>
      </c>
      <c r="V105" s="231">
        <v>1190</v>
      </c>
      <c r="W105" s="228">
        <v>-2</v>
      </c>
      <c r="X105" s="229">
        <v>-1.6999999999999999E-3</v>
      </c>
      <c r="Y105" s="228">
        <v>1.8</v>
      </c>
      <c r="Z105" s="228">
        <v>0.4</v>
      </c>
      <c r="AA105" s="228">
        <v>1.4</v>
      </c>
      <c r="AB105" s="229">
        <v>1.5E-3</v>
      </c>
      <c r="AC105" s="228">
        <v>1.8</v>
      </c>
      <c r="AD105" s="228">
        <v>0.4</v>
      </c>
      <c r="AE105" s="228">
        <v>1.4</v>
      </c>
      <c r="AF105" s="229">
        <v>1.5E-3</v>
      </c>
      <c r="AG105" s="228">
        <v>9.1</v>
      </c>
      <c r="AH105" s="228">
        <v>6.1</v>
      </c>
      <c r="AI105" s="228">
        <v>3</v>
      </c>
      <c r="AJ105" s="229">
        <v>7.7999999999999996E-3</v>
      </c>
      <c r="AK105" s="228">
        <v>15.4</v>
      </c>
      <c r="AL105" s="228">
        <v>11.2</v>
      </c>
      <c r="AM105" s="228">
        <v>4.2</v>
      </c>
      <c r="AN105" s="229">
        <v>1.3100000000000001E-2</v>
      </c>
      <c r="AO105" s="231">
        <v>1165.9100000000001</v>
      </c>
      <c r="AP105" s="231">
        <v>1165.8900000000001</v>
      </c>
      <c r="AQ105" s="228">
        <v>0</v>
      </c>
      <c r="AR105" s="230">
        <v>4377375</v>
      </c>
      <c r="AS105" s="230">
        <v>5327775</v>
      </c>
      <c r="AT105" s="230">
        <v>-950400</v>
      </c>
      <c r="AU105" s="229">
        <v>-0.1784</v>
      </c>
      <c r="AV105" s="230">
        <v>3490425</v>
      </c>
      <c r="AW105" s="230">
        <v>5007825</v>
      </c>
      <c r="AX105" s="230">
        <v>-1517400</v>
      </c>
      <c r="AY105" s="229">
        <v>-0.30299999999999999</v>
      </c>
      <c r="AZ105" s="230">
        <v>876150</v>
      </c>
      <c r="BA105" s="230">
        <v>306450</v>
      </c>
      <c r="BB105" s="230">
        <v>569700</v>
      </c>
      <c r="BC105" s="229">
        <v>1.859</v>
      </c>
      <c r="BD105" s="230">
        <v>10800</v>
      </c>
      <c r="BE105" s="230">
        <v>13500</v>
      </c>
      <c r="BF105" s="230">
        <v>-2700</v>
      </c>
      <c r="BG105" s="229">
        <v>-0.2</v>
      </c>
      <c r="BH105" s="230">
        <v>5563350</v>
      </c>
      <c r="BI105" s="230">
        <v>5819850</v>
      </c>
      <c r="BJ105" s="230">
        <v>-256500</v>
      </c>
      <c r="BK105" s="229">
        <v>-4.41E-2</v>
      </c>
      <c r="BL105" s="230">
        <v>3125250</v>
      </c>
      <c r="BM105" s="230">
        <v>4515075</v>
      </c>
      <c r="BN105" s="230">
        <v>-1389825</v>
      </c>
      <c r="BO105" s="229">
        <v>-0.30780000000000002</v>
      </c>
      <c r="BP105" s="230">
        <v>13065975</v>
      </c>
      <c r="BQ105" s="230">
        <v>15662700</v>
      </c>
      <c r="BR105" s="230">
        <v>-2596725</v>
      </c>
      <c r="BS105" s="229">
        <v>-0.1658</v>
      </c>
      <c r="BT105" s="230">
        <v>1288963</v>
      </c>
      <c r="BU105" s="230">
        <v>1831603</v>
      </c>
      <c r="BV105" s="230">
        <v>-542640</v>
      </c>
      <c r="BW105" s="229">
        <v>-0.29630000000000001</v>
      </c>
      <c r="BX105" s="230">
        <v>52308450</v>
      </c>
      <c r="BY105" s="230">
        <v>52301025</v>
      </c>
      <c r="BZ105" s="230">
        <v>7425</v>
      </c>
      <c r="CA105" s="229">
        <v>1E-4</v>
      </c>
      <c r="CB105" s="230">
        <v>45696150</v>
      </c>
      <c r="CC105" s="230">
        <v>46442025</v>
      </c>
      <c r="CD105" s="230">
        <v>-745875</v>
      </c>
      <c r="CE105" s="229">
        <v>-1.61E-2</v>
      </c>
      <c r="CF105" s="230">
        <v>6573825</v>
      </c>
      <c r="CG105" s="230">
        <v>5823900</v>
      </c>
      <c r="CH105" s="230">
        <v>749925</v>
      </c>
      <c r="CI105" s="229">
        <v>0.1288</v>
      </c>
      <c r="CJ105" s="230">
        <v>38475</v>
      </c>
      <c r="CK105" s="230">
        <v>35100</v>
      </c>
      <c r="CL105" s="230">
        <v>3375</v>
      </c>
      <c r="CM105" s="229">
        <v>9.6199999999999994E-2</v>
      </c>
      <c r="CN105" s="230">
        <v>7196850</v>
      </c>
      <c r="CO105" s="230">
        <v>6932925</v>
      </c>
      <c r="CP105" s="230">
        <v>263925</v>
      </c>
      <c r="CQ105" s="229">
        <v>3.8100000000000002E-2</v>
      </c>
      <c r="CR105" s="230">
        <v>3722625</v>
      </c>
      <c r="CS105" s="230">
        <v>3575475</v>
      </c>
      <c r="CT105" s="230">
        <v>147150</v>
      </c>
      <c r="CU105" s="229">
        <v>4.1200000000000001E-2</v>
      </c>
      <c r="CV105" s="230">
        <v>63227925</v>
      </c>
      <c r="CW105" s="230">
        <v>62809425</v>
      </c>
      <c r="CX105" s="230">
        <v>418500</v>
      </c>
      <c r="CY105" s="229">
        <v>6.7000000000000002E-3</v>
      </c>
      <c r="CZ105" s="228">
        <v>32.020000000000003</v>
      </c>
      <c r="DA105" s="228">
        <v>31.1</v>
      </c>
      <c r="DB105" s="228">
        <v>0.92</v>
      </c>
      <c r="DC105" s="228">
        <v>0.92</v>
      </c>
      <c r="DD105" s="228">
        <v>30.08</v>
      </c>
      <c r="DE105" s="228">
        <v>30.15</v>
      </c>
      <c r="DF105" s="228">
        <v>1.94</v>
      </c>
      <c r="DG105" s="228">
        <v>-7.0000000000000007E-2</v>
      </c>
      <c r="DH105" s="228">
        <v>31.87</v>
      </c>
      <c r="DI105" s="228">
        <v>31.23</v>
      </c>
      <c r="DJ105" s="228">
        <v>0.64</v>
      </c>
      <c r="DK105" s="228">
        <v>0.64</v>
      </c>
      <c r="DL105" s="228">
        <v>32.29</v>
      </c>
      <c r="DM105" s="228">
        <v>30.95</v>
      </c>
      <c r="DN105" s="228">
        <v>1.34</v>
      </c>
      <c r="DO105" s="228">
        <v>1.34</v>
      </c>
      <c r="DP105" s="228">
        <v>0.52</v>
      </c>
      <c r="DQ105" s="228">
        <v>0.52</v>
      </c>
      <c r="DR105" s="228">
        <v>0</v>
      </c>
      <c r="DS105" s="229">
        <v>0</v>
      </c>
      <c r="DT105" s="231">
        <v>1300</v>
      </c>
      <c r="DU105" s="231">
        <v>1200</v>
      </c>
      <c r="DV105" s="228">
        <v>0.56000000000000005</v>
      </c>
      <c r="DW105" s="228">
        <v>0.78</v>
      </c>
      <c r="DX105" s="228">
        <v>-0.22</v>
      </c>
      <c r="DY105" s="229">
        <v>-0.28210000000000002</v>
      </c>
      <c r="DZ105" s="229">
        <v>0.12640000000000001</v>
      </c>
      <c r="EA105" s="230">
        <v>5859000</v>
      </c>
      <c r="EB105" s="229">
        <v>6.1999999999999998E-3</v>
      </c>
      <c r="EC105" s="229">
        <v>0.12640000000000001</v>
      </c>
      <c r="ED105" s="228">
        <v>-0.02</v>
      </c>
      <c r="EE105" s="229">
        <v>0</v>
      </c>
      <c r="EF105" s="230">
        <v>479665</v>
      </c>
      <c r="EG105" s="230">
        <v>736388</v>
      </c>
      <c r="EH105" s="229">
        <v>-0.34860000000000002</v>
      </c>
      <c r="EI105" s="229">
        <v>0.37209999999999999</v>
      </c>
      <c r="EJ105" s="231">
        <v>70365.2</v>
      </c>
      <c r="EK105" s="231">
        <v>36828.74</v>
      </c>
      <c r="EL105" s="231">
        <v>51037.32</v>
      </c>
      <c r="EM105" s="231">
        <v>9173</v>
      </c>
      <c r="EN105" s="231">
        <v>158231.26</v>
      </c>
      <c r="EO105" s="231">
        <v>191777.98</v>
      </c>
      <c r="EP105" s="231">
        <v>-33546.720000000001</v>
      </c>
      <c r="EQ105" s="229">
        <v>-0.1749</v>
      </c>
      <c r="ER105" s="231">
        <v>93367</v>
      </c>
      <c r="ES105" s="231">
        <v>44223</v>
      </c>
      <c r="ET105" s="231">
        <v>614796</v>
      </c>
      <c r="EU105" s="231">
        <v>133434355</v>
      </c>
      <c r="EV105" s="231">
        <v>752386</v>
      </c>
      <c r="EW105" s="231">
        <v>750163</v>
      </c>
      <c r="EX105" s="231">
        <v>2223</v>
      </c>
      <c r="EY105" s="229">
        <v>3.0000000000000001E-3</v>
      </c>
      <c r="EZ105" s="229">
        <v>0.47389999999999999</v>
      </c>
      <c r="FA105" s="227" t="s">
        <v>567</v>
      </c>
      <c r="FB105" s="161">
        <f t="shared" si="1"/>
        <v>6612300</v>
      </c>
    </row>
    <row r="106" spans="1:158" ht="17.25" thickBot="1" x14ac:dyDescent="0.3">
      <c r="A106" s="226">
        <v>46093</v>
      </c>
      <c r="B106" s="227" t="s">
        <v>168</v>
      </c>
      <c r="C106" s="227" t="s">
        <v>245</v>
      </c>
      <c r="D106" s="228">
        <v>1250</v>
      </c>
      <c r="E106" s="228">
        <v>462.05</v>
      </c>
      <c r="F106" s="228">
        <v>473.65</v>
      </c>
      <c r="G106" s="228">
        <v>-11.6</v>
      </c>
      <c r="H106" s="229">
        <v>-2.4500000000000001E-2</v>
      </c>
      <c r="I106" s="228">
        <v>461.75</v>
      </c>
      <c r="J106" s="228">
        <v>473.25</v>
      </c>
      <c r="K106" s="228">
        <v>-11.5</v>
      </c>
      <c r="L106" s="229">
        <v>-2.4299999999999999E-2</v>
      </c>
      <c r="M106" s="228">
        <v>462.05</v>
      </c>
      <c r="N106" s="228">
        <v>473.65</v>
      </c>
      <c r="O106" s="228">
        <v>-11.6</v>
      </c>
      <c r="P106" s="229">
        <v>-2.4500000000000001E-2</v>
      </c>
      <c r="Q106" s="228">
        <v>454.25</v>
      </c>
      <c r="R106" s="228">
        <v>465.85</v>
      </c>
      <c r="S106" s="228">
        <v>-11.6</v>
      </c>
      <c r="T106" s="229">
        <v>-2.4899999999999999E-2</v>
      </c>
      <c r="U106" s="228">
        <v>452.05</v>
      </c>
      <c r="V106" s="228">
        <v>462.5</v>
      </c>
      <c r="W106" s="228">
        <v>-10.45</v>
      </c>
      <c r="X106" s="229">
        <v>-2.2599999999999999E-2</v>
      </c>
      <c r="Y106" s="228">
        <v>0.3</v>
      </c>
      <c r="Z106" s="228">
        <v>0.4</v>
      </c>
      <c r="AA106" s="228">
        <v>-0.1</v>
      </c>
      <c r="AB106" s="229">
        <v>5.9999999999999995E-4</v>
      </c>
      <c r="AC106" s="228">
        <v>0.3</v>
      </c>
      <c r="AD106" s="228">
        <v>0.4</v>
      </c>
      <c r="AE106" s="228">
        <v>-0.1</v>
      </c>
      <c r="AF106" s="229">
        <v>5.9999999999999995E-4</v>
      </c>
      <c r="AG106" s="228">
        <v>-7.5</v>
      </c>
      <c r="AH106" s="228">
        <v>-7.4</v>
      </c>
      <c r="AI106" s="228">
        <v>-0.1</v>
      </c>
      <c r="AJ106" s="229">
        <v>-1.6199999999999999E-2</v>
      </c>
      <c r="AK106" s="228">
        <v>-9.6999999999999993</v>
      </c>
      <c r="AL106" s="228">
        <v>-10.75</v>
      </c>
      <c r="AM106" s="228">
        <v>1.05</v>
      </c>
      <c r="AN106" s="229">
        <v>-2.1000000000000001E-2</v>
      </c>
      <c r="AO106" s="228">
        <v>460.33</v>
      </c>
      <c r="AP106" s="228">
        <v>452.89</v>
      </c>
      <c r="AQ106" s="228">
        <v>0</v>
      </c>
      <c r="AR106" s="230">
        <v>9613750</v>
      </c>
      <c r="AS106" s="230">
        <v>5651250</v>
      </c>
      <c r="AT106" s="230">
        <v>3962500</v>
      </c>
      <c r="AU106" s="229">
        <v>0.70120000000000005</v>
      </c>
      <c r="AV106" s="230">
        <v>8381250</v>
      </c>
      <c r="AW106" s="230">
        <v>4752500</v>
      </c>
      <c r="AX106" s="230">
        <v>3628750</v>
      </c>
      <c r="AY106" s="229">
        <v>0.76349999999999996</v>
      </c>
      <c r="AZ106" s="230">
        <v>1100000</v>
      </c>
      <c r="BA106" s="230">
        <v>778750</v>
      </c>
      <c r="BB106" s="230">
        <v>321250</v>
      </c>
      <c r="BC106" s="229">
        <v>0.41249999999999998</v>
      </c>
      <c r="BD106" s="230">
        <v>132500</v>
      </c>
      <c r="BE106" s="230">
        <v>120000</v>
      </c>
      <c r="BF106" s="230">
        <v>12500</v>
      </c>
      <c r="BG106" s="229">
        <v>0.1042</v>
      </c>
      <c r="BH106" s="230">
        <v>12538750</v>
      </c>
      <c r="BI106" s="230">
        <v>7522500</v>
      </c>
      <c r="BJ106" s="230">
        <v>5016250</v>
      </c>
      <c r="BK106" s="229">
        <v>0.66679999999999995</v>
      </c>
      <c r="BL106" s="230">
        <v>16127500</v>
      </c>
      <c r="BM106" s="230">
        <v>8698750</v>
      </c>
      <c r="BN106" s="230">
        <v>7428750</v>
      </c>
      <c r="BO106" s="229">
        <v>0.85399999999999998</v>
      </c>
      <c r="BP106" s="230">
        <v>38280000</v>
      </c>
      <c r="BQ106" s="230">
        <v>21872500</v>
      </c>
      <c r="BR106" s="230">
        <v>16407500</v>
      </c>
      <c r="BS106" s="229">
        <v>0.75009999999999999</v>
      </c>
      <c r="BT106" s="230">
        <v>4124182</v>
      </c>
      <c r="BU106" s="230">
        <v>2603120</v>
      </c>
      <c r="BV106" s="230">
        <v>1521062</v>
      </c>
      <c r="BW106" s="229">
        <v>0.58430000000000004</v>
      </c>
      <c r="BX106" s="230">
        <v>29006250</v>
      </c>
      <c r="BY106" s="230">
        <v>27736250</v>
      </c>
      <c r="BZ106" s="230">
        <v>1270000</v>
      </c>
      <c r="CA106" s="229">
        <v>4.58E-2</v>
      </c>
      <c r="CB106" s="230">
        <v>25900000</v>
      </c>
      <c r="CC106" s="230">
        <v>24997500</v>
      </c>
      <c r="CD106" s="230">
        <v>902500</v>
      </c>
      <c r="CE106" s="229">
        <v>3.61E-2</v>
      </c>
      <c r="CF106" s="230">
        <v>2733750</v>
      </c>
      <c r="CG106" s="230">
        <v>2426250</v>
      </c>
      <c r="CH106" s="230">
        <v>307500</v>
      </c>
      <c r="CI106" s="229">
        <v>0.12670000000000001</v>
      </c>
      <c r="CJ106" s="230">
        <v>372500</v>
      </c>
      <c r="CK106" s="230">
        <v>312500</v>
      </c>
      <c r="CL106" s="230">
        <v>60000</v>
      </c>
      <c r="CM106" s="229">
        <v>0.192</v>
      </c>
      <c r="CN106" s="230">
        <v>9268750</v>
      </c>
      <c r="CO106" s="230">
        <v>8520000</v>
      </c>
      <c r="CP106" s="230">
        <v>748750</v>
      </c>
      <c r="CQ106" s="229">
        <v>8.7900000000000006E-2</v>
      </c>
      <c r="CR106" s="230">
        <v>6777500</v>
      </c>
      <c r="CS106" s="230">
        <v>6138750</v>
      </c>
      <c r="CT106" s="230">
        <v>638750</v>
      </c>
      <c r="CU106" s="229">
        <v>0.1041</v>
      </c>
      <c r="CV106" s="230">
        <v>45052500</v>
      </c>
      <c r="CW106" s="230">
        <v>42395000</v>
      </c>
      <c r="CX106" s="230">
        <v>2657500</v>
      </c>
      <c r="CY106" s="229">
        <v>6.2700000000000006E-2</v>
      </c>
      <c r="CZ106" s="228">
        <v>38.340000000000003</v>
      </c>
      <c r="DA106" s="228">
        <v>35.42</v>
      </c>
      <c r="DB106" s="228">
        <v>2.92</v>
      </c>
      <c r="DC106" s="228">
        <v>2.92</v>
      </c>
      <c r="DD106" s="228">
        <v>32.590000000000003</v>
      </c>
      <c r="DE106" s="228">
        <v>32.5</v>
      </c>
      <c r="DF106" s="228">
        <v>5.75</v>
      </c>
      <c r="DG106" s="228">
        <v>0.09</v>
      </c>
      <c r="DH106" s="228">
        <v>36.18</v>
      </c>
      <c r="DI106" s="228">
        <v>34.53</v>
      </c>
      <c r="DJ106" s="228">
        <v>1.65</v>
      </c>
      <c r="DK106" s="228">
        <v>1.65</v>
      </c>
      <c r="DL106" s="228">
        <v>40.03</v>
      </c>
      <c r="DM106" s="228">
        <v>36.19</v>
      </c>
      <c r="DN106" s="228">
        <v>3.84</v>
      </c>
      <c r="DO106" s="228">
        <v>3.84</v>
      </c>
      <c r="DP106" s="228">
        <v>0.73</v>
      </c>
      <c r="DQ106" s="228">
        <v>0.72</v>
      </c>
      <c r="DR106" s="228">
        <v>0.01</v>
      </c>
      <c r="DS106" s="229">
        <v>1.3899999999999999E-2</v>
      </c>
      <c r="DT106" s="228">
        <v>550</v>
      </c>
      <c r="DU106" s="228">
        <v>500</v>
      </c>
      <c r="DV106" s="228">
        <v>1.29</v>
      </c>
      <c r="DW106" s="228">
        <v>1.1599999999999999</v>
      </c>
      <c r="DX106" s="228">
        <v>0.13</v>
      </c>
      <c r="DY106" s="229">
        <v>0.11210000000000001</v>
      </c>
      <c r="DZ106" s="229">
        <v>0.1071</v>
      </c>
      <c r="EA106" s="230">
        <v>2738750</v>
      </c>
      <c r="EB106" s="229">
        <v>-1.6899999999999998E-2</v>
      </c>
      <c r="EC106" s="229">
        <v>0.1071</v>
      </c>
      <c r="ED106" s="228">
        <v>-7.44</v>
      </c>
      <c r="EE106" s="229">
        <v>-1.6199999999999999E-2</v>
      </c>
      <c r="EF106" s="230">
        <v>1797331</v>
      </c>
      <c r="EG106" s="230">
        <v>1175354</v>
      </c>
      <c r="EH106" s="229">
        <v>0.5292</v>
      </c>
      <c r="EI106" s="229">
        <v>0.43580000000000002</v>
      </c>
      <c r="EJ106" s="231">
        <v>62847.19</v>
      </c>
      <c r="EK106" s="231">
        <v>74161.95</v>
      </c>
      <c r="EL106" s="231">
        <v>44158.01</v>
      </c>
      <c r="EM106" s="231">
        <v>4121</v>
      </c>
      <c r="EN106" s="231">
        <v>181167.15</v>
      </c>
      <c r="EO106" s="231">
        <v>106989.72</v>
      </c>
      <c r="EP106" s="231">
        <v>74177.429999999993</v>
      </c>
      <c r="EQ106" s="229">
        <v>0.69330000000000003</v>
      </c>
      <c r="ER106" s="231">
        <v>48860</v>
      </c>
      <c r="ES106" s="231">
        <v>32514</v>
      </c>
      <c r="ET106" s="231">
        <v>133773</v>
      </c>
      <c r="EU106" s="231">
        <v>58761693</v>
      </c>
      <c r="EV106" s="231">
        <v>215147</v>
      </c>
      <c r="EW106" s="231">
        <v>206632</v>
      </c>
      <c r="EX106" s="231">
        <v>8515</v>
      </c>
      <c r="EY106" s="229">
        <v>4.1200000000000001E-2</v>
      </c>
      <c r="EZ106" s="229">
        <v>0.76670000000000005</v>
      </c>
      <c r="FA106" s="227" t="s">
        <v>567</v>
      </c>
      <c r="FB106" s="161">
        <f t="shared" si="1"/>
        <v>3106250</v>
      </c>
    </row>
    <row r="107" spans="1:158" ht="17.25" thickBot="1" x14ac:dyDescent="0.3">
      <c r="A107" s="226">
        <v>46093</v>
      </c>
      <c r="B107" s="227" t="s">
        <v>168</v>
      </c>
      <c r="C107" s="227" t="s">
        <v>582</v>
      </c>
      <c r="D107" s="228">
        <v>1175</v>
      </c>
      <c r="E107" s="228">
        <v>390.4</v>
      </c>
      <c r="F107" s="228">
        <v>391.1</v>
      </c>
      <c r="G107" s="228">
        <v>-0.7</v>
      </c>
      <c r="H107" s="229">
        <v>-1.8E-3</v>
      </c>
      <c r="I107" s="228">
        <v>389.95</v>
      </c>
      <c r="J107" s="228">
        <v>390.5</v>
      </c>
      <c r="K107" s="228">
        <v>-0.55000000000000004</v>
      </c>
      <c r="L107" s="229">
        <v>-1.4E-3</v>
      </c>
      <c r="M107" s="228">
        <v>390.4</v>
      </c>
      <c r="N107" s="228">
        <v>391.1</v>
      </c>
      <c r="O107" s="228">
        <v>-0.7</v>
      </c>
      <c r="P107" s="229">
        <v>-1.8E-3</v>
      </c>
      <c r="Q107" s="228">
        <v>393.35</v>
      </c>
      <c r="R107" s="228">
        <v>394.4</v>
      </c>
      <c r="S107" s="228">
        <v>-1.05</v>
      </c>
      <c r="T107" s="229">
        <v>-2.7000000000000001E-3</v>
      </c>
      <c r="U107" s="228">
        <v>396.3</v>
      </c>
      <c r="V107" s="228">
        <v>398.35</v>
      </c>
      <c r="W107" s="228">
        <v>-2.0499999999999998</v>
      </c>
      <c r="X107" s="229">
        <v>-5.1000000000000004E-3</v>
      </c>
      <c r="Y107" s="228">
        <v>0.45</v>
      </c>
      <c r="Z107" s="228">
        <v>0.6</v>
      </c>
      <c r="AA107" s="228">
        <v>-0.15</v>
      </c>
      <c r="AB107" s="229">
        <v>1.1999999999999999E-3</v>
      </c>
      <c r="AC107" s="228">
        <v>0.45</v>
      </c>
      <c r="AD107" s="228">
        <v>0.6</v>
      </c>
      <c r="AE107" s="228">
        <v>-0.15</v>
      </c>
      <c r="AF107" s="229">
        <v>1.1999999999999999E-3</v>
      </c>
      <c r="AG107" s="228">
        <v>3.4</v>
      </c>
      <c r="AH107" s="228">
        <v>3.9</v>
      </c>
      <c r="AI107" s="228">
        <v>-0.5</v>
      </c>
      <c r="AJ107" s="229">
        <v>8.6999999999999994E-3</v>
      </c>
      <c r="AK107" s="228">
        <v>6.35</v>
      </c>
      <c r="AL107" s="228">
        <v>7.85</v>
      </c>
      <c r="AM107" s="228">
        <v>-1.5</v>
      </c>
      <c r="AN107" s="229">
        <v>1.6299999999999999E-2</v>
      </c>
      <c r="AO107" s="228">
        <v>388.16</v>
      </c>
      <c r="AP107" s="228">
        <v>390.8</v>
      </c>
      <c r="AQ107" s="228">
        <v>0</v>
      </c>
      <c r="AR107" s="230">
        <v>3306450</v>
      </c>
      <c r="AS107" s="230">
        <v>2928100</v>
      </c>
      <c r="AT107" s="230">
        <v>378350</v>
      </c>
      <c r="AU107" s="229">
        <v>0.12920000000000001</v>
      </c>
      <c r="AV107" s="230">
        <v>3025625</v>
      </c>
      <c r="AW107" s="230">
        <v>2753025</v>
      </c>
      <c r="AX107" s="230">
        <v>272600</v>
      </c>
      <c r="AY107" s="229">
        <v>9.9000000000000005E-2</v>
      </c>
      <c r="AZ107" s="230">
        <v>185650</v>
      </c>
      <c r="BA107" s="230">
        <v>158625</v>
      </c>
      <c r="BB107" s="230">
        <v>27025</v>
      </c>
      <c r="BC107" s="229">
        <v>0.1704</v>
      </c>
      <c r="BD107" s="230">
        <v>95175</v>
      </c>
      <c r="BE107" s="230">
        <v>16450</v>
      </c>
      <c r="BF107" s="230">
        <v>78725</v>
      </c>
      <c r="BG107" s="229">
        <v>4.7857000000000003</v>
      </c>
      <c r="BH107" s="230">
        <v>7561125</v>
      </c>
      <c r="BI107" s="230">
        <v>9842975</v>
      </c>
      <c r="BJ107" s="230">
        <v>-2281850</v>
      </c>
      <c r="BK107" s="229">
        <v>-0.23180000000000001</v>
      </c>
      <c r="BL107" s="230">
        <v>4267600</v>
      </c>
      <c r="BM107" s="230">
        <v>3848125</v>
      </c>
      <c r="BN107" s="230">
        <v>419475</v>
      </c>
      <c r="BO107" s="229">
        <v>0.109</v>
      </c>
      <c r="BP107" s="230">
        <v>15135175</v>
      </c>
      <c r="BQ107" s="230">
        <v>16619200</v>
      </c>
      <c r="BR107" s="230">
        <v>-1484025</v>
      </c>
      <c r="BS107" s="229">
        <v>-8.9300000000000004E-2</v>
      </c>
      <c r="BT107" s="230">
        <v>3392065</v>
      </c>
      <c r="BU107" s="230">
        <v>3164397</v>
      </c>
      <c r="BV107" s="230">
        <v>227668</v>
      </c>
      <c r="BW107" s="229">
        <v>7.1900000000000006E-2</v>
      </c>
      <c r="BX107" s="230">
        <v>24644450</v>
      </c>
      <c r="BY107" s="230">
        <v>25176725</v>
      </c>
      <c r="BZ107" s="230">
        <v>-532275</v>
      </c>
      <c r="CA107" s="229">
        <v>-2.1100000000000001E-2</v>
      </c>
      <c r="CB107" s="230">
        <v>23749100</v>
      </c>
      <c r="CC107" s="230">
        <v>24390650</v>
      </c>
      <c r="CD107" s="230">
        <v>-641550</v>
      </c>
      <c r="CE107" s="229">
        <v>-2.63E-2</v>
      </c>
      <c r="CF107" s="230">
        <v>641550</v>
      </c>
      <c r="CG107" s="230">
        <v>601600</v>
      </c>
      <c r="CH107" s="230">
        <v>39950</v>
      </c>
      <c r="CI107" s="229">
        <v>6.6400000000000001E-2</v>
      </c>
      <c r="CJ107" s="230">
        <v>253800</v>
      </c>
      <c r="CK107" s="230">
        <v>184475</v>
      </c>
      <c r="CL107" s="230">
        <v>69325</v>
      </c>
      <c r="CM107" s="229">
        <v>0.37580000000000002</v>
      </c>
      <c r="CN107" s="230">
        <v>9014600</v>
      </c>
      <c r="CO107" s="230">
        <v>8857150</v>
      </c>
      <c r="CP107" s="230">
        <v>157450</v>
      </c>
      <c r="CQ107" s="229">
        <v>1.78E-2</v>
      </c>
      <c r="CR107" s="230">
        <v>5294550</v>
      </c>
      <c r="CS107" s="230">
        <v>5178225</v>
      </c>
      <c r="CT107" s="230">
        <v>116325</v>
      </c>
      <c r="CU107" s="229">
        <v>2.2499999999999999E-2</v>
      </c>
      <c r="CV107" s="230">
        <v>38953600</v>
      </c>
      <c r="CW107" s="230">
        <v>39212100</v>
      </c>
      <c r="CX107" s="230">
        <v>-258500</v>
      </c>
      <c r="CY107" s="229">
        <v>-6.6E-3</v>
      </c>
      <c r="CZ107" s="228">
        <v>38.840000000000003</v>
      </c>
      <c r="DA107" s="228">
        <v>40.1</v>
      </c>
      <c r="DB107" s="228">
        <v>-1.26</v>
      </c>
      <c r="DC107" s="228">
        <v>-1.26</v>
      </c>
      <c r="DD107" s="228">
        <v>51.27</v>
      </c>
      <c r="DE107" s="228">
        <v>51.4</v>
      </c>
      <c r="DF107" s="228">
        <v>-12.43</v>
      </c>
      <c r="DG107" s="228">
        <v>-0.13</v>
      </c>
      <c r="DH107" s="228">
        <v>38.25</v>
      </c>
      <c r="DI107" s="228">
        <v>40.090000000000003</v>
      </c>
      <c r="DJ107" s="228">
        <v>-1.84</v>
      </c>
      <c r="DK107" s="228">
        <v>-1.84</v>
      </c>
      <c r="DL107" s="228">
        <v>39.880000000000003</v>
      </c>
      <c r="DM107" s="228">
        <v>40.119999999999997</v>
      </c>
      <c r="DN107" s="228">
        <v>-0.24</v>
      </c>
      <c r="DO107" s="228">
        <v>-0.24</v>
      </c>
      <c r="DP107" s="228">
        <v>0.59</v>
      </c>
      <c r="DQ107" s="228">
        <v>0.57999999999999996</v>
      </c>
      <c r="DR107" s="228">
        <v>0.01</v>
      </c>
      <c r="DS107" s="229">
        <v>1.72E-2</v>
      </c>
      <c r="DT107" s="228">
        <v>400</v>
      </c>
      <c r="DU107" s="228">
        <v>400</v>
      </c>
      <c r="DV107" s="228">
        <v>0.56000000000000005</v>
      </c>
      <c r="DW107" s="228">
        <v>0.39</v>
      </c>
      <c r="DX107" s="228">
        <v>0.17</v>
      </c>
      <c r="DY107" s="229">
        <v>0.43590000000000001</v>
      </c>
      <c r="DZ107" s="229">
        <v>3.6299999999999999E-2</v>
      </c>
      <c r="EA107" s="230">
        <v>786075</v>
      </c>
      <c r="EB107" s="229">
        <v>7.6E-3</v>
      </c>
      <c r="EC107" s="229">
        <v>3.6299999999999999E-2</v>
      </c>
      <c r="ED107" s="228">
        <v>2.64</v>
      </c>
      <c r="EE107" s="229">
        <v>6.7999999999999996E-3</v>
      </c>
      <c r="EF107" s="230">
        <v>1310416</v>
      </c>
      <c r="EG107" s="230">
        <v>873578</v>
      </c>
      <c r="EH107" s="229">
        <v>0.50009999999999999</v>
      </c>
      <c r="EI107" s="229">
        <v>0.38629999999999998</v>
      </c>
      <c r="EJ107" s="231">
        <v>31381.97</v>
      </c>
      <c r="EK107" s="231">
        <v>16708.39</v>
      </c>
      <c r="EL107" s="231">
        <v>12844.47</v>
      </c>
      <c r="EM107" s="231">
        <v>2281</v>
      </c>
      <c r="EN107" s="231">
        <v>60934.83</v>
      </c>
      <c r="EO107" s="231">
        <v>68676.240000000005</v>
      </c>
      <c r="EP107" s="231">
        <v>-7741.41</v>
      </c>
      <c r="EQ107" s="229">
        <v>-0.11269999999999999</v>
      </c>
      <c r="ER107" s="231">
        <v>38492</v>
      </c>
      <c r="ES107" s="231">
        <v>20615</v>
      </c>
      <c r="ET107" s="231">
        <v>96246</v>
      </c>
      <c r="EU107" s="231">
        <v>57654984</v>
      </c>
      <c r="EV107" s="231">
        <v>155353</v>
      </c>
      <c r="EW107" s="231">
        <v>156584</v>
      </c>
      <c r="EX107" s="231">
        <v>-1231</v>
      </c>
      <c r="EY107" s="229">
        <v>-7.9000000000000008E-3</v>
      </c>
      <c r="EZ107" s="229">
        <v>0.67559999999999998</v>
      </c>
      <c r="FA107" s="227" t="s">
        <v>568</v>
      </c>
      <c r="FB107" s="161">
        <f t="shared" si="1"/>
        <v>895350</v>
      </c>
    </row>
    <row r="108" spans="1:158" ht="17.25" thickBot="1" x14ac:dyDescent="0.3">
      <c r="A108" s="226">
        <v>46093</v>
      </c>
      <c r="B108" s="227" t="s">
        <v>184</v>
      </c>
      <c r="C108" s="227" t="s">
        <v>675</v>
      </c>
      <c r="D108" s="228">
        <v>100</v>
      </c>
      <c r="E108" s="231">
        <v>3711.1</v>
      </c>
      <c r="F108" s="231">
        <v>3731.4</v>
      </c>
      <c r="G108" s="228">
        <v>-20.3</v>
      </c>
      <c r="H108" s="229">
        <v>-5.4000000000000003E-3</v>
      </c>
      <c r="I108" s="231">
        <v>3700.3</v>
      </c>
      <c r="J108" s="231">
        <v>3726.1</v>
      </c>
      <c r="K108" s="228">
        <v>-25.8</v>
      </c>
      <c r="L108" s="229">
        <v>-6.8999999999999999E-3</v>
      </c>
      <c r="M108" s="231">
        <v>3711.1</v>
      </c>
      <c r="N108" s="231">
        <v>3731.4</v>
      </c>
      <c r="O108" s="228">
        <v>-20.3</v>
      </c>
      <c r="P108" s="229">
        <v>-5.4000000000000003E-3</v>
      </c>
      <c r="Q108" s="231">
        <v>3718.4</v>
      </c>
      <c r="R108" s="231">
        <v>3739.1</v>
      </c>
      <c r="S108" s="228">
        <v>-20.7</v>
      </c>
      <c r="T108" s="229">
        <v>-5.4999999999999997E-3</v>
      </c>
      <c r="U108" s="231">
        <v>3727.5</v>
      </c>
      <c r="V108" s="231">
        <v>3755.6</v>
      </c>
      <c r="W108" s="228">
        <v>-28.1</v>
      </c>
      <c r="X108" s="229">
        <v>-7.4999999999999997E-3</v>
      </c>
      <c r="Y108" s="228">
        <v>10.8</v>
      </c>
      <c r="Z108" s="228">
        <v>5.3</v>
      </c>
      <c r="AA108" s="228">
        <v>5.5</v>
      </c>
      <c r="AB108" s="229">
        <v>2.8999999999999998E-3</v>
      </c>
      <c r="AC108" s="228">
        <v>10.8</v>
      </c>
      <c r="AD108" s="228">
        <v>5.3</v>
      </c>
      <c r="AE108" s="228">
        <v>5.5</v>
      </c>
      <c r="AF108" s="229">
        <v>2.8999999999999998E-3</v>
      </c>
      <c r="AG108" s="228">
        <v>18.100000000000001</v>
      </c>
      <c r="AH108" s="228">
        <v>13</v>
      </c>
      <c r="AI108" s="228">
        <v>5.0999999999999996</v>
      </c>
      <c r="AJ108" s="229">
        <v>4.8999999999999998E-3</v>
      </c>
      <c r="AK108" s="228">
        <v>27.2</v>
      </c>
      <c r="AL108" s="228">
        <v>29.5</v>
      </c>
      <c r="AM108" s="228">
        <v>-2.2999999999999998</v>
      </c>
      <c r="AN108" s="229">
        <v>7.4000000000000003E-3</v>
      </c>
      <c r="AO108" s="231">
        <v>3685.95</v>
      </c>
      <c r="AP108" s="231">
        <v>3678.45</v>
      </c>
      <c r="AQ108" s="228">
        <v>0</v>
      </c>
      <c r="AR108" s="230">
        <v>954300</v>
      </c>
      <c r="AS108" s="230">
        <v>961800</v>
      </c>
      <c r="AT108" s="230">
        <v>-7500</v>
      </c>
      <c r="AU108" s="229">
        <v>-7.7999999999999996E-3</v>
      </c>
      <c r="AV108" s="230">
        <v>884800</v>
      </c>
      <c r="AW108" s="230">
        <v>887400</v>
      </c>
      <c r="AX108" s="230">
        <v>-2600</v>
      </c>
      <c r="AY108" s="229">
        <v>-2.8999999999999998E-3</v>
      </c>
      <c r="AZ108" s="230">
        <v>63300</v>
      </c>
      <c r="BA108" s="230">
        <v>69400</v>
      </c>
      <c r="BB108" s="230">
        <v>-6100</v>
      </c>
      <c r="BC108" s="229">
        <v>-8.7900000000000006E-2</v>
      </c>
      <c r="BD108" s="230">
        <v>6200</v>
      </c>
      <c r="BE108" s="230">
        <v>5000</v>
      </c>
      <c r="BF108" s="230">
        <v>1200</v>
      </c>
      <c r="BG108" s="229">
        <v>0.24</v>
      </c>
      <c r="BH108" s="230">
        <v>3207300</v>
      </c>
      <c r="BI108" s="230">
        <v>4322400</v>
      </c>
      <c r="BJ108" s="230">
        <v>-1115100</v>
      </c>
      <c r="BK108" s="229">
        <v>-0.25800000000000001</v>
      </c>
      <c r="BL108" s="230">
        <v>1082900</v>
      </c>
      <c r="BM108" s="230">
        <v>1067200</v>
      </c>
      <c r="BN108" s="230">
        <v>15700</v>
      </c>
      <c r="BO108" s="229">
        <v>1.47E-2</v>
      </c>
      <c r="BP108" s="230">
        <v>5244500</v>
      </c>
      <c r="BQ108" s="230">
        <v>6351400</v>
      </c>
      <c r="BR108" s="230">
        <v>-1106900</v>
      </c>
      <c r="BS108" s="229">
        <v>-0.17430000000000001</v>
      </c>
      <c r="BT108" s="230">
        <v>1554165</v>
      </c>
      <c r="BU108" s="230">
        <v>1239779</v>
      </c>
      <c r="BV108" s="230">
        <v>314386</v>
      </c>
      <c r="BW108" s="229">
        <v>0.25359999999999999</v>
      </c>
      <c r="BX108" s="230">
        <v>3919400</v>
      </c>
      <c r="BY108" s="230">
        <v>3823000</v>
      </c>
      <c r="BZ108" s="230">
        <v>96400</v>
      </c>
      <c r="CA108" s="229">
        <v>2.52E-2</v>
      </c>
      <c r="CB108" s="230">
        <v>3697600</v>
      </c>
      <c r="CC108" s="230">
        <v>3620500</v>
      </c>
      <c r="CD108" s="230">
        <v>77100</v>
      </c>
      <c r="CE108" s="229">
        <v>2.1299999999999999E-2</v>
      </c>
      <c r="CF108" s="230">
        <v>200600</v>
      </c>
      <c r="CG108" s="230">
        <v>183200</v>
      </c>
      <c r="CH108" s="230">
        <v>17400</v>
      </c>
      <c r="CI108" s="229">
        <v>9.5000000000000001E-2</v>
      </c>
      <c r="CJ108" s="230">
        <v>21200</v>
      </c>
      <c r="CK108" s="230">
        <v>19300</v>
      </c>
      <c r="CL108" s="230">
        <v>1900</v>
      </c>
      <c r="CM108" s="229">
        <v>9.8400000000000001E-2</v>
      </c>
      <c r="CN108" s="230">
        <v>1765000</v>
      </c>
      <c r="CO108" s="230">
        <v>1634100</v>
      </c>
      <c r="CP108" s="230">
        <v>130900</v>
      </c>
      <c r="CQ108" s="229">
        <v>8.0100000000000005E-2</v>
      </c>
      <c r="CR108" s="230">
        <v>1350900</v>
      </c>
      <c r="CS108" s="230">
        <v>1347900</v>
      </c>
      <c r="CT108" s="230">
        <v>3000</v>
      </c>
      <c r="CU108" s="229">
        <v>2.2000000000000001E-3</v>
      </c>
      <c r="CV108" s="230">
        <v>7035300</v>
      </c>
      <c r="CW108" s="230">
        <v>6805000</v>
      </c>
      <c r="CX108" s="230">
        <v>230300</v>
      </c>
      <c r="CY108" s="229">
        <v>3.3799999999999997E-2</v>
      </c>
      <c r="CZ108" s="228">
        <v>53.63</v>
      </c>
      <c r="DA108" s="228">
        <v>52.02</v>
      </c>
      <c r="DB108" s="228">
        <v>1.61</v>
      </c>
      <c r="DC108" s="228">
        <v>1.61</v>
      </c>
      <c r="DD108" s="228">
        <v>60.07</v>
      </c>
      <c r="DE108" s="228">
        <v>60.22</v>
      </c>
      <c r="DF108" s="228">
        <v>-6.44</v>
      </c>
      <c r="DG108" s="228">
        <v>-0.15</v>
      </c>
      <c r="DH108" s="228">
        <v>53.26</v>
      </c>
      <c r="DI108" s="228">
        <v>51.73</v>
      </c>
      <c r="DJ108" s="228">
        <v>1.53</v>
      </c>
      <c r="DK108" s="228">
        <v>1.53</v>
      </c>
      <c r="DL108" s="228">
        <v>54.71</v>
      </c>
      <c r="DM108" s="228">
        <v>53.19</v>
      </c>
      <c r="DN108" s="228">
        <v>1.52</v>
      </c>
      <c r="DO108" s="228">
        <v>1.52</v>
      </c>
      <c r="DP108" s="228">
        <v>0.77</v>
      </c>
      <c r="DQ108" s="228">
        <v>0.82</v>
      </c>
      <c r="DR108" s="228">
        <v>-0.05</v>
      </c>
      <c r="DS108" s="229">
        <v>-6.0999999999999999E-2</v>
      </c>
      <c r="DT108" s="231">
        <v>4000</v>
      </c>
      <c r="DU108" s="231">
        <v>3500</v>
      </c>
      <c r="DV108" s="228">
        <v>0.34</v>
      </c>
      <c r="DW108" s="228">
        <v>0.25</v>
      </c>
      <c r="DX108" s="228">
        <v>0.09</v>
      </c>
      <c r="DY108" s="229">
        <v>0.36</v>
      </c>
      <c r="DZ108" s="229">
        <v>5.6599999999999998E-2</v>
      </c>
      <c r="EA108" s="230">
        <v>202500</v>
      </c>
      <c r="EB108" s="229">
        <v>2E-3</v>
      </c>
      <c r="EC108" s="229">
        <v>5.6599999999999998E-2</v>
      </c>
      <c r="ED108" s="228">
        <v>-7.5</v>
      </c>
      <c r="EE108" s="229">
        <v>-2E-3</v>
      </c>
      <c r="EF108" s="230">
        <v>207679</v>
      </c>
      <c r="EG108" s="230">
        <v>214455</v>
      </c>
      <c r="EH108" s="229">
        <v>-3.1600000000000003E-2</v>
      </c>
      <c r="EI108" s="229">
        <v>0.1336</v>
      </c>
      <c r="EJ108" s="231">
        <v>129438.58</v>
      </c>
      <c r="EK108" s="231">
        <v>39398.85</v>
      </c>
      <c r="EL108" s="231">
        <v>35169.83</v>
      </c>
      <c r="EM108" s="231">
        <v>9303</v>
      </c>
      <c r="EN108" s="231">
        <v>204007.26</v>
      </c>
      <c r="EO108" s="231">
        <v>256420.52</v>
      </c>
      <c r="EP108" s="231">
        <v>-52413.26</v>
      </c>
      <c r="EQ108" s="229">
        <v>-0.2044</v>
      </c>
      <c r="ER108" s="231">
        <v>70783</v>
      </c>
      <c r="ES108" s="231">
        <v>50191</v>
      </c>
      <c r="ET108" s="231">
        <v>145471</v>
      </c>
      <c r="EU108" s="231">
        <v>4679418</v>
      </c>
      <c r="EV108" s="231">
        <v>266445</v>
      </c>
      <c r="EW108" s="231">
        <v>258500</v>
      </c>
      <c r="EX108" s="231">
        <v>7945</v>
      </c>
      <c r="EY108" s="229">
        <v>3.0700000000000002E-2</v>
      </c>
      <c r="EZ108" s="229">
        <v>1.5035000000000001</v>
      </c>
      <c r="FA108" s="227" t="s">
        <v>567</v>
      </c>
      <c r="FB108" s="161">
        <f t="shared" si="1"/>
        <v>221800</v>
      </c>
    </row>
    <row r="109" spans="1:158" ht="17.25" thickBot="1" x14ac:dyDescent="0.3">
      <c r="A109" s="226">
        <v>46093</v>
      </c>
      <c r="B109" s="227" t="s">
        <v>161</v>
      </c>
      <c r="C109" s="227" t="s">
        <v>610</v>
      </c>
      <c r="D109" s="228">
        <v>175</v>
      </c>
      <c r="E109" s="231">
        <v>4335.5</v>
      </c>
      <c r="F109" s="231">
        <v>4336.5</v>
      </c>
      <c r="G109" s="228">
        <v>-1</v>
      </c>
      <c r="H109" s="229">
        <v>-2.0000000000000001E-4</v>
      </c>
      <c r="I109" s="231">
        <v>4330</v>
      </c>
      <c r="J109" s="231">
        <v>4321</v>
      </c>
      <c r="K109" s="228">
        <v>9</v>
      </c>
      <c r="L109" s="229">
        <v>2.0999999999999999E-3</v>
      </c>
      <c r="M109" s="231">
        <v>4335.5</v>
      </c>
      <c r="N109" s="231">
        <v>4336.5</v>
      </c>
      <c r="O109" s="228">
        <v>-1</v>
      </c>
      <c r="P109" s="229">
        <v>-2.0000000000000001E-4</v>
      </c>
      <c r="Q109" s="231">
        <v>4299.5</v>
      </c>
      <c r="R109" s="231">
        <v>4300.5</v>
      </c>
      <c r="S109" s="228">
        <v>-1</v>
      </c>
      <c r="T109" s="229">
        <v>-2.0000000000000001E-4</v>
      </c>
      <c r="U109" s="231">
        <v>4279</v>
      </c>
      <c r="V109" s="231">
        <v>4270.5</v>
      </c>
      <c r="W109" s="228">
        <v>8.5</v>
      </c>
      <c r="X109" s="229">
        <v>2E-3</v>
      </c>
      <c r="Y109" s="228">
        <v>5.5</v>
      </c>
      <c r="Z109" s="228">
        <v>15.5</v>
      </c>
      <c r="AA109" s="228">
        <v>-10</v>
      </c>
      <c r="AB109" s="229">
        <v>1.2999999999999999E-3</v>
      </c>
      <c r="AC109" s="228">
        <v>5.5</v>
      </c>
      <c r="AD109" s="228">
        <v>15.5</v>
      </c>
      <c r="AE109" s="228">
        <v>-10</v>
      </c>
      <c r="AF109" s="229">
        <v>1.2999999999999999E-3</v>
      </c>
      <c r="AG109" s="228">
        <v>-30.5</v>
      </c>
      <c r="AH109" s="228">
        <v>-20.5</v>
      </c>
      <c r="AI109" s="228">
        <v>-10</v>
      </c>
      <c r="AJ109" s="229">
        <v>-7.0000000000000001E-3</v>
      </c>
      <c r="AK109" s="228">
        <v>-51</v>
      </c>
      <c r="AL109" s="228">
        <v>-50.5</v>
      </c>
      <c r="AM109" s="228">
        <v>-0.5</v>
      </c>
      <c r="AN109" s="229">
        <v>-1.18E-2</v>
      </c>
      <c r="AO109" s="231">
        <v>4358.57</v>
      </c>
      <c r="AP109" s="231">
        <v>4314.34</v>
      </c>
      <c r="AQ109" s="228">
        <v>0</v>
      </c>
      <c r="AR109" s="230">
        <v>838425</v>
      </c>
      <c r="AS109" s="230">
        <v>1058400</v>
      </c>
      <c r="AT109" s="230">
        <v>-219975</v>
      </c>
      <c r="AU109" s="229">
        <v>-0.20780000000000001</v>
      </c>
      <c r="AV109" s="230">
        <v>777350</v>
      </c>
      <c r="AW109" s="230">
        <v>978250</v>
      </c>
      <c r="AX109" s="230">
        <v>-200900</v>
      </c>
      <c r="AY109" s="229">
        <v>-0.2054</v>
      </c>
      <c r="AZ109" s="230">
        <v>59500</v>
      </c>
      <c r="BA109" s="230">
        <v>76825</v>
      </c>
      <c r="BB109" s="230">
        <v>-17325</v>
      </c>
      <c r="BC109" s="229">
        <v>-0.22550000000000001</v>
      </c>
      <c r="BD109" s="230">
        <v>1575</v>
      </c>
      <c r="BE109" s="230">
        <v>3325</v>
      </c>
      <c r="BF109" s="230">
        <v>-1750</v>
      </c>
      <c r="BG109" s="229">
        <v>-0.52629999999999999</v>
      </c>
      <c r="BH109" s="230">
        <v>1938475</v>
      </c>
      <c r="BI109" s="230">
        <v>1760675</v>
      </c>
      <c r="BJ109" s="230">
        <v>177800</v>
      </c>
      <c r="BK109" s="229">
        <v>0.10100000000000001</v>
      </c>
      <c r="BL109" s="230">
        <v>927675</v>
      </c>
      <c r="BM109" s="230">
        <v>2960125</v>
      </c>
      <c r="BN109" s="230">
        <v>-2032450</v>
      </c>
      <c r="BO109" s="229">
        <v>-0.68659999999999999</v>
      </c>
      <c r="BP109" s="230">
        <v>3704575</v>
      </c>
      <c r="BQ109" s="230">
        <v>5779200</v>
      </c>
      <c r="BR109" s="230">
        <v>-2074625</v>
      </c>
      <c r="BS109" s="229">
        <v>-0.35899999999999999</v>
      </c>
      <c r="BT109" s="230">
        <v>551807</v>
      </c>
      <c r="BU109" s="230">
        <v>937815</v>
      </c>
      <c r="BV109" s="230">
        <v>-386008</v>
      </c>
      <c r="BW109" s="229">
        <v>-0.41160000000000002</v>
      </c>
      <c r="BX109" s="230">
        <v>1968225</v>
      </c>
      <c r="BY109" s="230">
        <v>1931125</v>
      </c>
      <c r="BZ109" s="230">
        <v>37100</v>
      </c>
      <c r="CA109" s="229">
        <v>1.9199999999999998E-2</v>
      </c>
      <c r="CB109" s="230">
        <v>1714650</v>
      </c>
      <c r="CC109" s="230">
        <v>1689625</v>
      </c>
      <c r="CD109" s="230">
        <v>25025</v>
      </c>
      <c r="CE109" s="229">
        <v>1.4800000000000001E-2</v>
      </c>
      <c r="CF109" s="230">
        <v>246575</v>
      </c>
      <c r="CG109" s="230">
        <v>233975</v>
      </c>
      <c r="CH109" s="230">
        <v>12600</v>
      </c>
      <c r="CI109" s="229">
        <v>5.3900000000000003E-2</v>
      </c>
      <c r="CJ109" s="230">
        <v>7000</v>
      </c>
      <c r="CK109" s="230">
        <v>7525</v>
      </c>
      <c r="CL109" s="228">
        <v>-525</v>
      </c>
      <c r="CM109" s="229">
        <v>-6.9800000000000001E-2</v>
      </c>
      <c r="CN109" s="230">
        <v>976850</v>
      </c>
      <c r="CO109" s="230">
        <v>953400</v>
      </c>
      <c r="CP109" s="230">
        <v>23450</v>
      </c>
      <c r="CQ109" s="229">
        <v>2.46E-2</v>
      </c>
      <c r="CR109" s="230">
        <v>770350</v>
      </c>
      <c r="CS109" s="230">
        <v>796075</v>
      </c>
      <c r="CT109" s="230">
        <v>-25725</v>
      </c>
      <c r="CU109" s="229">
        <v>-3.2300000000000002E-2</v>
      </c>
      <c r="CV109" s="230">
        <v>3715425</v>
      </c>
      <c r="CW109" s="230">
        <v>3680600</v>
      </c>
      <c r="CX109" s="230">
        <v>34825</v>
      </c>
      <c r="CY109" s="229">
        <v>9.4999999999999998E-3</v>
      </c>
      <c r="CZ109" s="228">
        <v>44.37</v>
      </c>
      <c r="DA109" s="228">
        <v>47.33</v>
      </c>
      <c r="DB109" s="228">
        <v>-2.96</v>
      </c>
      <c r="DC109" s="228">
        <v>-2.96</v>
      </c>
      <c r="DD109" s="228">
        <v>45.49</v>
      </c>
      <c r="DE109" s="228">
        <v>45.6</v>
      </c>
      <c r="DF109" s="228">
        <v>-1.1200000000000001</v>
      </c>
      <c r="DG109" s="228">
        <v>-0.11</v>
      </c>
      <c r="DH109" s="228">
        <v>43.57</v>
      </c>
      <c r="DI109" s="228">
        <v>46.05</v>
      </c>
      <c r="DJ109" s="228">
        <v>-2.48</v>
      </c>
      <c r="DK109" s="228">
        <v>-2.48</v>
      </c>
      <c r="DL109" s="228">
        <v>46.03</v>
      </c>
      <c r="DM109" s="228">
        <v>48.08</v>
      </c>
      <c r="DN109" s="228">
        <v>-2.0499999999999998</v>
      </c>
      <c r="DO109" s="228">
        <v>-2.0499999999999998</v>
      </c>
      <c r="DP109" s="228">
        <v>0.79</v>
      </c>
      <c r="DQ109" s="228">
        <v>0.83</v>
      </c>
      <c r="DR109" s="228">
        <v>-0.04</v>
      </c>
      <c r="DS109" s="229">
        <v>-4.82E-2</v>
      </c>
      <c r="DT109" s="231">
        <v>5000</v>
      </c>
      <c r="DU109" s="231">
        <v>4500</v>
      </c>
      <c r="DV109" s="228">
        <v>0.48</v>
      </c>
      <c r="DW109" s="228">
        <v>1.68</v>
      </c>
      <c r="DX109" s="228">
        <v>-1.2</v>
      </c>
      <c r="DY109" s="229">
        <v>-0.71430000000000005</v>
      </c>
      <c r="DZ109" s="229">
        <v>0.1288</v>
      </c>
      <c r="EA109" s="230">
        <v>241500</v>
      </c>
      <c r="EB109" s="229">
        <v>-8.3000000000000001E-3</v>
      </c>
      <c r="EC109" s="229">
        <v>0.1288</v>
      </c>
      <c r="ED109" s="228">
        <v>-44.23</v>
      </c>
      <c r="EE109" s="229">
        <v>-1.01E-2</v>
      </c>
      <c r="EF109" s="230">
        <v>183558</v>
      </c>
      <c r="EG109" s="230">
        <v>386420</v>
      </c>
      <c r="EH109" s="229">
        <v>-0.52500000000000002</v>
      </c>
      <c r="EI109" s="229">
        <v>0.33260000000000001</v>
      </c>
      <c r="EJ109" s="231">
        <v>91379.05</v>
      </c>
      <c r="EK109" s="231">
        <v>40281.4</v>
      </c>
      <c r="EL109" s="231">
        <v>36515.67</v>
      </c>
      <c r="EM109" s="231">
        <v>4811</v>
      </c>
      <c r="EN109" s="231">
        <v>168176.12</v>
      </c>
      <c r="EO109" s="231">
        <v>261562.83</v>
      </c>
      <c r="EP109" s="231">
        <v>-93386.71</v>
      </c>
      <c r="EQ109" s="229">
        <v>-0.35699999999999998</v>
      </c>
      <c r="ER109" s="231">
        <v>47769</v>
      </c>
      <c r="ES109" s="231">
        <v>34434</v>
      </c>
      <c r="ET109" s="231">
        <v>85240</v>
      </c>
      <c r="EU109" s="231">
        <v>8553821</v>
      </c>
      <c r="EV109" s="231">
        <v>167442</v>
      </c>
      <c r="EW109" s="231">
        <v>166200</v>
      </c>
      <c r="EX109" s="231">
        <v>1242</v>
      </c>
      <c r="EY109" s="229">
        <v>7.4999999999999997E-3</v>
      </c>
      <c r="EZ109" s="229">
        <v>0.43440000000000001</v>
      </c>
      <c r="FA109" s="227" t="s">
        <v>567</v>
      </c>
      <c r="FB109" s="161">
        <f t="shared" si="1"/>
        <v>253575</v>
      </c>
    </row>
    <row r="110" spans="1:158" ht="17.25" thickBot="1" x14ac:dyDescent="0.3">
      <c r="A110" s="226">
        <v>46093</v>
      </c>
      <c r="B110" s="227" t="s">
        <v>175</v>
      </c>
      <c r="C110" s="227" t="s">
        <v>682</v>
      </c>
      <c r="D110" s="228">
        <v>500</v>
      </c>
      <c r="E110" s="228">
        <v>910.6</v>
      </c>
      <c r="F110" s="228">
        <v>928.7</v>
      </c>
      <c r="G110" s="228">
        <v>-18.100000000000001</v>
      </c>
      <c r="H110" s="229">
        <v>-1.95E-2</v>
      </c>
      <c r="I110" s="228">
        <v>907.6</v>
      </c>
      <c r="J110" s="228">
        <v>926.85</v>
      </c>
      <c r="K110" s="228">
        <v>-19.25</v>
      </c>
      <c r="L110" s="229">
        <v>-2.0799999999999999E-2</v>
      </c>
      <c r="M110" s="228">
        <v>910.6</v>
      </c>
      <c r="N110" s="228">
        <v>928.7</v>
      </c>
      <c r="O110" s="228">
        <v>-18.100000000000001</v>
      </c>
      <c r="P110" s="229">
        <v>-1.95E-2</v>
      </c>
      <c r="Q110" s="228">
        <v>901.1</v>
      </c>
      <c r="R110" s="228">
        <v>919.7</v>
      </c>
      <c r="S110" s="228">
        <v>-18.600000000000001</v>
      </c>
      <c r="T110" s="229">
        <v>-2.0199999999999999E-2</v>
      </c>
      <c r="U110" s="228">
        <v>899</v>
      </c>
      <c r="V110" s="228">
        <v>924.1</v>
      </c>
      <c r="W110" s="228">
        <v>-25.1</v>
      </c>
      <c r="X110" s="229">
        <v>-2.7199999999999998E-2</v>
      </c>
      <c r="Y110" s="228">
        <v>3</v>
      </c>
      <c r="Z110" s="228">
        <v>1.85</v>
      </c>
      <c r="AA110" s="228">
        <v>1.1499999999999999</v>
      </c>
      <c r="AB110" s="229">
        <v>3.3E-3</v>
      </c>
      <c r="AC110" s="228">
        <v>3</v>
      </c>
      <c r="AD110" s="228">
        <v>1.85</v>
      </c>
      <c r="AE110" s="228">
        <v>1.1499999999999999</v>
      </c>
      <c r="AF110" s="229">
        <v>3.3E-3</v>
      </c>
      <c r="AG110" s="228">
        <v>-6.5</v>
      </c>
      <c r="AH110" s="228">
        <v>-7.15</v>
      </c>
      <c r="AI110" s="228">
        <v>0.65</v>
      </c>
      <c r="AJ110" s="229">
        <v>-7.1999999999999998E-3</v>
      </c>
      <c r="AK110" s="228">
        <v>-8.6</v>
      </c>
      <c r="AL110" s="228">
        <v>-2.75</v>
      </c>
      <c r="AM110" s="228">
        <v>-5.85</v>
      </c>
      <c r="AN110" s="229">
        <v>-9.4999999999999998E-3</v>
      </c>
      <c r="AO110" s="228">
        <v>913.77</v>
      </c>
      <c r="AP110" s="228">
        <v>903.3</v>
      </c>
      <c r="AQ110" s="228">
        <v>0</v>
      </c>
      <c r="AR110" s="230">
        <v>979000</v>
      </c>
      <c r="AS110" s="230">
        <v>562000</v>
      </c>
      <c r="AT110" s="230">
        <v>417000</v>
      </c>
      <c r="AU110" s="229">
        <v>0.74199999999999999</v>
      </c>
      <c r="AV110" s="230">
        <v>913000</v>
      </c>
      <c r="AW110" s="230">
        <v>506000</v>
      </c>
      <c r="AX110" s="230">
        <v>407000</v>
      </c>
      <c r="AY110" s="229">
        <v>0.80430000000000001</v>
      </c>
      <c r="AZ110" s="230">
        <v>57500</v>
      </c>
      <c r="BA110" s="230">
        <v>53000</v>
      </c>
      <c r="BB110" s="230">
        <v>4500</v>
      </c>
      <c r="BC110" s="229">
        <v>8.4900000000000003E-2</v>
      </c>
      <c r="BD110" s="230">
        <v>8500</v>
      </c>
      <c r="BE110" s="230">
        <v>3000</v>
      </c>
      <c r="BF110" s="230">
        <v>5500</v>
      </c>
      <c r="BG110" s="229">
        <v>1.8332999999999999</v>
      </c>
      <c r="BH110" s="230">
        <v>955000</v>
      </c>
      <c r="BI110" s="230">
        <v>599000</v>
      </c>
      <c r="BJ110" s="230">
        <v>356000</v>
      </c>
      <c r="BK110" s="229">
        <v>0.59430000000000005</v>
      </c>
      <c r="BL110" s="230">
        <v>613000</v>
      </c>
      <c r="BM110" s="230">
        <v>285500</v>
      </c>
      <c r="BN110" s="230">
        <v>327500</v>
      </c>
      <c r="BO110" s="229">
        <v>1.1471</v>
      </c>
      <c r="BP110" s="230">
        <v>2547000</v>
      </c>
      <c r="BQ110" s="230">
        <v>1446500</v>
      </c>
      <c r="BR110" s="230">
        <v>1100500</v>
      </c>
      <c r="BS110" s="229">
        <v>0.76080000000000003</v>
      </c>
      <c r="BT110" s="230">
        <v>515857</v>
      </c>
      <c r="BU110" s="230">
        <v>255357</v>
      </c>
      <c r="BV110" s="230">
        <v>260500</v>
      </c>
      <c r="BW110" s="229">
        <v>1.0201</v>
      </c>
      <c r="BX110" s="230">
        <v>2430000</v>
      </c>
      <c r="BY110" s="230">
        <v>2448000</v>
      </c>
      <c r="BZ110" s="230">
        <v>-18000</v>
      </c>
      <c r="CA110" s="229">
        <v>-7.4000000000000003E-3</v>
      </c>
      <c r="CB110" s="230">
        <v>2168500</v>
      </c>
      <c r="CC110" s="230">
        <v>2186000</v>
      </c>
      <c r="CD110" s="230">
        <v>-17500</v>
      </c>
      <c r="CE110" s="229">
        <v>-8.0000000000000002E-3</v>
      </c>
      <c r="CF110" s="230">
        <v>233000</v>
      </c>
      <c r="CG110" s="230">
        <v>240000</v>
      </c>
      <c r="CH110" s="230">
        <v>-7000</v>
      </c>
      <c r="CI110" s="229">
        <v>-2.92E-2</v>
      </c>
      <c r="CJ110" s="230">
        <v>28500</v>
      </c>
      <c r="CK110" s="230">
        <v>22000</v>
      </c>
      <c r="CL110" s="230">
        <v>6500</v>
      </c>
      <c r="CM110" s="229">
        <v>0.29549999999999998</v>
      </c>
      <c r="CN110" s="230">
        <v>1875000</v>
      </c>
      <c r="CO110" s="230">
        <v>1940000</v>
      </c>
      <c r="CP110" s="230">
        <v>-65000</v>
      </c>
      <c r="CQ110" s="229">
        <v>-3.3500000000000002E-2</v>
      </c>
      <c r="CR110" s="230">
        <v>1131000</v>
      </c>
      <c r="CS110" s="230">
        <v>1116000</v>
      </c>
      <c r="CT110" s="230">
        <v>15000</v>
      </c>
      <c r="CU110" s="229">
        <v>1.34E-2</v>
      </c>
      <c r="CV110" s="230">
        <v>5436000</v>
      </c>
      <c r="CW110" s="230">
        <v>5504000</v>
      </c>
      <c r="CX110" s="230">
        <v>-68000</v>
      </c>
      <c r="CY110" s="229">
        <v>-1.24E-2</v>
      </c>
      <c r="CZ110" s="228">
        <v>37.82</v>
      </c>
      <c r="DA110" s="228">
        <v>38.67</v>
      </c>
      <c r="DB110" s="228">
        <v>-0.85</v>
      </c>
      <c r="DC110" s="228">
        <v>-0.85</v>
      </c>
      <c r="DD110" s="228">
        <v>49.72</v>
      </c>
      <c r="DE110" s="228">
        <v>49.77</v>
      </c>
      <c r="DF110" s="228">
        <v>-11.9</v>
      </c>
      <c r="DG110" s="228">
        <v>-0.05</v>
      </c>
      <c r="DH110" s="228">
        <v>37.36</v>
      </c>
      <c r="DI110" s="228">
        <v>37.61</v>
      </c>
      <c r="DJ110" s="228">
        <v>-0.25</v>
      </c>
      <c r="DK110" s="228">
        <v>-0.25</v>
      </c>
      <c r="DL110" s="228">
        <v>38.520000000000003</v>
      </c>
      <c r="DM110" s="228">
        <v>40.9</v>
      </c>
      <c r="DN110" s="228">
        <v>-2.38</v>
      </c>
      <c r="DO110" s="228">
        <v>-2.38</v>
      </c>
      <c r="DP110" s="228">
        <v>0.6</v>
      </c>
      <c r="DQ110" s="228">
        <v>0.57999999999999996</v>
      </c>
      <c r="DR110" s="228">
        <v>0.02</v>
      </c>
      <c r="DS110" s="229">
        <v>3.4500000000000003E-2</v>
      </c>
      <c r="DT110" s="231">
        <v>1000</v>
      </c>
      <c r="DU110" s="228">
        <v>960</v>
      </c>
      <c r="DV110" s="228">
        <v>0.64</v>
      </c>
      <c r="DW110" s="228">
        <v>0.48</v>
      </c>
      <c r="DX110" s="228">
        <v>0.16</v>
      </c>
      <c r="DY110" s="229">
        <v>0.33329999999999999</v>
      </c>
      <c r="DZ110" s="229">
        <v>0.1076</v>
      </c>
      <c r="EA110" s="230">
        <v>262000</v>
      </c>
      <c r="EB110" s="229">
        <v>-1.04E-2</v>
      </c>
      <c r="EC110" s="229">
        <v>0.1076</v>
      </c>
      <c r="ED110" s="228">
        <v>-10.47</v>
      </c>
      <c r="EE110" s="229">
        <v>-1.15E-2</v>
      </c>
      <c r="EF110" s="230">
        <v>141991</v>
      </c>
      <c r="EG110" s="230">
        <v>96239</v>
      </c>
      <c r="EH110" s="229">
        <v>0.47539999999999999</v>
      </c>
      <c r="EI110" s="229">
        <v>0.27529999999999999</v>
      </c>
      <c r="EJ110" s="231">
        <v>9491.68</v>
      </c>
      <c r="EK110" s="231">
        <v>5573.58</v>
      </c>
      <c r="EL110" s="231">
        <v>8938.76</v>
      </c>
      <c r="EM110" s="231">
        <v>2011</v>
      </c>
      <c r="EN110" s="231">
        <v>24004.02</v>
      </c>
      <c r="EO110" s="231">
        <v>13912.54</v>
      </c>
      <c r="EP110" s="231">
        <v>10091.48</v>
      </c>
      <c r="EQ110" s="229">
        <v>0.72540000000000004</v>
      </c>
      <c r="ER110" s="231">
        <v>18969</v>
      </c>
      <c r="ES110" s="231">
        <v>10589</v>
      </c>
      <c r="ET110" s="231">
        <v>22102</v>
      </c>
      <c r="EU110" s="231">
        <v>19924232</v>
      </c>
      <c r="EV110" s="231">
        <v>51660</v>
      </c>
      <c r="EW110" s="231">
        <v>52850</v>
      </c>
      <c r="EX110" s="231">
        <v>-1190</v>
      </c>
      <c r="EY110" s="229">
        <v>-2.2499999999999999E-2</v>
      </c>
      <c r="EZ110" s="229">
        <v>0.27279999999999999</v>
      </c>
      <c r="FA110" s="227" t="s">
        <v>568</v>
      </c>
      <c r="FB110" s="161">
        <f t="shared" si="1"/>
        <v>261500</v>
      </c>
    </row>
    <row r="111" spans="1:158" ht="17.25" thickBot="1" x14ac:dyDescent="0.3">
      <c r="A111" s="226">
        <v>46093</v>
      </c>
      <c r="B111" s="227" t="s">
        <v>172</v>
      </c>
      <c r="C111" s="227" t="s">
        <v>246</v>
      </c>
      <c r="D111" s="228">
        <v>2000</v>
      </c>
      <c r="E111" s="228">
        <v>376.75</v>
      </c>
      <c r="F111" s="228">
        <v>384.2</v>
      </c>
      <c r="G111" s="228">
        <v>-7.45</v>
      </c>
      <c r="H111" s="229">
        <v>-1.9400000000000001E-2</v>
      </c>
      <c r="I111" s="228">
        <v>375.3</v>
      </c>
      <c r="J111" s="228">
        <v>383.2</v>
      </c>
      <c r="K111" s="228">
        <v>-7.9</v>
      </c>
      <c r="L111" s="229">
        <v>-2.06E-2</v>
      </c>
      <c r="M111" s="228">
        <v>376.75</v>
      </c>
      <c r="N111" s="228">
        <v>384.2</v>
      </c>
      <c r="O111" s="228">
        <v>-7.45</v>
      </c>
      <c r="P111" s="229">
        <v>-1.9400000000000001E-2</v>
      </c>
      <c r="Q111" s="228">
        <v>379.15</v>
      </c>
      <c r="R111" s="228">
        <v>386.4</v>
      </c>
      <c r="S111" s="228">
        <v>-7.25</v>
      </c>
      <c r="T111" s="229">
        <v>-1.8800000000000001E-2</v>
      </c>
      <c r="U111" s="228">
        <v>381.05</v>
      </c>
      <c r="V111" s="228">
        <v>388.85</v>
      </c>
      <c r="W111" s="228">
        <v>-7.8</v>
      </c>
      <c r="X111" s="229">
        <v>-2.01E-2</v>
      </c>
      <c r="Y111" s="228">
        <v>1.45</v>
      </c>
      <c r="Z111" s="228">
        <v>1</v>
      </c>
      <c r="AA111" s="228">
        <v>0.45</v>
      </c>
      <c r="AB111" s="229">
        <v>3.8999999999999998E-3</v>
      </c>
      <c r="AC111" s="228">
        <v>1.45</v>
      </c>
      <c r="AD111" s="228">
        <v>1</v>
      </c>
      <c r="AE111" s="228">
        <v>0.45</v>
      </c>
      <c r="AF111" s="229">
        <v>3.8999999999999998E-3</v>
      </c>
      <c r="AG111" s="228">
        <v>3.85</v>
      </c>
      <c r="AH111" s="228">
        <v>3.2</v>
      </c>
      <c r="AI111" s="228">
        <v>0.65</v>
      </c>
      <c r="AJ111" s="229">
        <v>1.03E-2</v>
      </c>
      <c r="AK111" s="228">
        <v>5.75</v>
      </c>
      <c r="AL111" s="228">
        <v>5.65</v>
      </c>
      <c r="AM111" s="228">
        <v>0.1</v>
      </c>
      <c r="AN111" s="229">
        <v>1.5299999999999999E-2</v>
      </c>
      <c r="AO111" s="228">
        <v>378.48</v>
      </c>
      <c r="AP111" s="228">
        <v>380.73</v>
      </c>
      <c r="AQ111" s="228">
        <v>0</v>
      </c>
      <c r="AR111" s="230">
        <v>25442000</v>
      </c>
      <c r="AS111" s="230">
        <v>18634000</v>
      </c>
      <c r="AT111" s="230">
        <v>6808000</v>
      </c>
      <c r="AU111" s="229">
        <v>0.3654</v>
      </c>
      <c r="AV111" s="230">
        <v>21940000</v>
      </c>
      <c r="AW111" s="230">
        <v>15416000</v>
      </c>
      <c r="AX111" s="230">
        <v>6524000</v>
      </c>
      <c r="AY111" s="229">
        <v>0.42320000000000002</v>
      </c>
      <c r="AZ111" s="230">
        <v>2950000</v>
      </c>
      <c r="BA111" s="230">
        <v>2904000</v>
      </c>
      <c r="BB111" s="230">
        <v>46000</v>
      </c>
      <c r="BC111" s="229">
        <v>1.5800000000000002E-2</v>
      </c>
      <c r="BD111" s="230">
        <v>552000</v>
      </c>
      <c r="BE111" s="230">
        <v>314000</v>
      </c>
      <c r="BF111" s="230">
        <v>238000</v>
      </c>
      <c r="BG111" s="229">
        <v>0.75800000000000001</v>
      </c>
      <c r="BH111" s="230">
        <v>31052000</v>
      </c>
      <c r="BI111" s="230">
        <v>31932000</v>
      </c>
      <c r="BJ111" s="230">
        <v>-880000</v>
      </c>
      <c r="BK111" s="229">
        <v>-2.76E-2</v>
      </c>
      <c r="BL111" s="230">
        <v>19388000</v>
      </c>
      <c r="BM111" s="230">
        <v>26760000</v>
      </c>
      <c r="BN111" s="230">
        <v>-7372000</v>
      </c>
      <c r="BO111" s="229">
        <v>-0.27550000000000002</v>
      </c>
      <c r="BP111" s="230">
        <v>75882000</v>
      </c>
      <c r="BQ111" s="230">
        <v>77326000</v>
      </c>
      <c r="BR111" s="230">
        <v>-1444000</v>
      </c>
      <c r="BS111" s="229">
        <v>-1.8700000000000001E-2</v>
      </c>
      <c r="BT111" s="230">
        <v>25386243</v>
      </c>
      <c r="BU111" s="230">
        <v>30300595</v>
      </c>
      <c r="BV111" s="230">
        <v>-4914352</v>
      </c>
      <c r="BW111" s="229">
        <v>-0.16220000000000001</v>
      </c>
      <c r="BX111" s="230">
        <v>226342000</v>
      </c>
      <c r="BY111" s="230">
        <v>220258000</v>
      </c>
      <c r="BZ111" s="230">
        <v>6084000</v>
      </c>
      <c r="CA111" s="229">
        <v>2.76E-2</v>
      </c>
      <c r="CB111" s="230">
        <v>217652000</v>
      </c>
      <c r="CC111" s="230">
        <v>213466000</v>
      </c>
      <c r="CD111" s="230">
        <v>4186000</v>
      </c>
      <c r="CE111" s="229">
        <v>1.9599999999999999E-2</v>
      </c>
      <c r="CF111" s="230">
        <v>7506000</v>
      </c>
      <c r="CG111" s="230">
        <v>5914000</v>
      </c>
      <c r="CH111" s="230">
        <v>1592000</v>
      </c>
      <c r="CI111" s="229">
        <v>0.26919999999999999</v>
      </c>
      <c r="CJ111" s="230">
        <v>1184000</v>
      </c>
      <c r="CK111" s="230">
        <v>878000</v>
      </c>
      <c r="CL111" s="230">
        <v>306000</v>
      </c>
      <c r="CM111" s="229">
        <v>0.34849999999999998</v>
      </c>
      <c r="CN111" s="230">
        <v>38688000</v>
      </c>
      <c r="CO111" s="230">
        <v>36514000</v>
      </c>
      <c r="CP111" s="230">
        <v>2174000</v>
      </c>
      <c r="CQ111" s="229">
        <v>5.9499999999999997E-2</v>
      </c>
      <c r="CR111" s="230">
        <v>24886000</v>
      </c>
      <c r="CS111" s="230">
        <v>24322000</v>
      </c>
      <c r="CT111" s="230">
        <v>564000</v>
      </c>
      <c r="CU111" s="229">
        <v>2.3199999999999998E-2</v>
      </c>
      <c r="CV111" s="230">
        <v>289916000</v>
      </c>
      <c r="CW111" s="230">
        <v>281094000</v>
      </c>
      <c r="CX111" s="230">
        <v>8822000</v>
      </c>
      <c r="CY111" s="229">
        <v>3.1399999999999997E-2</v>
      </c>
      <c r="CZ111" s="228">
        <v>27.94</v>
      </c>
      <c r="DA111" s="228">
        <v>27.77</v>
      </c>
      <c r="DB111" s="228">
        <v>0.17</v>
      </c>
      <c r="DC111" s="228">
        <v>0.17</v>
      </c>
      <c r="DD111" s="228">
        <v>26.01</v>
      </c>
      <c r="DE111" s="228">
        <v>25.92</v>
      </c>
      <c r="DF111" s="228">
        <v>1.93</v>
      </c>
      <c r="DG111" s="228">
        <v>0.09</v>
      </c>
      <c r="DH111" s="228">
        <v>27.86</v>
      </c>
      <c r="DI111" s="228">
        <v>27.2</v>
      </c>
      <c r="DJ111" s="228">
        <v>0.66</v>
      </c>
      <c r="DK111" s="228">
        <v>0.66</v>
      </c>
      <c r="DL111" s="228">
        <v>28.07</v>
      </c>
      <c r="DM111" s="228">
        <v>28.46</v>
      </c>
      <c r="DN111" s="228">
        <v>-0.39</v>
      </c>
      <c r="DO111" s="228">
        <v>-0.39</v>
      </c>
      <c r="DP111" s="228">
        <v>0.64</v>
      </c>
      <c r="DQ111" s="228">
        <v>0.67</v>
      </c>
      <c r="DR111" s="228">
        <v>-0.03</v>
      </c>
      <c r="DS111" s="229">
        <v>-4.48E-2</v>
      </c>
      <c r="DT111" s="228">
        <v>440</v>
      </c>
      <c r="DU111" s="228">
        <v>400</v>
      </c>
      <c r="DV111" s="228">
        <v>0.62</v>
      </c>
      <c r="DW111" s="228">
        <v>0.84</v>
      </c>
      <c r="DX111" s="228">
        <v>-0.22</v>
      </c>
      <c r="DY111" s="229">
        <v>-0.26190000000000002</v>
      </c>
      <c r="DZ111" s="229">
        <v>3.8399999999999997E-2</v>
      </c>
      <c r="EA111" s="230">
        <v>6792000</v>
      </c>
      <c r="EB111" s="229">
        <v>6.4000000000000003E-3</v>
      </c>
      <c r="EC111" s="229">
        <v>3.8399999999999997E-2</v>
      </c>
      <c r="ED111" s="228">
        <v>2.25</v>
      </c>
      <c r="EE111" s="229">
        <v>5.8999999999999999E-3</v>
      </c>
      <c r="EF111" s="230">
        <v>17556728</v>
      </c>
      <c r="EG111" s="230">
        <v>22511430</v>
      </c>
      <c r="EH111" s="229">
        <v>-0.22009999999999999</v>
      </c>
      <c r="EI111" s="229">
        <v>0.69159999999999999</v>
      </c>
      <c r="EJ111" s="231">
        <v>123966.88</v>
      </c>
      <c r="EK111" s="231">
        <v>73994.92</v>
      </c>
      <c r="EL111" s="231">
        <v>96381</v>
      </c>
      <c r="EM111" s="231">
        <v>10137</v>
      </c>
      <c r="EN111" s="231">
        <v>294342.8</v>
      </c>
      <c r="EO111" s="231">
        <v>306195.33</v>
      </c>
      <c r="EP111" s="231">
        <v>-11852.53</v>
      </c>
      <c r="EQ111" s="229">
        <v>-3.8699999999999998E-2</v>
      </c>
      <c r="ER111" s="231">
        <v>162763</v>
      </c>
      <c r="ES111" s="231">
        <v>99156</v>
      </c>
      <c r="ET111" s="231">
        <v>852975</v>
      </c>
      <c r="EU111" s="231">
        <v>781025350</v>
      </c>
      <c r="EV111" s="231">
        <v>1114894</v>
      </c>
      <c r="EW111" s="231">
        <v>1098451</v>
      </c>
      <c r="EX111" s="231">
        <v>16443</v>
      </c>
      <c r="EY111" s="229">
        <v>1.4999999999999999E-2</v>
      </c>
      <c r="EZ111" s="229">
        <v>0.37119999999999997</v>
      </c>
      <c r="FA111" s="227" t="s">
        <v>567</v>
      </c>
      <c r="FB111" s="161">
        <f t="shared" si="1"/>
        <v>8690000</v>
      </c>
    </row>
    <row r="112" spans="1:158" ht="17.25" thickBot="1" x14ac:dyDescent="0.3">
      <c r="A112" s="226">
        <v>46093</v>
      </c>
      <c r="B112" s="227" t="s">
        <v>221</v>
      </c>
      <c r="C112" s="227" t="s">
        <v>577</v>
      </c>
      <c r="D112" s="228">
        <v>425</v>
      </c>
      <c r="E112" s="228">
        <v>671.85</v>
      </c>
      <c r="F112" s="228">
        <v>684.35</v>
      </c>
      <c r="G112" s="228">
        <v>-12.5</v>
      </c>
      <c r="H112" s="229">
        <v>-1.83E-2</v>
      </c>
      <c r="I112" s="228">
        <v>671.25</v>
      </c>
      <c r="J112" s="228">
        <v>682.75</v>
      </c>
      <c r="K112" s="228">
        <v>-11.5</v>
      </c>
      <c r="L112" s="229">
        <v>-1.6799999999999999E-2</v>
      </c>
      <c r="M112" s="228">
        <v>671.85</v>
      </c>
      <c r="N112" s="228">
        <v>684.35</v>
      </c>
      <c r="O112" s="228">
        <v>-12.5</v>
      </c>
      <c r="P112" s="229">
        <v>-1.83E-2</v>
      </c>
      <c r="Q112" s="228">
        <v>674.15</v>
      </c>
      <c r="R112" s="228">
        <v>685.8</v>
      </c>
      <c r="S112" s="228">
        <v>-11.65</v>
      </c>
      <c r="T112" s="229">
        <v>-1.7000000000000001E-2</v>
      </c>
      <c r="U112" s="228">
        <v>680.15</v>
      </c>
      <c r="V112" s="228">
        <v>689.55</v>
      </c>
      <c r="W112" s="228">
        <v>-9.4</v>
      </c>
      <c r="X112" s="229">
        <v>-1.3599999999999999E-2</v>
      </c>
      <c r="Y112" s="228">
        <v>0.6</v>
      </c>
      <c r="Z112" s="228">
        <v>1.6</v>
      </c>
      <c r="AA112" s="228">
        <v>-1</v>
      </c>
      <c r="AB112" s="229">
        <v>8.9999999999999998E-4</v>
      </c>
      <c r="AC112" s="228">
        <v>0.6</v>
      </c>
      <c r="AD112" s="228">
        <v>1.6</v>
      </c>
      <c r="AE112" s="228">
        <v>-1</v>
      </c>
      <c r="AF112" s="229">
        <v>8.9999999999999998E-4</v>
      </c>
      <c r="AG112" s="228">
        <v>2.9</v>
      </c>
      <c r="AH112" s="228">
        <v>3.05</v>
      </c>
      <c r="AI112" s="228">
        <v>-0.15</v>
      </c>
      <c r="AJ112" s="229">
        <v>4.3E-3</v>
      </c>
      <c r="AK112" s="228">
        <v>8.9</v>
      </c>
      <c r="AL112" s="228">
        <v>6.8</v>
      </c>
      <c r="AM112" s="228">
        <v>2.1</v>
      </c>
      <c r="AN112" s="229">
        <v>1.3299999999999999E-2</v>
      </c>
      <c r="AO112" s="228">
        <v>674.75</v>
      </c>
      <c r="AP112" s="228">
        <v>676.67</v>
      </c>
      <c r="AQ112" s="228">
        <v>0</v>
      </c>
      <c r="AR112" s="230">
        <v>1075675</v>
      </c>
      <c r="AS112" s="230">
        <v>1514700</v>
      </c>
      <c r="AT112" s="230">
        <v>-439025</v>
      </c>
      <c r="AU112" s="229">
        <v>-0.2898</v>
      </c>
      <c r="AV112" s="230">
        <v>963900</v>
      </c>
      <c r="AW112" s="230">
        <v>1395700</v>
      </c>
      <c r="AX112" s="230">
        <v>-431800</v>
      </c>
      <c r="AY112" s="229">
        <v>-0.30940000000000001</v>
      </c>
      <c r="AZ112" s="230">
        <v>97325</v>
      </c>
      <c r="BA112" s="230">
        <v>109650</v>
      </c>
      <c r="BB112" s="230">
        <v>-12325</v>
      </c>
      <c r="BC112" s="229">
        <v>-0.1124</v>
      </c>
      <c r="BD112" s="230">
        <v>14450</v>
      </c>
      <c r="BE112" s="230">
        <v>9350</v>
      </c>
      <c r="BF112" s="230">
        <v>5100</v>
      </c>
      <c r="BG112" s="229">
        <v>0.54549999999999998</v>
      </c>
      <c r="BH112" s="230">
        <v>4828000</v>
      </c>
      <c r="BI112" s="230">
        <v>6465100</v>
      </c>
      <c r="BJ112" s="230">
        <v>-1637100</v>
      </c>
      <c r="BK112" s="229">
        <v>-0.25319999999999998</v>
      </c>
      <c r="BL112" s="230">
        <v>1141125</v>
      </c>
      <c r="BM112" s="230">
        <v>1998350</v>
      </c>
      <c r="BN112" s="230">
        <v>-857225</v>
      </c>
      <c r="BO112" s="229">
        <v>-0.42899999999999999</v>
      </c>
      <c r="BP112" s="230">
        <v>7044800</v>
      </c>
      <c r="BQ112" s="230">
        <v>9978150</v>
      </c>
      <c r="BR112" s="230">
        <v>-2933350</v>
      </c>
      <c r="BS112" s="229">
        <v>-0.29399999999999998</v>
      </c>
      <c r="BT112" s="230">
        <v>1455591</v>
      </c>
      <c r="BU112" s="230">
        <v>1905964</v>
      </c>
      <c r="BV112" s="230">
        <v>-450373</v>
      </c>
      <c r="BW112" s="229">
        <v>-0.23630000000000001</v>
      </c>
      <c r="BX112" s="230">
        <v>7953875</v>
      </c>
      <c r="BY112" s="230">
        <v>7822550</v>
      </c>
      <c r="BZ112" s="230">
        <v>131325</v>
      </c>
      <c r="CA112" s="229">
        <v>1.6799999999999999E-2</v>
      </c>
      <c r="CB112" s="230">
        <v>7301925</v>
      </c>
      <c r="CC112" s="230">
        <v>7201625</v>
      </c>
      <c r="CD112" s="230">
        <v>100300</v>
      </c>
      <c r="CE112" s="229">
        <v>1.3899999999999999E-2</v>
      </c>
      <c r="CF112" s="230">
        <v>593725</v>
      </c>
      <c r="CG112" s="230">
        <v>566525</v>
      </c>
      <c r="CH112" s="230">
        <v>27200</v>
      </c>
      <c r="CI112" s="229">
        <v>4.8000000000000001E-2</v>
      </c>
      <c r="CJ112" s="230">
        <v>58225</v>
      </c>
      <c r="CK112" s="230">
        <v>54400</v>
      </c>
      <c r="CL112" s="230">
        <v>3825</v>
      </c>
      <c r="CM112" s="229">
        <v>7.0300000000000001E-2</v>
      </c>
      <c r="CN112" s="230">
        <v>5986125</v>
      </c>
      <c r="CO112" s="230">
        <v>5380500</v>
      </c>
      <c r="CP112" s="230">
        <v>605625</v>
      </c>
      <c r="CQ112" s="229">
        <v>0.11260000000000001</v>
      </c>
      <c r="CR112" s="230">
        <v>2995400</v>
      </c>
      <c r="CS112" s="230">
        <v>2972450</v>
      </c>
      <c r="CT112" s="230">
        <v>22950</v>
      </c>
      <c r="CU112" s="229">
        <v>7.7000000000000002E-3</v>
      </c>
      <c r="CV112" s="230">
        <v>16935400</v>
      </c>
      <c r="CW112" s="230">
        <v>16175500</v>
      </c>
      <c r="CX112" s="230">
        <v>759900</v>
      </c>
      <c r="CY112" s="229">
        <v>4.7E-2</v>
      </c>
      <c r="CZ112" s="228">
        <v>48.59</v>
      </c>
      <c r="DA112" s="228">
        <v>46.39</v>
      </c>
      <c r="DB112" s="228">
        <v>2.2000000000000002</v>
      </c>
      <c r="DC112" s="228">
        <v>2.2000000000000002</v>
      </c>
      <c r="DD112" s="228">
        <v>44.17</v>
      </c>
      <c r="DE112" s="228">
        <v>44.21</v>
      </c>
      <c r="DF112" s="228">
        <v>4.42</v>
      </c>
      <c r="DG112" s="228">
        <v>-0.04</v>
      </c>
      <c r="DH112" s="228">
        <v>48.64</v>
      </c>
      <c r="DI112" s="228">
        <v>46.42</v>
      </c>
      <c r="DJ112" s="228">
        <v>2.2200000000000002</v>
      </c>
      <c r="DK112" s="228">
        <v>2.2200000000000002</v>
      </c>
      <c r="DL112" s="228">
        <v>48.38</v>
      </c>
      <c r="DM112" s="228">
        <v>46.28</v>
      </c>
      <c r="DN112" s="228">
        <v>2.1</v>
      </c>
      <c r="DO112" s="228">
        <v>2.1</v>
      </c>
      <c r="DP112" s="228">
        <v>0.5</v>
      </c>
      <c r="DQ112" s="228">
        <v>0.55000000000000004</v>
      </c>
      <c r="DR112" s="228">
        <v>-0.05</v>
      </c>
      <c r="DS112" s="229">
        <v>-9.0899999999999995E-2</v>
      </c>
      <c r="DT112" s="228">
        <v>800</v>
      </c>
      <c r="DU112" s="228">
        <v>800</v>
      </c>
      <c r="DV112" s="228">
        <v>0.24</v>
      </c>
      <c r="DW112" s="228">
        <v>0.31</v>
      </c>
      <c r="DX112" s="228">
        <v>-7.0000000000000007E-2</v>
      </c>
      <c r="DY112" s="229">
        <v>-0.2258</v>
      </c>
      <c r="DZ112" s="229">
        <v>8.2000000000000003E-2</v>
      </c>
      <c r="EA112" s="230">
        <v>620925</v>
      </c>
      <c r="EB112" s="229">
        <v>3.3999999999999998E-3</v>
      </c>
      <c r="EC112" s="229">
        <v>8.2000000000000003E-2</v>
      </c>
      <c r="ED112" s="228">
        <v>1.92</v>
      </c>
      <c r="EE112" s="229">
        <v>2.8E-3</v>
      </c>
      <c r="EF112" s="230">
        <v>593405</v>
      </c>
      <c r="EG112" s="230">
        <v>536888</v>
      </c>
      <c r="EH112" s="229">
        <v>0.1053</v>
      </c>
      <c r="EI112" s="229">
        <v>0.40770000000000001</v>
      </c>
      <c r="EJ112" s="231">
        <v>36461.61</v>
      </c>
      <c r="EK112" s="231">
        <v>7784.54</v>
      </c>
      <c r="EL112" s="231">
        <v>7260.63</v>
      </c>
      <c r="EM112" s="231">
        <v>5099</v>
      </c>
      <c r="EN112" s="231">
        <v>51506.78</v>
      </c>
      <c r="EO112" s="231">
        <v>72928.22</v>
      </c>
      <c r="EP112" s="231">
        <v>-21421.439999999999</v>
      </c>
      <c r="EQ112" s="229">
        <v>-0.29370000000000002</v>
      </c>
      <c r="ER112" s="231">
        <v>47856</v>
      </c>
      <c r="ES112" s="231">
        <v>22616</v>
      </c>
      <c r="ET112" s="231">
        <v>53457</v>
      </c>
      <c r="EU112" s="231">
        <v>24589408</v>
      </c>
      <c r="EV112" s="231">
        <v>123928</v>
      </c>
      <c r="EW112" s="231">
        <v>119298</v>
      </c>
      <c r="EX112" s="231">
        <v>4630</v>
      </c>
      <c r="EY112" s="229">
        <v>3.8800000000000001E-2</v>
      </c>
      <c r="EZ112" s="229">
        <v>0.68869999999999998</v>
      </c>
      <c r="FA112" s="227" t="s">
        <v>567</v>
      </c>
      <c r="FB112" s="161">
        <f t="shared" si="1"/>
        <v>651950</v>
      </c>
    </row>
    <row r="113" spans="1:158" ht="17.25" thickBot="1" x14ac:dyDescent="0.3">
      <c r="A113" s="226">
        <v>46093</v>
      </c>
      <c r="B113" s="227" t="s">
        <v>170</v>
      </c>
      <c r="C113" s="227" t="s">
        <v>535</v>
      </c>
      <c r="D113" s="228">
        <v>850</v>
      </c>
      <c r="E113" s="231">
        <v>1048.5</v>
      </c>
      <c r="F113" s="231">
        <v>1041.3</v>
      </c>
      <c r="G113" s="228">
        <v>7.2</v>
      </c>
      <c r="H113" s="229">
        <v>6.8999999999999999E-3</v>
      </c>
      <c r="I113" s="231">
        <v>1046.8</v>
      </c>
      <c r="J113" s="231">
        <v>1041</v>
      </c>
      <c r="K113" s="228">
        <v>5.8</v>
      </c>
      <c r="L113" s="229">
        <v>5.5999999999999999E-3</v>
      </c>
      <c r="M113" s="231">
        <v>1048.5</v>
      </c>
      <c r="N113" s="231">
        <v>1041.3</v>
      </c>
      <c r="O113" s="228">
        <v>7.2</v>
      </c>
      <c r="P113" s="229">
        <v>6.8999999999999999E-3</v>
      </c>
      <c r="Q113" s="231">
        <v>1055</v>
      </c>
      <c r="R113" s="231">
        <v>1047.8</v>
      </c>
      <c r="S113" s="228">
        <v>7.2</v>
      </c>
      <c r="T113" s="229">
        <v>6.8999999999999999E-3</v>
      </c>
      <c r="U113" s="231">
        <v>1055.0999999999999</v>
      </c>
      <c r="V113" s="231">
        <v>1054.5</v>
      </c>
      <c r="W113" s="228">
        <v>0.6</v>
      </c>
      <c r="X113" s="229">
        <v>5.9999999999999995E-4</v>
      </c>
      <c r="Y113" s="228">
        <v>1.7</v>
      </c>
      <c r="Z113" s="228">
        <v>0.3</v>
      </c>
      <c r="AA113" s="228">
        <v>1.4</v>
      </c>
      <c r="AB113" s="229">
        <v>1.6000000000000001E-3</v>
      </c>
      <c r="AC113" s="228">
        <v>1.7</v>
      </c>
      <c r="AD113" s="228">
        <v>0.3</v>
      </c>
      <c r="AE113" s="228">
        <v>1.4</v>
      </c>
      <c r="AF113" s="229">
        <v>1.6000000000000001E-3</v>
      </c>
      <c r="AG113" s="228">
        <v>8.1999999999999993</v>
      </c>
      <c r="AH113" s="228">
        <v>6.8</v>
      </c>
      <c r="AI113" s="228">
        <v>1.4</v>
      </c>
      <c r="AJ113" s="229">
        <v>7.7999999999999996E-3</v>
      </c>
      <c r="AK113" s="228">
        <v>8.3000000000000007</v>
      </c>
      <c r="AL113" s="228">
        <v>13.5</v>
      </c>
      <c r="AM113" s="228">
        <v>-5.2</v>
      </c>
      <c r="AN113" s="229">
        <v>7.9000000000000008E-3</v>
      </c>
      <c r="AO113" s="231">
        <v>1037.9100000000001</v>
      </c>
      <c r="AP113" s="231">
        <v>1042.8599999999999</v>
      </c>
      <c r="AQ113" s="228">
        <v>0</v>
      </c>
      <c r="AR113" s="230">
        <v>3466300</v>
      </c>
      <c r="AS113" s="230">
        <v>4738750</v>
      </c>
      <c r="AT113" s="230">
        <v>-1272450</v>
      </c>
      <c r="AU113" s="229">
        <v>-0.26850000000000002</v>
      </c>
      <c r="AV113" s="230">
        <v>2877250</v>
      </c>
      <c r="AW113" s="230">
        <v>4217700</v>
      </c>
      <c r="AX113" s="230">
        <v>-1340450</v>
      </c>
      <c r="AY113" s="229">
        <v>-0.31780000000000003</v>
      </c>
      <c r="AZ113" s="230">
        <v>532950</v>
      </c>
      <c r="BA113" s="230">
        <v>486200</v>
      </c>
      <c r="BB113" s="230">
        <v>46750</v>
      </c>
      <c r="BC113" s="229">
        <v>9.6199999999999994E-2</v>
      </c>
      <c r="BD113" s="230">
        <v>56100</v>
      </c>
      <c r="BE113" s="230">
        <v>34850</v>
      </c>
      <c r="BF113" s="230">
        <v>21250</v>
      </c>
      <c r="BG113" s="229">
        <v>0.60980000000000001</v>
      </c>
      <c r="BH113" s="230">
        <v>8511900</v>
      </c>
      <c r="BI113" s="230">
        <v>19291600</v>
      </c>
      <c r="BJ113" s="230">
        <v>-10779700</v>
      </c>
      <c r="BK113" s="229">
        <v>-0.55879999999999996</v>
      </c>
      <c r="BL113" s="230">
        <v>3035350</v>
      </c>
      <c r="BM113" s="230">
        <v>6805950</v>
      </c>
      <c r="BN113" s="230">
        <v>-3770600</v>
      </c>
      <c r="BO113" s="229">
        <v>-0.55400000000000005</v>
      </c>
      <c r="BP113" s="230">
        <v>15013550</v>
      </c>
      <c r="BQ113" s="230">
        <v>30836300</v>
      </c>
      <c r="BR113" s="230">
        <v>-15822750</v>
      </c>
      <c r="BS113" s="229">
        <v>-0.5131</v>
      </c>
      <c r="BT113" s="230">
        <v>1330495</v>
      </c>
      <c r="BU113" s="230">
        <v>1889275</v>
      </c>
      <c r="BV113" s="230">
        <v>-558780</v>
      </c>
      <c r="BW113" s="229">
        <v>-0.29580000000000001</v>
      </c>
      <c r="BX113" s="230">
        <v>20415300</v>
      </c>
      <c r="BY113" s="230">
        <v>20402550</v>
      </c>
      <c r="BZ113" s="230">
        <v>12750</v>
      </c>
      <c r="CA113" s="229">
        <v>5.9999999999999995E-4</v>
      </c>
      <c r="CB113" s="230">
        <v>18921000</v>
      </c>
      <c r="CC113" s="230">
        <v>19062950</v>
      </c>
      <c r="CD113" s="230">
        <v>-141950</v>
      </c>
      <c r="CE113" s="229">
        <v>-7.4000000000000003E-3</v>
      </c>
      <c r="CF113" s="230">
        <v>1394850</v>
      </c>
      <c r="CG113" s="230">
        <v>1256300</v>
      </c>
      <c r="CH113" s="230">
        <v>138550</v>
      </c>
      <c r="CI113" s="229">
        <v>0.1103</v>
      </c>
      <c r="CJ113" s="230">
        <v>99450</v>
      </c>
      <c r="CK113" s="230">
        <v>83300</v>
      </c>
      <c r="CL113" s="230">
        <v>16150</v>
      </c>
      <c r="CM113" s="229">
        <v>0.19389999999999999</v>
      </c>
      <c r="CN113" s="230">
        <v>8985350</v>
      </c>
      <c r="CO113" s="230">
        <v>8794100</v>
      </c>
      <c r="CP113" s="230">
        <v>191250</v>
      </c>
      <c r="CQ113" s="229">
        <v>2.1700000000000001E-2</v>
      </c>
      <c r="CR113" s="230">
        <v>4728550</v>
      </c>
      <c r="CS113" s="230">
        <v>4466750</v>
      </c>
      <c r="CT113" s="230">
        <v>261800</v>
      </c>
      <c r="CU113" s="229">
        <v>5.8599999999999999E-2</v>
      </c>
      <c r="CV113" s="230">
        <v>34129200</v>
      </c>
      <c r="CW113" s="230">
        <v>33663400</v>
      </c>
      <c r="CX113" s="230">
        <v>465800</v>
      </c>
      <c r="CY113" s="229">
        <v>1.38E-2</v>
      </c>
      <c r="CZ113" s="228">
        <v>36.44</v>
      </c>
      <c r="DA113" s="228">
        <v>36.47</v>
      </c>
      <c r="DB113" s="228">
        <v>-0.03</v>
      </c>
      <c r="DC113" s="228">
        <v>-0.03</v>
      </c>
      <c r="DD113" s="228">
        <v>38.24</v>
      </c>
      <c r="DE113" s="228">
        <v>38.33</v>
      </c>
      <c r="DF113" s="228">
        <v>-1.8</v>
      </c>
      <c r="DG113" s="228">
        <v>-0.09</v>
      </c>
      <c r="DH113" s="228">
        <v>35.65</v>
      </c>
      <c r="DI113" s="228">
        <v>36.22</v>
      </c>
      <c r="DJ113" s="228">
        <v>-0.56999999999999995</v>
      </c>
      <c r="DK113" s="228">
        <v>-0.56999999999999995</v>
      </c>
      <c r="DL113" s="228">
        <v>38.65</v>
      </c>
      <c r="DM113" s="228">
        <v>37.18</v>
      </c>
      <c r="DN113" s="228">
        <v>1.47</v>
      </c>
      <c r="DO113" s="228">
        <v>1.47</v>
      </c>
      <c r="DP113" s="228">
        <v>0.53</v>
      </c>
      <c r="DQ113" s="228">
        <v>0.51</v>
      </c>
      <c r="DR113" s="228">
        <v>0.02</v>
      </c>
      <c r="DS113" s="229">
        <v>3.9199999999999999E-2</v>
      </c>
      <c r="DT113" s="231">
        <v>1100</v>
      </c>
      <c r="DU113" s="231">
        <v>1000</v>
      </c>
      <c r="DV113" s="228">
        <v>0.36</v>
      </c>
      <c r="DW113" s="228">
        <v>0.35</v>
      </c>
      <c r="DX113" s="228">
        <v>0.01</v>
      </c>
      <c r="DY113" s="229">
        <v>2.86E-2</v>
      </c>
      <c r="DZ113" s="229">
        <v>7.3200000000000001E-2</v>
      </c>
      <c r="EA113" s="230">
        <v>1339600</v>
      </c>
      <c r="EB113" s="229">
        <v>6.1999999999999998E-3</v>
      </c>
      <c r="EC113" s="229">
        <v>7.3200000000000001E-2</v>
      </c>
      <c r="ED113" s="228">
        <v>4.95</v>
      </c>
      <c r="EE113" s="229">
        <v>4.7999999999999996E-3</v>
      </c>
      <c r="EF113" s="230">
        <v>497010</v>
      </c>
      <c r="EG113" s="230">
        <v>661143</v>
      </c>
      <c r="EH113" s="229">
        <v>-0.24829999999999999</v>
      </c>
      <c r="EI113" s="229">
        <v>0.37359999999999999</v>
      </c>
      <c r="EJ113" s="231">
        <v>93629.26</v>
      </c>
      <c r="EK113" s="231">
        <v>31156.240000000002</v>
      </c>
      <c r="EL113" s="231">
        <v>36011.47</v>
      </c>
      <c r="EM113" s="231">
        <v>4092</v>
      </c>
      <c r="EN113" s="231">
        <v>160796.97</v>
      </c>
      <c r="EO113" s="231">
        <v>335877.94</v>
      </c>
      <c r="EP113" s="231">
        <v>-175080.97</v>
      </c>
      <c r="EQ113" s="229">
        <v>-0.52129999999999999</v>
      </c>
      <c r="ER113" s="231">
        <v>98106</v>
      </c>
      <c r="ES113" s="231">
        <v>48363</v>
      </c>
      <c r="ET113" s="231">
        <v>214152</v>
      </c>
      <c r="EU113" s="231">
        <v>58629477</v>
      </c>
      <c r="EV113" s="231">
        <v>360620</v>
      </c>
      <c r="EW113" s="231">
        <v>354373</v>
      </c>
      <c r="EX113" s="231">
        <v>6247</v>
      </c>
      <c r="EY113" s="229">
        <v>1.7600000000000001E-2</v>
      </c>
      <c r="EZ113" s="229">
        <v>0.58209999999999995</v>
      </c>
      <c r="FA113" s="227" t="s">
        <v>555</v>
      </c>
      <c r="FB113" s="161">
        <f t="shared" si="1"/>
        <v>1494300</v>
      </c>
    </row>
    <row r="114" spans="1:158" ht="17.25" thickBot="1" x14ac:dyDescent="0.3">
      <c r="A114" s="226">
        <v>46093</v>
      </c>
      <c r="B114" s="227" t="s">
        <v>175</v>
      </c>
      <c r="C114" s="227" t="s">
        <v>248</v>
      </c>
      <c r="D114" s="228">
        <v>1000</v>
      </c>
      <c r="E114" s="228">
        <v>500.65</v>
      </c>
      <c r="F114" s="228">
        <v>506.25</v>
      </c>
      <c r="G114" s="228">
        <v>-5.6</v>
      </c>
      <c r="H114" s="229">
        <v>-1.11E-2</v>
      </c>
      <c r="I114" s="228">
        <v>498.5</v>
      </c>
      <c r="J114" s="228">
        <v>505.4</v>
      </c>
      <c r="K114" s="228">
        <v>-6.9</v>
      </c>
      <c r="L114" s="229">
        <v>-1.37E-2</v>
      </c>
      <c r="M114" s="228">
        <v>500.65</v>
      </c>
      <c r="N114" s="228">
        <v>506.25</v>
      </c>
      <c r="O114" s="228">
        <v>-5.6</v>
      </c>
      <c r="P114" s="229">
        <v>-1.11E-2</v>
      </c>
      <c r="Q114" s="228">
        <v>503.9</v>
      </c>
      <c r="R114" s="228">
        <v>508.8</v>
      </c>
      <c r="S114" s="228">
        <v>-4.9000000000000004</v>
      </c>
      <c r="T114" s="229">
        <v>-9.5999999999999992E-3</v>
      </c>
      <c r="U114" s="228">
        <v>507.5</v>
      </c>
      <c r="V114" s="228">
        <v>512.20000000000005</v>
      </c>
      <c r="W114" s="228">
        <v>-4.7</v>
      </c>
      <c r="X114" s="229">
        <v>-9.1999999999999998E-3</v>
      </c>
      <c r="Y114" s="228">
        <v>2.15</v>
      </c>
      <c r="Z114" s="228">
        <v>0.85</v>
      </c>
      <c r="AA114" s="228">
        <v>1.3</v>
      </c>
      <c r="AB114" s="229">
        <v>4.3E-3</v>
      </c>
      <c r="AC114" s="228">
        <v>2.15</v>
      </c>
      <c r="AD114" s="228">
        <v>0.85</v>
      </c>
      <c r="AE114" s="228">
        <v>1.3</v>
      </c>
      <c r="AF114" s="229">
        <v>4.3E-3</v>
      </c>
      <c r="AG114" s="228">
        <v>5.4</v>
      </c>
      <c r="AH114" s="228">
        <v>3.4</v>
      </c>
      <c r="AI114" s="228">
        <v>2</v>
      </c>
      <c r="AJ114" s="229">
        <v>1.0800000000000001E-2</v>
      </c>
      <c r="AK114" s="228">
        <v>9</v>
      </c>
      <c r="AL114" s="228">
        <v>6.8</v>
      </c>
      <c r="AM114" s="228">
        <v>2.2000000000000002</v>
      </c>
      <c r="AN114" s="229">
        <v>1.8100000000000002E-2</v>
      </c>
      <c r="AO114" s="228">
        <v>501.81</v>
      </c>
      <c r="AP114" s="228">
        <v>505.54</v>
      </c>
      <c r="AQ114" s="228">
        <v>0</v>
      </c>
      <c r="AR114" s="230">
        <v>2851000</v>
      </c>
      <c r="AS114" s="230">
        <v>2190000</v>
      </c>
      <c r="AT114" s="230">
        <v>661000</v>
      </c>
      <c r="AU114" s="229">
        <v>0.30180000000000001</v>
      </c>
      <c r="AV114" s="230">
        <v>2339000</v>
      </c>
      <c r="AW114" s="230">
        <v>1877000</v>
      </c>
      <c r="AX114" s="230">
        <v>462000</v>
      </c>
      <c r="AY114" s="229">
        <v>0.24610000000000001</v>
      </c>
      <c r="AZ114" s="230">
        <v>480000</v>
      </c>
      <c r="BA114" s="230">
        <v>214000</v>
      </c>
      <c r="BB114" s="230">
        <v>266000</v>
      </c>
      <c r="BC114" s="229">
        <v>1.2430000000000001</v>
      </c>
      <c r="BD114" s="230">
        <v>32000</v>
      </c>
      <c r="BE114" s="230">
        <v>99000</v>
      </c>
      <c r="BF114" s="230">
        <v>-67000</v>
      </c>
      <c r="BG114" s="229">
        <v>-0.67679999999999996</v>
      </c>
      <c r="BH114" s="230">
        <v>4213000</v>
      </c>
      <c r="BI114" s="230">
        <v>4095000</v>
      </c>
      <c r="BJ114" s="230">
        <v>118000</v>
      </c>
      <c r="BK114" s="229">
        <v>2.8799999999999999E-2</v>
      </c>
      <c r="BL114" s="230">
        <v>3421000</v>
      </c>
      <c r="BM114" s="230">
        <v>3883000</v>
      </c>
      <c r="BN114" s="230">
        <v>-462000</v>
      </c>
      <c r="BO114" s="229">
        <v>-0.11899999999999999</v>
      </c>
      <c r="BP114" s="230">
        <v>10485000</v>
      </c>
      <c r="BQ114" s="230">
        <v>10168000</v>
      </c>
      <c r="BR114" s="230">
        <v>317000</v>
      </c>
      <c r="BS114" s="229">
        <v>3.1199999999999999E-2</v>
      </c>
      <c r="BT114" s="230">
        <v>2570209</v>
      </c>
      <c r="BU114" s="230">
        <v>1278044</v>
      </c>
      <c r="BV114" s="230">
        <v>1292165</v>
      </c>
      <c r="BW114" s="229">
        <v>1.0109999999999999</v>
      </c>
      <c r="BX114" s="230">
        <v>33497000</v>
      </c>
      <c r="BY114" s="230">
        <v>32672000</v>
      </c>
      <c r="BZ114" s="230">
        <v>825000</v>
      </c>
      <c r="CA114" s="229">
        <v>2.53E-2</v>
      </c>
      <c r="CB114" s="230">
        <v>27774000</v>
      </c>
      <c r="CC114" s="230">
        <v>27135000</v>
      </c>
      <c r="CD114" s="230">
        <v>639000</v>
      </c>
      <c r="CE114" s="229">
        <v>2.35E-2</v>
      </c>
      <c r="CF114" s="230">
        <v>5615000</v>
      </c>
      <c r="CG114" s="230">
        <v>5427000</v>
      </c>
      <c r="CH114" s="230">
        <v>188000</v>
      </c>
      <c r="CI114" s="229">
        <v>3.4599999999999999E-2</v>
      </c>
      <c r="CJ114" s="230">
        <v>108000</v>
      </c>
      <c r="CK114" s="230">
        <v>110000</v>
      </c>
      <c r="CL114" s="230">
        <v>-2000</v>
      </c>
      <c r="CM114" s="229">
        <v>-1.8200000000000001E-2</v>
      </c>
      <c r="CN114" s="230">
        <v>6764000</v>
      </c>
      <c r="CO114" s="230">
        <v>6662000</v>
      </c>
      <c r="CP114" s="230">
        <v>102000</v>
      </c>
      <c r="CQ114" s="229">
        <v>1.5299999999999999E-2</v>
      </c>
      <c r="CR114" s="230">
        <v>6567000</v>
      </c>
      <c r="CS114" s="230">
        <v>6046000</v>
      </c>
      <c r="CT114" s="230">
        <v>521000</v>
      </c>
      <c r="CU114" s="229">
        <v>8.6199999999999999E-2</v>
      </c>
      <c r="CV114" s="230">
        <v>46828000</v>
      </c>
      <c r="CW114" s="230">
        <v>45380000</v>
      </c>
      <c r="CX114" s="230">
        <v>1448000</v>
      </c>
      <c r="CY114" s="229">
        <v>3.1899999999999998E-2</v>
      </c>
      <c r="CZ114" s="228">
        <v>33.17</v>
      </c>
      <c r="DA114" s="228">
        <v>31.11</v>
      </c>
      <c r="DB114" s="228">
        <v>2.06</v>
      </c>
      <c r="DC114" s="228">
        <v>2.06</v>
      </c>
      <c r="DD114" s="228">
        <v>31.8</v>
      </c>
      <c r="DE114" s="228">
        <v>31.85</v>
      </c>
      <c r="DF114" s="228">
        <v>1.37</v>
      </c>
      <c r="DG114" s="228">
        <v>-0.05</v>
      </c>
      <c r="DH114" s="228">
        <v>30.92</v>
      </c>
      <c r="DI114" s="228">
        <v>30.35</v>
      </c>
      <c r="DJ114" s="228">
        <v>0.56999999999999995</v>
      </c>
      <c r="DK114" s="228">
        <v>0.56999999999999995</v>
      </c>
      <c r="DL114" s="228">
        <v>35.93</v>
      </c>
      <c r="DM114" s="228">
        <v>31.9</v>
      </c>
      <c r="DN114" s="228">
        <v>4.03</v>
      </c>
      <c r="DO114" s="228">
        <v>4.03</v>
      </c>
      <c r="DP114" s="228">
        <v>0.97</v>
      </c>
      <c r="DQ114" s="228">
        <v>0.91</v>
      </c>
      <c r="DR114" s="228">
        <v>0.06</v>
      </c>
      <c r="DS114" s="229">
        <v>6.59E-2</v>
      </c>
      <c r="DT114" s="228">
        <v>550</v>
      </c>
      <c r="DU114" s="228">
        <v>550</v>
      </c>
      <c r="DV114" s="228">
        <v>0.81</v>
      </c>
      <c r="DW114" s="228">
        <v>0.95</v>
      </c>
      <c r="DX114" s="228">
        <v>-0.14000000000000001</v>
      </c>
      <c r="DY114" s="229">
        <v>-0.1474</v>
      </c>
      <c r="DZ114" s="229">
        <v>0.1709</v>
      </c>
      <c r="EA114" s="230">
        <v>5537000</v>
      </c>
      <c r="EB114" s="229">
        <v>6.4999999999999997E-3</v>
      </c>
      <c r="EC114" s="229">
        <v>0.1709</v>
      </c>
      <c r="ED114" s="228">
        <v>3.73</v>
      </c>
      <c r="EE114" s="229">
        <v>7.4000000000000003E-3</v>
      </c>
      <c r="EF114" s="230">
        <v>1628082</v>
      </c>
      <c r="EG114" s="230">
        <v>672053</v>
      </c>
      <c r="EH114" s="229">
        <v>1.4226000000000001</v>
      </c>
      <c r="EI114" s="229">
        <v>0.63339999999999996</v>
      </c>
      <c r="EJ114" s="231">
        <v>22352.21</v>
      </c>
      <c r="EK114" s="231">
        <v>16722.84</v>
      </c>
      <c r="EL114" s="231">
        <v>14326.4</v>
      </c>
      <c r="EM114" s="231">
        <v>4625</v>
      </c>
      <c r="EN114" s="231">
        <v>53401.45</v>
      </c>
      <c r="EO114" s="231">
        <v>53210.59</v>
      </c>
      <c r="EP114" s="228">
        <v>190.86</v>
      </c>
      <c r="EQ114" s="229">
        <v>3.5999999999999999E-3</v>
      </c>
      <c r="ER114" s="231">
        <v>36731</v>
      </c>
      <c r="ES114" s="231">
        <v>34093</v>
      </c>
      <c r="ET114" s="231">
        <v>167893</v>
      </c>
      <c r="EU114" s="231">
        <v>45183075</v>
      </c>
      <c r="EV114" s="231">
        <v>238716</v>
      </c>
      <c r="EW114" s="231">
        <v>233608</v>
      </c>
      <c r="EX114" s="231">
        <v>5108</v>
      </c>
      <c r="EY114" s="229">
        <v>2.1899999999999999E-2</v>
      </c>
      <c r="EZ114" s="229">
        <v>1.0364</v>
      </c>
      <c r="FA114" s="227" t="s">
        <v>567</v>
      </c>
      <c r="FB114" s="161">
        <f t="shared" si="1"/>
        <v>5723000</v>
      </c>
    </row>
    <row r="115" spans="1:158" ht="17.25" thickBot="1" x14ac:dyDescent="0.3">
      <c r="A115" s="226">
        <v>46093</v>
      </c>
      <c r="B115" s="227" t="s">
        <v>175</v>
      </c>
      <c r="C115" s="227" t="s">
        <v>607</v>
      </c>
      <c r="D115" s="228">
        <v>700</v>
      </c>
      <c r="E115" s="228">
        <v>798.2</v>
      </c>
      <c r="F115" s="228">
        <v>801.5</v>
      </c>
      <c r="G115" s="228">
        <v>-3.3</v>
      </c>
      <c r="H115" s="229">
        <v>-4.1000000000000003E-3</v>
      </c>
      <c r="I115" s="228">
        <v>796.65</v>
      </c>
      <c r="J115" s="228">
        <v>802.4</v>
      </c>
      <c r="K115" s="228">
        <v>-5.75</v>
      </c>
      <c r="L115" s="229">
        <v>-7.1999999999999998E-3</v>
      </c>
      <c r="M115" s="228">
        <v>798.2</v>
      </c>
      <c r="N115" s="228">
        <v>801.5</v>
      </c>
      <c r="O115" s="228">
        <v>-3.3</v>
      </c>
      <c r="P115" s="229">
        <v>-4.1000000000000003E-3</v>
      </c>
      <c r="Q115" s="228">
        <v>802.5</v>
      </c>
      <c r="R115" s="228">
        <v>806.6</v>
      </c>
      <c r="S115" s="228">
        <v>-4.0999999999999996</v>
      </c>
      <c r="T115" s="229">
        <v>-5.1000000000000004E-3</v>
      </c>
      <c r="U115" s="228">
        <v>808.75</v>
      </c>
      <c r="V115" s="228">
        <v>811.05</v>
      </c>
      <c r="W115" s="228">
        <v>-2.2999999999999998</v>
      </c>
      <c r="X115" s="229">
        <v>-2.8E-3</v>
      </c>
      <c r="Y115" s="228">
        <v>1.55</v>
      </c>
      <c r="Z115" s="228">
        <v>-0.9</v>
      </c>
      <c r="AA115" s="228">
        <v>2.4500000000000002</v>
      </c>
      <c r="AB115" s="229">
        <v>1.9E-3</v>
      </c>
      <c r="AC115" s="228">
        <v>1.55</v>
      </c>
      <c r="AD115" s="228">
        <v>-0.9</v>
      </c>
      <c r="AE115" s="228">
        <v>2.4500000000000002</v>
      </c>
      <c r="AF115" s="229">
        <v>1.9E-3</v>
      </c>
      <c r="AG115" s="228">
        <v>5.85</v>
      </c>
      <c r="AH115" s="228">
        <v>4.2</v>
      </c>
      <c r="AI115" s="228">
        <v>1.65</v>
      </c>
      <c r="AJ115" s="229">
        <v>7.3000000000000001E-3</v>
      </c>
      <c r="AK115" s="228">
        <v>12.1</v>
      </c>
      <c r="AL115" s="228">
        <v>8.65</v>
      </c>
      <c r="AM115" s="228">
        <v>3.45</v>
      </c>
      <c r="AN115" s="229">
        <v>1.52E-2</v>
      </c>
      <c r="AO115" s="228">
        <v>798.91</v>
      </c>
      <c r="AP115" s="228">
        <v>802.99</v>
      </c>
      <c r="AQ115" s="228">
        <v>0</v>
      </c>
      <c r="AR115" s="230">
        <v>1206800</v>
      </c>
      <c r="AS115" s="230">
        <v>1518300</v>
      </c>
      <c r="AT115" s="230">
        <v>-311500</v>
      </c>
      <c r="AU115" s="229">
        <v>-0.20519999999999999</v>
      </c>
      <c r="AV115" s="230">
        <v>1035300</v>
      </c>
      <c r="AW115" s="230">
        <v>1304100</v>
      </c>
      <c r="AX115" s="230">
        <v>-268800</v>
      </c>
      <c r="AY115" s="229">
        <v>-0.20610000000000001</v>
      </c>
      <c r="AZ115" s="230">
        <v>153300</v>
      </c>
      <c r="BA115" s="230">
        <v>205100</v>
      </c>
      <c r="BB115" s="230">
        <v>-51800</v>
      </c>
      <c r="BC115" s="229">
        <v>-0.25259999999999999</v>
      </c>
      <c r="BD115" s="230">
        <v>18200</v>
      </c>
      <c r="BE115" s="230">
        <v>9100</v>
      </c>
      <c r="BF115" s="230">
        <v>9100</v>
      </c>
      <c r="BG115" s="229">
        <v>1</v>
      </c>
      <c r="BH115" s="230">
        <v>2222500</v>
      </c>
      <c r="BI115" s="230">
        <v>1749300</v>
      </c>
      <c r="BJ115" s="230">
        <v>473200</v>
      </c>
      <c r="BK115" s="229">
        <v>0.27050000000000002</v>
      </c>
      <c r="BL115" s="230">
        <v>1138900</v>
      </c>
      <c r="BM115" s="230">
        <v>1001700</v>
      </c>
      <c r="BN115" s="230">
        <v>137200</v>
      </c>
      <c r="BO115" s="229">
        <v>0.13700000000000001</v>
      </c>
      <c r="BP115" s="230">
        <v>4568200</v>
      </c>
      <c r="BQ115" s="230">
        <v>4269300</v>
      </c>
      <c r="BR115" s="230">
        <v>298900</v>
      </c>
      <c r="BS115" s="229">
        <v>7.0000000000000007E-2</v>
      </c>
      <c r="BT115" s="230">
        <v>831253</v>
      </c>
      <c r="BU115" s="230">
        <v>752586</v>
      </c>
      <c r="BV115" s="230">
        <v>78667</v>
      </c>
      <c r="BW115" s="229">
        <v>0.1045</v>
      </c>
      <c r="BX115" s="230">
        <v>9986200</v>
      </c>
      <c r="BY115" s="230">
        <v>9851800</v>
      </c>
      <c r="BZ115" s="230">
        <v>134400</v>
      </c>
      <c r="CA115" s="229">
        <v>1.3599999999999999E-2</v>
      </c>
      <c r="CB115" s="230">
        <v>8857100</v>
      </c>
      <c r="CC115" s="230">
        <v>8766100</v>
      </c>
      <c r="CD115" s="230">
        <v>91000</v>
      </c>
      <c r="CE115" s="229">
        <v>1.04E-2</v>
      </c>
      <c r="CF115" s="230">
        <v>1064000</v>
      </c>
      <c r="CG115" s="230">
        <v>1026200</v>
      </c>
      <c r="CH115" s="230">
        <v>37800</v>
      </c>
      <c r="CI115" s="229">
        <v>3.6799999999999999E-2</v>
      </c>
      <c r="CJ115" s="230">
        <v>65100</v>
      </c>
      <c r="CK115" s="230">
        <v>59500</v>
      </c>
      <c r="CL115" s="230">
        <v>5600</v>
      </c>
      <c r="CM115" s="229">
        <v>9.4100000000000003E-2</v>
      </c>
      <c r="CN115" s="230">
        <v>6154400</v>
      </c>
      <c r="CO115" s="230">
        <v>5891900</v>
      </c>
      <c r="CP115" s="230">
        <v>262500</v>
      </c>
      <c r="CQ115" s="229">
        <v>4.4600000000000001E-2</v>
      </c>
      <c r="CR115" s="230">
        <v>3001600</v>
      </c>
      <c r="CS115" s="230">
        <v>2851100</v>
      </c>
      <c r="CT115" s="230">
        <v>150500</v>
      </c>
      <c r="CU115" s="229">
        <v>5.28E-2</v>
      </c>
      <c r="CV115" s="230">
        <v>19142200</v>
      </c>
      <c r="CW115" s="230">
        <v>18594800</v>
      </c>
      <c r="CX115" s="230">
        <v>547400</v>
      </c>
      <c r="CY115" s="229">
        <v>2.9399999999999999E-2</v>
      </c>
      <c r="CZ115" s="228">
        <v>26.68</v>
      </c>
      <c r="DA115" s="228">
        <v>26.98</v>
      </c>
      <c r="DB115" s="228">
        <v>-0.3</v>
      </c>
      <c r="DC115" s="228">
        <v>-0.3</v>
      </c>
      <c r="DD115" s="228">
        <v>30.48</v>
      </c>
      <c r="DE115" s="228">
        <v>30.56</v>
      </c>
      <c r="DF115" s="228">
        <v>-3.8</v>
      </c>
      <c r="DG115" s="228">
        <v>-0.08</v>
      </c>
      <c r="DH115" s="228">
        <v>26.87</v>
      </c>
      <c r="DI115" s="228">
        <v>27.55</v>
      </c>
      <c r="DJ115" s="228">
        <v>-0.68</v>
      </c>
      <c r="DK115" s="228">
        <v>-0.68</v>
      </c>
      <c r="DL115" s="228">
        <v>26.29</v>
      </c>
      <c r="DM115" s="228">
        <v>25.98</v>
      </c>
      <c r="DN115" s="228">
        <v>0.31</v>
      </c>
      <c r="DO115" s="228">
        <v>0.31</v>
      </c>
      <c r="DP115" s="228">
        <v>0.49</v>
      </c>
      <c r="DQ115" s="228">
        <v>0.48</v>
      </c>
      <c r="DR115" s="228">
        <v>0.01</v>
      </c>
      <c r="DS115" s="229">
        <v>2.0799999999999999E-2</v>
      </c>
      <c r="DT115" s="228">
        <v>900</v>
      </c>
      <c r="DU115" s="228">
        <v>800</v>
      </c>
      <c r="DV115" s="228">
        <v>0.51</v>
      </c>
      <c r="DW115" s="228">
        <v>0.56999999999999995</v>
      </c>
      <c r="DX115" s="228">
        <v>-0.06</v>
      </c>
      <c r="DY115" s="229">
        <v>-0.1053</v>
      </c>
      <c r="DZ115" s="229">
        <v>0.11310000000000001</v>
      </c>
      <c r="EA115" s="230">
        <v>1085700</v>
      </c>
      <c r="EB115" s="229">
        <v>5.4000000000000003E-3</v>
      </c>
      <c r="EC115" s="229">
        <v>0.11310000000000001</v>
      </c>
      <c r="ED115" s="228">
        <v>4.08</v>
      </c>
      <c r="EE115" s="229">
        <v>5.1000000000000004E-3</v>
      </c>
      <c r="EF115" s="230">
        <v>345130</v>
      </c>
      <c r="EG115" s="230">
        <v>393045</v>
      </c>
      <c r="EH115" s="229">
        <v>-0.12189999999999999</v>
      </c>
      <c r="EI115" s="229">
        <v>0.41520000000000001</v>
      </c>
      <c r="EJ115" s="231">
        <v>18926.16</v>
      </c>
      <c r="EK115" s="231">
        <v>9164.4</v>
      </c>
      <c r="EL115" s="231">
        <v>9649.11</v>
      </c>
      <c r="EM115" s="231">
        <v>2245</v>
      </c>
      <c r="EN115" s="231">
        <v>37739.67</v>
      </c>
      <c r="EO115" s="231">
        <v>35597.96</v>
      </c>
      <c r="EP115" s="231">
        <v>2141.71</v>
      </c>
      <c r="EQ115" s="229">
        <v>6.0199999999999997E-2</v>
      </c>
      <c r="ER115" s="231">
        <v>55324</v>
      </c>
      <c r="ES115" s="231">
        <v>24681</v>
      </c>
      <c r="ET115" s="231">
        <v>79762</v>
      </c>
      <c r="EU115" s="231">
        <v>33206238</v>
      </c>
      <c r="EV115" s="231">
        <v>159768</v>
      </c>
      <c r="EW115" s="231">
        <v>155708</v>
      </c>
      <c r="EX115" s="231">
        <v>4060</v>
      </c>
      <c r="EY115" s="229">
        <v>2.6100000000000002E-2</v>
      </c>
      <c r="EZ115" s="229">
        <v>0.57650000000000001</v>
      </c>
      <c r="FA115" s="227" t="s">
        <v>567</v>
      </c>
      <c r="FB115" s="161">
        <f t="shared" si="1"/>
        <v>1129100</v>
      </c>
    </row>
    <row r="116" spans="1:158" ht="17.25" thickBot="1" x14ac:dyDescent="0.3">
      <c r="A116" s="226">
        <v>46093</v>
      </c>
      <c r="B116" s="227" t="s">
        <v>206</v>
      </c>
      <c r="C116" s="227" t="s">
        <v>588</v>
      </c>
      <c r="D116" s="228">
        <v>450</v>
      </c>
      <c r="E116" s="228">
        <v>871.3</v>
      </c>
      <c r="F116" s="228">
        <v>881.35</v>
      </c>
      <c r="G116" s="228">
        <v>-10.050000000000001</v>
      </c>
      <c r="H116" s="229">
        <v>-1.14E-2</v>
      </c>
      <c r="I116" s="228">
        <v>869.05</v>
      </c>
      <c r="J116" s="228">
        <v>880.4</v>
      </c>
      <c r="K116" s="228">
        <v>-11.35</v>
      </c>
      <c r="L116" s="229">
        <v>-1.29E-2</v>
      </c>
      <c r="M116" s="228">
        <v>871.3</v>
      </c>
      <c r="N116" s="228">
        <v>881.35</v>
      </c>
      <c r="O116" s="228">
        <v>-10.050000000000001</v>
      </c>
      <c r="P116" s="229">
        <v>-1.14E-2</v>
      </c>
      <c r="Q116" s="228">
        <v>876.2</v>
      </c>
      <c r="R116" s="228">
        <v>888.55</v>
      </c>
      <c r="S116" s="228">
        <v>-12.35</v>
      </c>
      <c r="T116" s="229">
        <v>-1.3899999999999999E-2</v>
      </c>
      <c r="U116" s="228">
        <v>879.55</v>
      </c>
      <c r="V116" s="228">
        <v>895</v>
      </c>
      <c r="W116" s="228">
        <v>-15.45</v>
      </c>
      <c r="X116" s="229">
        <v>-1.7299999999999999E-2</v>
      </c>
      <c r="Y116" s="228">
        <v>2.25</v>
      </c>
      <c r="Z116" s="228">
        <v>0.95</v>
      </c>
      <c r="AA116" s="228">
        <v>1.3</v>
      </c>
      <c r="AB116" s="229">
        <v>2.5999999999999999E-3</v>
      </c>
      <c r="AC116" s="228">
        <v>2.25</v>
      </c>
      <c r="AD116" s="228">
        <v>0.95</v>
      </c>
      <c r="AE116" s="228">
        <v>1.3</v>
      </c>
      <c r="AF116" s="229">
        <v>2.5999999999999999E-3</v>
      </c>
      <c r="AG116" s="228">
        <v>7.15</v>
      </c>
      <c r="AH116" s="228">
        <v>8.15</v>
      </c>
      <c r="AI116" s="228">
        <v>-1</v>
      </c>
      <c r="AJ116" s="229">
        <v>8.2000000000000007E-3</v>
      </c>
      <c r="AK116" s="228">
        <v>10.5</v>
      </c>
      <c r="AL116" s="228">
        <v>14.6</v>
      </c>
      <c r="AM116" s="228">
        <v>-4.0999999999999996</v>
      </c>
      <c r="AN116" s="229">
        <v>1.21E-2</v>
      </c>
      <c r="AO116" s="228">
        <v>874.85</v>
      </c>
      <c r="AP116" s="228">
        <v>880.57</v>
      </c>
      <c r="AQ116" s="228">
        <v>0</v>
      </c>
      <c r="AR116" s="230">
        <v>846900</v>
      </c>
      <c r="AS116" s="230">
        <v>1010700</v>
      </c>
      <c r="AT116" s="230">
        <v>-163800</v>
      </c>
      <c r="AU116" s="229">
        <v>-0.16209999999999999</v>
      </c>
      <c r="AV116" s="230">
        <v>774900</v>
      </c>
      <c r="AW116" s="230">
        <v>957150</v>
      </c>
      <c r="AX116" s="230">
        <v>-182250</v>
      </c>
      <c r="AY116" s="229">
        <v>-0.19040000000000001</v>
      </c>
      <c r="AZ116" s="230">
        <v>71550</v>
      </c>
      <c r="BA116" s="230">
        <v>48150</v>
      </c>
      <c r="BB116" s="230">
        <v>23400</v>
      </c>
      <c r="BC116" s="229">
        <v>0.48599999999999999</v>
      </c>
      <c r="BD116" s="228">
        <v>450</v>
      </c>
      <c r="BE116" s="230">
        <v>5400</v>
      </c>
      <c r="BF116" s="230">
        <v>-4950</v>
      </c>
      <c r="BG116" s="229">
        <v>-0.91669999999999996</v>
      </c>
      <c r="BH116" s="230">
        <v>1681200</v>
      </c>
      <c r="BI116" s="230">
        <v>1863000</v>
      </c>
      <c r="BJ116" s="230">
        <v>-181800</v>
      </c>
      <c r="BK116" s="229">
        <v>-9.7600000000000006E-2</v>
      </c>
      <c r="BL116" s="230">
        <v>919800</v>
      </c>
      <c r="BM116" s="230">
        <v>861300</v>
      </c>
      <c r="BN116" s="230">
        <v>58500</v>
      </c>
      <c r="BO116" s="229">
        <v>6.7900000000000002E-2</v>
      </c>
      <c r="BP116" s="230">
        <v>3447900</v>
      </c>
      <c r="BQ116" s="230">
        <v>3735000</v>
      </c>
      <c r="BR116" s="230">
        <v>-287100</v>
      </c>
      <c r="BS116" s="229">
        <v>-7.6899999999999996E-2</v>
      </c>
      <c r="BT116" s="230">
        <v>744898</v>
      </c>
      <c r="BU116" s="230">
        <v>699913</v>
      </c>
      <c r="BV116" s="230">
        <v>44985</v>
      </c>
      <c r="BW116" s="229">
        <v>6.4299999999999996E-2</v>
      </c>
      <c r="BX116" s="230">
        <v>9796050</v>
      </c>
      <c r="BY116" s="230">
        <v>9715050</v>
      </c>
      <c r="BZ116" s="230">
        <v>81000</v>
      </c>
      <c r="CA116" s="229">
        <v>8.3000000000000001E-3</v>
      </c>
      <c r="CB116" s="230">
        <v>9519750</v>
      </c>
      <c r="CC116" s="230">
        <v>9447750</v>
      </c>
      <c r="CD116" s="230">
        <v>72000</v>
      </c>
      <c r="CE116" s="229">
        <v>7.6E-3</v>
      </c>
      <c r="CF116" s="230">
        <v>240300</v>
      </c>
      <c r="CG116" s="230">
        <v>231300</v>
      </c>
      <c r="CH116" s="230">
        <v>9000</v>
      </c>
      <c r="CI116" s="229">
        <v>3.8899999999999997E-2</v>
      </c>
      <c r="CJ116" s="230">
        <v>36000</v>
      </c>
      <c r="CK116" s="230">
        <v>36000</v>
      </c>
      <c r="CL116" s="228">
        <v>0</v>
      </c>
      <c r="CM116" s="229">
        <v>0</v>
      </c>
      <c r="CN116" s="230">
        <v>2853450</v>
      </c>
      <c r="CO116" s="230">
        <v>2510550</v>
      </c>
      <c r="CP116" s="230">
        <v>342900</v>
      </c>
      <c r="CQ116" s="229">
        <v>0.1366</v>
      </c>
      <c r="CR116" s="230">
        <v>2539800</v>
      </c>
      <c r="CS116" s="230">
        <v>2390400</v>
      </c>
      <c r="CT116" s="230">
        <v>149400</v>
      </c>
      <c r="CU116" s="229">
        <v>6.25E-2</v>
      </c>
      <c r="CV116" s="230">
        <v>15189300</v>
      </c>
      <c r="CW116" s="230">
        <v>14616000</v>
      </c>
      <c r="CX116" s="230">
        <v>573300</v>
      </c>
      <c r="CY116" s="229">
        <v>3.9199999999999999E-2</v>
      </c>
      <c r="CZ116" s="228">
        <v>43.15</v>
      </c>
      <c r="DA116" s="228">
        <v>44.48</v>
      </c>
      <c r="DB116" s="228">
        <v>-1.33</v>
      </c>
      <c r="DC116" s="228">
        <v>-1.33</v>
      </c>
      <c r="DD116" s="228">
        <v>44.97</v>
      </c>
      <c r="DE116" s="228">
        <v>45.05</v>
      </c>
      <c r="DF116" s="228">
        <v>-1.82</v>
      </c>
      <c r="DG116" s="228">
        <v>-0.08</v>
      </c>
      <c r="DH116" s="228">
        <v>42.12</v>
      </c>
      <c r="DI116" s="228">
        <v>43.59</v>
      </c>
      <c r="DJ116" s="228">
        <v>-1.47</v>
      </c>
      <c r="DK116" s="228">
        <v>-1.47</v>
      </c>
      <c r="DL116" s="228">
        <v>45.03</v>
      </c>
      <c r="DM116" s="228">
        <v>46.41</v>
      </c>
      <c r="DN116" s="228">
        <v>-1.38</v>
      </c>
      <c r="DO116" s="228">
        <v>-1.38</v>
      </c>
      <c r="DP116" s="228">
        <v>0.89</v>
      </c>
      <c r="DQ116" s="228">
        <v>0.95</v>
      </c>
      <c r="DR116" s="228">
        <v>-0.06</v>
      </c>
      <c r="DS116" s="229">
        <v>-6.3200000000000006E-2</v>
      </c>
      <c r="DT116" s="231">
        <v>1000</v>
      </c>
      <c r="DU116" s="228">
        <v>870</v>
      </c>
      <c r="DV116" s="228">
        <v>0.55000000000000004</v>
      </c>
      <c r="DW116" s="228">
        <v>0.46</v>
      </c>
      <c r="DX116" s="228">
        <v>0.09</v>
      </c>
      <c r="DY116" s="229">
        <v>0.19570000000000001</v>
      </c>
      <c r="DZ116" s="229">
        <v>2.8199999999999999E-2</v>
      </c>
      <c r="EA116" s="230">
        <v>267300</v>
      </c>
      <c r="EB116" s="229">
        <v>5.5999999999999999E-3</v>
      </c>
      <c r="EC116" s="229">
        <v>2.8199999999999999E-2</v>
      </c>
      <c r="ED116" s="228">
        <v>5.72</v>
      </c>
      <c r="EE116" s="229">
        <v>6.4999999999999997E-3</v>
      </c>
      <c r="EF116" s="230">
        <v>351783</v>
      </c>
      <c r="EG116" s="230">
        <v>271006</v>
      </c>
      <c r="EH116" s="229">
        <v>0.29809999999999998</v>
      </c>
      <c r="EI116" s="229">
        <v>0.4723</v>
      </c>
      <c r="EJ116" s="231">
        <v>16036.59</v>
      </c>
      <c r="EK116" s="231">
        <v>8219.1</v>
      </c>
      <c r="EL116" s="231">
        <v>7413.2</v>
      </c>
      <c r="EM116" s="231">
        <v>3300</v>
      </c>
      <c r="EN116" s="231">
        <v>31668.89</v>
      </c>
      <c r="EO116" s="231">
        <v>34659.760000000002</v>
      </c>
      <c r="EP116" s="231">
        <v>-2990.87</v>
      </c>
      <c r="EQ116" s="229">
        <v>-8.6300000000000002E-2</v>
      </c>
      <c r="ER116" s="231">
        <v>28467</v>
      </c>
      <c r="ES116" s="231">
        <v>23626</v>
      </c>
      <c r="ET116" s="231">
        <v>85368</v>
      </c>
      <c r="EU116" s="231">
        <v>42126960</v>
      </c>
      <c r="EV116" s="231">
        <v>137461</v>
      </c>
      <c r="EW116" s="231">
        <v>133291</v>
      </c>
      <c r="EX116" s="231">
        <v>4170</v>
      </c>
      <c r="EY116" s="229">
        <v>3.1300000000000001E-2</v>
      </c>
      <c r="EZ116" s="229">
        <v>0.36059999999999998</v>
      </c>
      <c r="FA116" s="227" t="s">
        <v>567</v>
      </c>
      <c r="FB116" s="161">
        <f t="shared" si="1"/>
        <v>276300</v>
      </c>
    </row>
    <row r="117" spans="1:158" ht="17.25" thickBot="1" x14ac:dyDescent="0.3">
      <c r="A117" s="226">
        <v>46093</v>
      </c>
      <c r="B117" s="227" t="s">
        <v>184</v>
      </c>
      <c r="C117" s="227" t="s">
        <v>249</v>
      </c>
      <c r="D117" s="228">
        <v>175</v>
      </c>
      <c r="E117" s="231">
        <v>3730.9</v>
      </c>
      <c r="F117" s="231">
        <v>3843.2</v>
      </c>
      <c r="G117" s="228">
        <v>-112.3</v>
      </c>
      <c r="H117" s="229">
        <v>-2.92E-2</v>
      </c>
      <c r="I117" s="231">
        <v>3719.5</v>
      </c>
      <c r="J117" s="231">
        <v>3838.8</v>
      </c>
      <c r="K117" s="228">
        <v>-119.3</v>
      </c>
      <c r="L117" s="229">
        <v>-3.1099999999999999E-2</v>
      </c>
      <c r="M117" s="231">
        <v>3730.9</v>
      </c>
      <c r="N117" s="231">
        <v>3843.2</v>
      </c>
      <c r="O117" s="228">
        <v>-112.3</v>
      </c>
      <c r="P117" s="229">
        <v>-2.92E-2</v>
      </c>
      <c r="Q117" s="231">
        <v>3754.8</v>
      </c>
      <c r="R117" s="231">
        <v>3868.8</v>
      </c>
      <c r="S117" s="228">
        <v>-114</v>
      </c>
      <c r="T117" s="229">
        <v>-2.9499999999999998E-2</v>
      </c>
      <c r="U117" s="231">
        <v>3775.4</v>
      </c>
      <c r="V117" s="231">
        <v>3890</v>
      </c>
      <c r="W117" s="228">
        <v>-114.6</v>
      </c>
      <c r="X117" s="229">
        <v>-2.9499999999999998E-2</v>
      </c>
      <c r="Y117" s="228">
        <v>11.4</v>
      </c>
      <c r="Z117" s="228">
        <v>4.4000000000000004</v>
      </c>
      <c r="AA117" s="228">
        <v>7</v>
      </c>
      <c r="AB117" s="229">
        <v>3.0999999999999999E-3</v>
      </c>
      <c r="AC117" s="228">
        <v>11.4</v>
      </c>
      <c r="AD117" s="228">
        <v>4.4000000000000004</v>
      </c>
      <c r="AE117" s="228">
        <v>7</v>
      </c>
      <c r="AF117" s="229">
        <v>3.0999999999999999E-3</v>
      </c>
      <c r="AG117" s="228">
        <v>35.299999999999997</v>
      </c>
      <c r="AH117" s="228">
        <v>30</v>
      </c>
      <c r="AI117" s="228">
        <v>5.3</v>
      </c>
      <c r="AJ117" s="229">
        <v>9.4999999999999998E-3</v>
      </c>
      <c r="AK117" s="228">
        <v>55.9</v>
      </c>
      <c r="AL117" s="228">
        <v>51.2</v>
      </c>
      <c r="AM117" s="228">
        <v>4.7</v>
      </c>
      <c r="AN117" s="229">
        <v>1.4999999999999999E-2</v>
      </c>
      <c r="AO117" s="231">
        <v>3769.12</v>
      </c>
      <c r="AP117" s="231">
        <v>3798.72</v>
      </c>
      <c r="AQ117" s="228">
        <v>0</v>
      </c>
      <c r="AR117" s="230">
        <v>3393250</v>
      </c>
      <c r="AS117" s="230">
        <v>1889650</v>
      </c>
      <c r="AT117" s="230">
        <v>1503600</v>
      </c>
      <c r="AU117" s="229">
        <v>0.79569999999999996</v>
      </c>
      <c r="AV117" s="230">
        <v>2963100</v>
      </c>
      <c r="AW117" s="230">
        <v>1729875</v>
      </c>
      <c r="AX117" s="230">
        <v>1233225</v>
      </c>
      <c r="AY117" s="229">
        <v>0.71289999999999998</v>
      </c>
      <c r="AZ117" s="230">
        <v>365750</v>
      </c>
      <c r="BA117" s="230">
        <v>134575</v>
      </c>
      <c r="BB117" s="230">
        <v>231175</v>
      </c>
      <c r="BC117" s="229">
        <v>1.7178</v>
      </c>
      <c r="BD117" s="230">
        <v>64400</v>
      </c>
      <c r="BE117" s="230">
        <v>25200</v>
      </c>
      <c r="BF117" s="230">
        <v>39200</v>
      </c>
      <c r="BG117" s="229">
        <v>1.5556000000000001</v>
      </c>
      <c r="BH117" s="230">
        <v>11564350</v>
      </c>
      <c r="BI117" s="230">
        <v>6086325</v>
      </c>
      <c r="BJ117" s="230">
        <v>5478025</v>
      </c>
      <c r="BK117" s="229">
        <v>0.90010000000000001</v>
      </c>
      <c r="BL117" s="230">
        <v>7006475</v>
      </c>
      <c r="BM117" s="230">
        <v>3885700</v>
      </c>
      <c r="BN117" s="230">
        <v>3120775</v>
      </c>
      <c r="BO117" s="229">
        <v>0.80310000000000004</v>
      </c>
      <c r="BP117" s="230">
        <v>21964075</v>
      </c>
      <c r="BQ117" s="230">
        <v>11861675</v>
      </c>
      <c r="BR117" s="230">
        <v>10102400</v>
      </c>
      <c r="BS117" s="229">
        <v>0.85170000000000001</v>
      </c>
      <c r="BT117" s="230">
        <v>4627352</v>
      </c>
      <c r="BU117" s="230">
        <v>2167192</v>
      </c>
      <c r="BV117" s="230">
        <v>2460160</v>
      </c>
      <c r="BW117" s="229">
        <v>1.1352</v>
      </c>
      <c r="BX117" s="230">
        <v>14596225</v>
      </c>
      <c r="BY117" s="230">
        <v>13954500</v>
      </c>
      <c r="BZ117" s="230">
        <v>641725</v>
      </c>
      <c r="CA117" s="229">
        <v>4.5999999999999999E-2</v>
      </c>
      <c r="CB117" s="230">
        <v>13616225</v>
      </c>
      <c r="CC117" s="230">
        <v>13130250</v>
      </c>
      <c r="CD117" s="230">
        <v>485975</v>
      </c>
      <c r="CE117" s="229">
        <v>3.6999999999999998E-2</v>
      </c>
      <c r="CF117" s="230">
        <v>853825</v>
      </c>
      <c r="CG117" s="230">
        <v>723450</v>
      </c>
      <c r="CH117" s="230">
        <v>130375</v>
      </c>
      <c r="CI117" s="229">
        <v>0.1802</v>
      </c>
      <c r="CJ117" s="230">
        <v>126175</v>
      </c>
      <c r="CK117" s="230">
        <v>100800</v>
      </c>
      <c r="CL117" s="230">
        <v>25375</v>
      </c>
      <c r="CM117" s="229">
        <v>0.25169999999999998</v>
      </c>
      <c r="CN117" s="230">
        <v>12407150</v>
      </c>
      <c r="CO117" s="230">
        <v>11450425</v>
      </c>
      <c r="CP117" s="230">
        <v>956725</v>
      </c>
      <c r="CQ117" s="229">
        <v>8.3599999999999994E-2</v>
      </c>
      <c r="CR117" s="230">
        <v>6483225</v>
      </c>
      <c r="CS117" s="230">
        <v>5941425</v>
      </c>
      <c r="CT117" s="230">
        <v>541800</v>
      </c>
      <c r="CU117" s="229">
        <v>9.1200000000000003E-2</v>
      </c>
      <c r="CV117" s="230">
        <v>33486600</v>
      </c>
      <c r="CW117" s="230">
        <v>31346350</v>
      </c>
      <c r="CX117" s="230">
        <v>2140250</v>
      </c>
      <c r="CY117" s="229">
        <v>6.83E-2</v>
      </c>
      <c r="CZ117" s="228">
        <v>34.090000000000003</v>
      </c>
      <c r="DA117" s="228">
        <v>30.66</v>
      </c>
      <c r="DB117" s="228">
        <v>3.43</v>
      </c>
      <c r="DC117" s="228">
        <v>3.43</v>
      </c>
      <c r="DD117" s="228">
        <v>28.8</v>
      </c>
      <c r="DE117" s="228">
        <v>28.55</v>
      </c>
      <c r="DF117" s="228">
        <v>5.29</v>
      </c>
      <c r="DG117" s="228">
        <v>0.25</v>
      </c>
      <c r="DH117" s="228">
        <v>32.71</v>
      </c>
      <c r="DI117" s="228">
        <v>29.24</v>
      </c>
      <c r="DJ117" s="228">
        <v>3.47</v>
      </c>
      <c r="DK117" s="228">
        <v>3.47</v>
      </c>
      <c r="DL117" s="228">
        <v>36.380000000000003</v>
      </c>
      <c r="DM117" s="228">
        <v>32.880000000000003</v>
      </c>
      <c r="DN117" s="228">
        <v>3.5</v>
      </c>
      <c r="DO117" s="228">
        <v>3.5</v>
      </c>
      <c r="DP117" s="228">
        <v>0.52</v>
      </c>
      <c r="DQ117" s="228">
        <v>0.52</v>
      </c>
      <c r="DR117" s="228">
        <v>0</v>
      </c>
      <c r="DS117" s="229">
        <v>0</v>
      </c>
      <c r="DT117" s="231">
        <v>4000</v>
      </c>
      <c r="DU117" s="231">
        <v>3800</v>
      </c>
      <c r="DV117" s="228">
        <v>0.61</v>
      </c>
      <c r="DW117" s="228">
        <v>0.64</v>
      </c>
      <c r="DX117" s="228">
        <v>-0.03</v>
      </c>
      <c r="DY117" s="229">
        <v>-4.6899999999999997E-2</v>
      </c>
      <c r="DZ117" s="229">
        <v>6.7100000000000007E-2</v>
      </c>
      <c r="EA117" s="230">
        <v>824250</v>
      </c>
      <c r="EB117" s="229">
        <v>6.4000000000000003E-3</v>
      </c>
      <c r="EC117" s="229">
        <v>6.7100000000000007E-2</v>
      </c>
      <c r="ED117" s="228">
        <v>29.6</v>
      </c>
      <c r="EE117" s="229">
        <v>7.9000000000000008E-3</v>
      </c>
      <c r="EF117" s="230">
        <v>2462108</v>
      </c>
      <c r="EG117" s="230">
        <v>1259195</v>
      </c>
      <c r="EH117" s="229">
        <v>0.95530000000000004</v>
      </c>
      <c r="EI117" s="229">
        <v>0.53210000000000002</v>
      </c>
      <c r="EJ117" s="231">
        <v>465333.73</v>
      </c>
      <c r="EK117" s="231">
        <v>262142.35</v>
      </c>
      <c r="EL117" s="231">
        <v>128025.44</v>
      </c>
      <c r="EM117" s="231">
        <v>21236</v>
      </c>
      <c r="EN117" s="231">
        <v>855501.52</v>
      </c>
      <c r="EO117" s="231">
        <v>469404.67</v>
      </c>
      <c r="EP117" s="231">
        <v>386096.85</v>
      </c>
      <c r="EQ117" s="229">
        <v>0.82250000000000001</v>
      </c>
      <c r="ER117" s="231">
        <v>509482</v>
      </c>
      <c r="ES117" s="231">
        <v>250611</v>
      </c>
      <c r="ET117" s="231">
        <v>544831</v>
      </c>
      <c r="EU117" s="231">
        <v>136109374</v>
      </c>
      <c r="EV117" s="231">
        <v>1304924</v>
      </c>
      <c r="EW117" s="231">
        <v>1242565</v>
      </c>
      <c r="EX117" s="231">
        <v>62359</v>
      </c>
      <c r="EY117" s="229">
        <v>5.0200000000000002E-2</v>
      </c>
      <c r="EZ117" s="229">
        <v>0.246</v>
      </c>
      <c r="FA117" s="227" t="s">
        <v>567</v>
      </c>
      <c r="FB117" s="161">
        <f t="shared" si="1"/>
        <v>980000</v>
      </c>
    </row>
    <row r="118" spans="1:158" ht="17.25" thickBot="1" x14ac:dyDescent="0.3">
      <c r="A118" s="226">
        <v>46093</v>
      </c>
      <c r="B118" s="227" t="s">
        <v>175</v>
      </c>
      <c r="C118" s="227" t="s">
        <v>565</v>
      </c>
      <c r="D118" s="228">
        <v>2250</v>
      </c>
      <c r="E118" s="228">
        <v>265.45</v>
      </c>
      <c r="F118" s="228">
        <v>265.55</v>
      </c>
      <c r="G118" s="228">
        <v>-0.1</v>
      </c>
      <c r="H118" s="229">
        <v>-4.0000000000000002E-4</v>
      </c>
      <c r="I118" s="228">
        <v>265.5</v>
      </c>
      <c r="J118" s="228">
        <v>266.64999999999998</v>
      </c>
      <c r="K118" s="228">
        <v>-1.1499999999999999</v>
      </c>
      <c r="L118" s="229">
        <v>-4.3E-3</v>
      </c>
      <c r="M118" s="228">
        <v>265.45</v>
      </c>
      <c r="N118" s="228">
        <v>265.55</v>
      </c>
      <c r="O118" s="228">
        <v>-0.1</v>
      </c>
      <c r="P118" s="229">
        <v>-4.0000000000000002E-4</v>
      </c>
      <c r="Q118" s="228">
        <v>264.64999999999998</v>
      </c>
      <c r="R118" s="228">
        <v>265.14999999999998</v>
      </c>
      <c r="S118" s="228">
        <v>-0.5</v>
      </c>
      <c r="T118" s="229">
        <v>-1.9E-3</v>
      </c>
      <c r="U118" s="228">
        <v>264</v>
      </c>
      <c r="V118" s="228">
        <v>265.64999999999998</v>
      </c>
      <c r="W118" s="228">
        <v>-1.65</v>
      </c>
      <c r="X118" s="229">
        <v>-6.1999999999999998E-3</v>
      </c>
      <c r="Y118" s="228">
        <v>-0.05</v>
      </c>
      <c r="Z118" s="228">
        <v>-1.1000000000000001</v>
      </c>
      <c r="AA118" s="228">
        <v>1.05</v>
      </c>
      <c r="AB118" s="229">
        <v>-2.0000000000000001E-4</v>
      </c>
      <c r="AC118" s="228">
        <v>-0.05</v>
      </c>
      <c r="AD118" s="228">
        <v>-1.1000000000000001</v>
      </c>
      <c r="AE118" s="228">
        <v>1.05</v>
      </c>
      <c r="AF118" s="229">
        <v>-2.0000000000000001E-4</v>
      </c>
      <c r="AG118" s="228">
        <v>-0.85</v>
      </c>
      <c r="AH118" s="228">
        <v>-1.5</v>
      </c>
      <c r="AI118" s="228">
        <v>0.65</v>
      </c>
      <c r="AJ118" s="229">
        <v>-3.2000000000000002E-3</v>
      </c>
      <c r="AK118" s="228">
        <v>-1.5</v>
      </c>
      <c r="AL118" s="228">
        <v>-1</v>
      </c>
      <c r="AM118" s="228">
        <v>-0.5</v>
      </c>
      <c r="AN118" s="229">
        <v>-5.5999999999999999E-3</v>
      </c>
      <c r="AO118" s="228">
        <v>265.66000000000003</v>
      </c>
      <c r="AP118" s="228">
        <v>264.91000000000003</v>
      </c>
      <c r="AQ118" s="228">
        <v>0</v>
      </c>
      <c r="AR118" s="230">
        <v>11394000</v>
      </c>
      <c r="AS118" s="230">
        <v>8030250</v>
      </c>
      <c r="AT118" s="230">
        <v>3363750</v>
      </c>
      <c r="AU118" s="229">
        <v>0.41889999999999999</v>
      </c>
      <c r="AV118" s="230">
        <v>10095750</v>
      </c>
      <c r="AW118" s="230">
        <v>6842250</v>
      </c>
      <c r="AX118" s="230">
        <v>3253500</v>
      </c>
      <c r="AY118" s="229">
        <v>0.47549999999999998</v>
      </c>
      <c r="AZ118" s="230">
        <v>1219500</v>
      </c>
      <c r="BA118" s="230">
        <v>1127250</v>
      </c>
      <c r="BB118" s="230">
        <v>92250</v>
      </c>
      <c r="BC118" s="229">
        <v>8.1799999999999998E-2</v>
      </c>
      <c r="BD118" s="230">
        <v>78750</v>
      </c>
      <c r="BE118" s="230">
        <v>60750</v>
      </c>
      <c r="BF118" s="230">
        <v>18000</v>
      </c>
      <c r="BG118" s="229">
        <v>0.29630000000000001</v>
      </c>
      <c r="BH118" s="230">
        <v>23224500</v>
      </c>
      <c r="BI118" s="230">
        <v>23202000</v>
      </c>
      <c r="BJ118" s="230">
        <v>22500</v>
      </c>
      <c r="BK118" s="229">
        <v>1E-3</v>
      </c>
      <c r="BL118" s="230">
        <v>8066250</v>
      </c>
      <c r="BM118" s="230">
        <v>7123500</v>
      </c>
      <c r="BN118" s="230">
        <v>942750</v>
      </c>
      <c r="BO118" s="229">
        <v>0.1323</v>
      </c>
      <c r="BP118" s="230">
        <v>42684750</v>
      </c>
      <c r="BQ118" s="230">
        <v>38355750</v>
      </c>
      <c r="BR118" s="230">
        <v>4329000</v>
      </c>
      <c r="BS118" s="229">
        <v>0.1129</v>
      </c>
      <c r="BT118" s="230">
        <v>3913118</v>
      </c>
      <c r="BU118" s="230">
        <v>2533081</v>
      </c>
      <c r="BV118" s="230">
        <v>1380037</v>
      </c>
      <c r="BW118" s="229">
        <v>0.54479999999999995</v>
      </c>
      <c r="BX118" s="230">
        <v>60581250</v>
      </c>
      <c r="BY118" s="230">
        <v>61679250</v>
      </c>
      <c r="BZ118" s="230">
        <v>-1098000</v>
      </c>
      <c r="CA118" s="229">
        <v>-1.78E-2</v>
      </c>
      <c r="CB118" s="230">
        <v>55806750</v>
      </c>
      <c r="CC118" s="230">
        <v>56810250</v>
      </c>
      <c r="CD118" s="230">
        <v>-1003500</v>
      </c>
      <c r="CE118" s="229">
        <v>-1.77E-2</v>
      </c>
      <c r="CF118" s="230">
        <v>4362750</v>
      </c>
      <c r="CG118" s="230">
        <v>4484250</v>
      </c>
      <c r="CH118" s="230">
        <v>-121500</v>
      </c>
      <c r="CI118" s="229">
        <v>-2.7099999999999999E-2</v>
      </c>
      <c r="CJ118" s="230">
        <v>411750</v>
      </c>
      <c r="CK118" s="230">
        <v>384750</v>
      </c>
      <c r="CL118" s="230">
        <v>27000</v>
      </c>
      <c r="CM118" s="229">
        <v>7.0199999999999999E-2</v>
      </c>
      <c r="CN118" s="230">
        <v>39766500</v>
      </c>
      <c r="CO118" s="230">
        <v>40014000</v>
      </c>
      <c r="CP118" s="230">
        <v>-247500</v>
      </c>
      <c r="CQ118" s="229">
        <v>-6.1999999999999998E-3</v>
      </c>
      <c r="CR118" s="230">
        <v>20178000</v>
      </c>
      <c r="CS118" s="230">
        <v>20052000</v>
      </c>
      <c r="CT118" s="230">
        <v>126000</v>
      </c>
      <c r="CU118" s="229">
        <v>6.3E-3</v>
      </c>
      <c r="CV118" s="230">
        <v>120525750</v>
      </c>
      <c r="CW118" s="230">
        <v>121745250</v>
      </c>
      <c r="CX118" s="230">
        <v>-1219500</v>
      </c>
      <c r="CY118" s="229">
        <v>-0.01</v>
      </c>
      <c r="CZ118" s="228">
        <v>40.64</v>
      </c>
      <c r="DA118" s="228">
        <v>41.87</v>
      </c>
      <c r="DB118" s="228">
        <v>-1.23</v>
      </c>
      <c r="DC118" s="228">
        <v>-1.23</v>
      </c>
      <c r="DD118" s="228">
        <v>38.659999999999997</v>
      </c>
      <c r="DE118" s="228">
        <v>38.76</v>
      </c>
      <c r="DF118" s="228">
        <v>1.98</v>
      </c>
      <c r="DG118" s="228">
        <v>-0.1</v>
      </c>
      <c r="DH118" s="228">
        <v>40.67</v>
      </c>
      <c r="DI118" s="228">
        <v>42.38</v>
      </c>
      <c r="DJ118" s="228">
        <v>-1.71</v>
      </c>
      <c r="DK118" s="228">
        <v>-1.71</v>
      </c>
      <c r="DL118" s="228">
        <v>40.549999999999997</v>
      </c>
      <c r="DM118" s="228">
        <v>40.18</v>
      </c>
      <c r="DN118" s="228">
        <v>0.37</v>
      </c>
      <c r="DO118" s="228">
        <v>0.37</v>
      </c>
      <c r="DP118" s="228">
        <v>0.51</v>
      </c>
      <c r="DQ118" s="228">
        <v>0.5</v>
      </c>
      <c r="DR118" s="228">
        <v>0.01</v>
      </c>
      <c r="DS118" s="229">
        <v>0.02</v>
      </c>
      <c r="DT118" s="228">
        <v>320</v>
      </c>
      <c r="DU118" s="228">
        <v>300</v>
      </c>
      <c r="DV118" s="228">
        <v>0.35</v>
      </c>
      <c r="DW118" s="228">
        <v>0.31</v>
      </c>
      <c r="DX118" s="228">
        <v>0.04</v>
      </c>
      <c r="DY118" s="229">
        <v>0.129</v>
      </c>
      <c r="DZ118" s="229">
        <v>7.8799999999999995E-2</v>
      </c>
      <c r="EA118" s="230">
        <v>4869000</v>
      </c>
      <c r="EB118" s="229">
        <v>-3.0000000000000001E-3</v>
      </c>
      <c r="EC118" s="229">
        <v>7.8799999999999995E-2</v>
      </c>
      <c r="ED118" s="228">
        <v>-0.75</v>
      </c>
      <c r="EE118" s="229">
        <v>-2.8E-3</v>
      </c>
      <c r="EF118" s="230">
        <v>1456067</v>
      </c>
      <c r="EG118" s="230">
        <v>1169007</v>
      </c>
      <c r="EH118" s="229">
        <v>0.24560000000000001</v>
      </c>
      <c r="EI118" s="229">
        <v>0.37209999999999999</v>
      </c>
      <c r="EJ118" s="231">
        <v>68305.45</v>
      </c>
      <c r="EK118" s="231">
        <v>21410.18</v>
      </c>
      <c r="EL118" s="231">
        <v>30259.200000000001</v>
      </c>
      <c r="EM118" s="231">
        <v>4284</v>
      </c>
      <c r="EN118" s="231">
        <v>119974.83</v>
      </c>
      <c r="EO118" s="231">
        <v>111074.21</v>
      </c>
      <c r="EP118" s="231">
        <v>8900.6200000000008</v>
      </c>
      <c r="EQ118" s="229">
        <v>8.0100000000000005E-2</v>
      </c>
      <c r="ER118" s="231">
        <v>121255</v>
      </c>
      <c r="ES118" s="231">
        <v>55862</v>
      </c>
      <c r="ET118" s="231">
        <v>160772</v>
      </c>
      <c r="EU118" s="231">
        <v>127100972</v>
      </c>
      <c r="EV118" s="231">
        <v>337889</v>
      </c>
      <c r="EW118" s="231">
        <v>341414</v>
      </c>
      <c r="EX118" s="231">
        <v>-3525</v>
      </c>
      <c r="EY118" s="229">
        <v>-1.03E-2</v>
      </c>
      <c r="EZ118" s="229">
        <v>0.94830000000000003</v>
      </c>
      <c r="FA118" s="227" t="s">
        <v>568</v>
      </c>
      <c r="FB118" s="161">
        <f t="shared" si="1"/>
        <v>4774500</v>
      </c>
    </row>
    <row r="119" spans="1:158" ht="17.25" thickBot="1" x14ac:dyDescent="0.3">
      <c r="A119" s="226">
        <v>46093</v>
      </c>
      <c r="B119" s="227" t="s">
        <v>221</v>
      </c>
      <c r="C119" s="227" t="s">
        <v>693</v>
      </c>
      <c r="D119" s="228">
        <v>150</v>
      </c>
      <c r="E119" s="231">
        <v>4287.6000000000004</v>
      </c>
      <c r="F119" s="231">
        <v>4239</v>
      </c>
      <c r="G119" s="228">
        <v>48.6</v>
      </c>
      <c r="H119" s="229">
        <v>1.15E-2</v>
      </c>
      <c r="I119" s="231">
        <v>4323.6000000000004</v>
      </c>
      <c r="J119" s="231">
        <v>4262.7</v>
      </c>
      <c r="K119" s="228">
        <v>60.9</v>
      </c>
      <c r="L119" s="229">
        <v>1.43E-2</v>
      </c>
      <c r="M119" s="231">
        <v>4287.6000000000004</v>
      </c>
      <c r="N119" s="231">
        <v>4239</v>
      </c>
      <c r="O119" s="228">
        <v>48.6</v>
      </c>
      <c r="P119" s="229">
        <v>1.15E-2</v>
      </c>
      <c r="Q119" s="231">
        <v>4277.8</v>
      </c>
      <c r="R119" s="231">
        <v>4231.2</v>
      </c>
      <c r="S119" s="228">
        <v>46.6</v>
      </c>
      <c r="T119" s="229">
        <v>1.0999999999999999E-2</v>
      </c>
      <c r="U119" s="231">
        <v>4260</v>
      </c>
      <c r="V119" s="231">
        <v>4271</v>
      </c>
      <c r="W119" s="228">
        <v>-11</v>
      </c>
      <c r="X119" s="229">
        <v>-2.5999999999999999E-3</v>
      </c>
      <c r="Y119" s="228">
        <v>-36</v>
      </c>
      <c r="Z119" s="228">
        <v>-23.7</v>
      </c>
      <c r="AA119" s="228">
        <v>-12.3</v>
      </c>
      <c r="AB119" s="229">
        <v>-8.3000000000000001E-3</v>
      </c>
      <c r="AC119" s="228">
        <v>-36</v>
      </c>
      <c r="AD119" s="228">
        <v>-23.7</v>
      </c>
      <c r="AE119" s="228">
        <v>-12.3</v>
      </c>
      <c r="AF119" s="229">
        <v>-8.3000000000000001E-3</v>
      </c>
      <c r="AG119" s="228">
        <v>-45.8</v>
      </c>
      <c r="AH119" s="228">
        <v>-31.5</v>
      </c>
      <c r="AI119" s="228">
        <v>-14.3</v>
      </c>
      <c r="AJ119" s="229">
        <v>-1.06E-2</v>
      </c>
      <c r="AK119" s="228">
        <v>-63.6</v>
      </c>
      <c r="AL119" s="228">
        <v>8.3000000000000007</v>
      </c>
      <c r="AM119" s="228">
        <v>-71.900000000000006</v>
      </c>
      <c r="AN119" s="229">
        <v>-1.47E-2</v>
      </c>
      <c r="AO119" s="231">
        <v>4285.7299999999996</v>
      </c>
      <c r="AP119" s="231">
        <v>4283.1400000000003</v>
      </c>
      <c r="AQ119" s="228">
        <v>0</v>
      </c>
      <c r="AR119" s="230">
        <v>536250</v>
      </c>
      <c r="AS119" s="230">
        <v>364800</v>
      </c>
      <c r="AT119" s="230">
        <v>171450</v>
      </c>
      <c r="AU119" s="229">
        <v>0.47</v>
      </c>
      <c r="AV119" s="230">
        <v>412200</v>
      </c>
      <c r="AW119" s="230">
        <v>331500</v>
      </c>
      <c r="AX119" s="230">
        <v>80700</v>
      </c>
      <c r="AY119" s="229">
        <v>0.24340000000000001</v>
      </c>
      <c r="AZ119" s="230">
        <v>119250</v>
      </c>
      <c r="BA119" s="230">
        <v>31800</v>
      </c>
      <c r="BB119" s="230">
        <v>87450</v>
      </c>
      <c r="BC119" s="229">
        <v>2.75</v>
      </c>
      <c r="BD119" s="230">
        <v>4800</v>
      </c>
      <c r="BE119" s="230">
        <v>1500</v>
      </c>
      <c r="BF119" s="230">
        <v>3300</v>
      </c>
      <c r="BG119" s="229">
        <v>2.2000000000000002</v>
      </c>
      <c r="BH119" s="230">
        <v>1003200</v>
      </c>
      <c r="BI119" s="230">
        <v>897900</v>
      </c>
      <c r="BJ119" s="230">
        <v>105300</v>
      </c>
      <c r="BK119" s="229">
        <v>0.1173</v>
      </c>
      <c r="BL119" s="230">
        <v>413100</v>
      </c>
      <c r="BM119" s="230">
        <v>367650</v>
      </c>
      <c r="BN119" s="230">
        <v>45450</v>
      </c>
      <c r="BO119" s="229">
        <v>0.1236</v>
      </c>
      <c r="BP119" s="230">
        <v>1952550</v>
      </c>
      <c r="BQ119" s="230">
        <v>1630350</v>
      </c>
      <c r="BR119" s="230">
        <v>322200</v>
      </c>
      <c r="BS119" s="229">
        <v>0.1976</v>
      </c>
      <c r="BT119" s="230">
        <v>229386</v>
      </c>
      <c r="BU119" s="230">
        <v>186094</v>
      </c>
      <c r="BV119" s="230">
        <v>43292</v>
      </c>
      <c r="BW119" s="229">
        <v>0.2326</v>
      </c>
      <c r="BX119" s="230">
        <v>3529050</v>
      </c>
      <c r="BY119" s="230">
        <v>3383850</v>
      </c>
      <c r="BZ119" s="230">
        <v>145200</v>
      </c>
      <c r="CA119" s="229">
        <v>4.2900000000000001E-2</v>
      </c>
      <c r="CB119" s="230">
        <v>3329100</v>
      </c>
      <c r="CC119" s="230">
        <v>3267300</v>
      </c>
      <c r="CD119" s="230">
        <v>61800</v>
      </c>
      <c r="CE119" s="229">
        <v>1.89E-2</v>
      </c>
      <c r="CF119" s="230">
        <v>190350</v>
      </c>
      <c r="CG119" s="230">
        <v>109050</v>
      </c>
      <c r="CH119" s="230">
        <v>81300</v>
      </c>
      <c r="CI119" s="229">
        <v>0.74550000000000005</v>
      </c>
      <c r="CJ119" s="230">
        <v>9600</v>
      </c>
      <c r="CK119" s="230">
        <v>7500</v>
      </c>
      <c r="CL119" s="230">
        <v>2100</v>
      </c>
      <c r="CM119" s="229">
        <v>0.28000000000000003</v>
      </c>
      <c r="CN119" s="230">
        <v>1364850</v>
      </c>
      <c r="CO119" s="230">
        <v>1424700</v>
      </c>
      <c r="CP119" s="230">
        <v>-59850</v>
      </c>
      <c r="CQ119" s="229">
        <v>-4.2000000000000003E-2</v>
      </c>
      <c r="CR119" s="230">
        <v>897150</v>
      </c>
      <c r="CS119" s="230">
        <v>879150</v>
      </c>
      <c r="CT119" s="230">
        <v>18000</v>
      </c>
      <c r="CU119" s="229">
        <v>2.0500000000000001E-2</v>
      </c>
      <c r="CV119" s="230">
        <v>5791050</v>
      </c>
      <c r="CW119" s="230">
        <v>5687700</v>
      </c>
      <c r="CX119" s="230">
        <v>103350</v>
      </c>
      <c r="CY119" s="229">
        <v>1.8200000000000001E-2</v>
      </c>
      <c r="CZ119" s="228">
        <v>35.15</v>
      </c>
      <c r="DA119" s="228">
        <v>37.04</v>
      </c>
      <c r="DB119" s="228">
        <v>-1.89</v>
      </c>
      <c r="DC119" s="228">
        <v>-1.89</v>
      </c>
      <c r="DD119" s="228">
        <v>34.409999999999997</v>
      </c>
      <c r="DE119" s="228">
        <v>34.46</v>
      </c>
      <c r="DF119" s="228">
        <v>0.74</v>
      </c>
      <c r="DG119" s="228">
        <v>-0.05</v>
      </c>
      <c r="DH119" s="228">
        <v>34.64</v>
      </c>
      <c r="DI119" s="228">
        <v>36.79</v>
      </c>
      <c r="DJ119" s="228">
        <v>-2.15</v>
      </c>
      <c r="DK119" s="228">
        <v>-2.15</v>
      </c>
      <c r="DL119" s="228">
        <v>36.4</v>
      </c>
      <c r="DM119" s="228">
        <v>37.659999999999997</v>
      </c>
      <c r="DN119" s="228">
        <v>-1.26</v>
      </c>
      <c r="DO119" s="228">
        <v>-1.26</v>
      </c>
      <c r="DP119" s="228">
        <v>0.66</v>
      </c>
      <c r="DQ119" s="228">
        <v>0.62</v>
      </c>
      <c r="DR119" s="228">
        <v>0.04</v>
      </c>
      <c r="DS119" s="229">
        <v>6.4500000000000002E-2</v>
      </c>
      <c r="DT119" s="231">
        <v>5000</v>
      </c>
      <c r="DU119" s="231">
        <v>4300</v>
      </c>
      <c r="DV119" s="228">
        <v>0.41</v>
      </c>
      <c r="DW119" s="228">
        <v>0.41</v>
      </c>
      <c r="DX119" s="228">
        <v>0</v>
      </c>
      <c r="DY119" s="229">
        <v>0</v>
      </c>
      <c r="DZ119" s="229">
        <v>5.67E-2</v>
      </c>
      <c r="EA119" s="230">
        <v>116550</v>
      </c>
      <c r="EB119" s="229">
        <v>-2.3E-3</v>
      </c>
      <c r="EC119" s="229">
        <v>5.67E-2</v>
      </c>
      <c r="ED119" s="228">
        <v>-2.59</v>
      </c>
      <c r="EE119" s="229">
        <v>-5.9999999999999995E-4</v>
      </c>
      <c r="EF119" s="230">
        <v>106993</v>
      </c>
      <c r="EG119" s="230">
        <v>99488</v>
      </c>
      <c r="EH119" s="229">
        <v>7.5399999999999995E-2</v>
      </c>
      <c r="EI119" s="229">
        <v>0.46639999999999998</v>
      </c>
      <c r="EJ119" s="231">
        <v>46080.67</v>
      </c>
      <c r="EK119" s="231">
        <v>17812.919999999998</v>
      </c>
      <c r="EL119" s="231">
        <v>22977.72</v>
      </c>
      <c r="EM119" s="231">
        <v>2593</v>
      </c>
      <c r="EN119" s="231">
        <v>86871.31</v>
      </c>
      <c r="EO119" s="231">
        <v>72611.38</v>
      </c>
      <c r="EP119" s="231">
        <v>14259.93</v>
      </c>
      <c r="EQ119" s="229">
        <v>0.19639999999999999</v>
      </c>
      <c r="ER119" s="231">
        <v>66861</v>
      </c>
      <c r="ES119" s="231">
        <v>40041</v>
      </c>
      <c r="ET119" s="231">
        <v>151290</v>
      </c>
      <c r="EU119" s="231">
        <v>9672091</v>
      </c>
      <c r="EV119" s="231">
        <v>258192</v>
      </c>
      <c r="EW119" s="231">
        <v>252704</v>
      </c>
      <c r="EX119" s="231">
        <v>5488</v>
      </c>
      <c r="EY119" s="229">
        <v>2.1700000000000001E-2</v>
      </c>
      <c r="EZ119" s="229">
        <v>0.59870000000000001</v>
      </c>
      <c r="FA119" s="227" t="s">
        <v>555</v>
      </c>
      <c r="FB119" s="161">
        <f t="shared" si="1"/>
        <v>199950</v>
      </c>
    </row>
    <row r="120" spans="1:158" ht="17.25" thickBot="1" x14ac:dyDescent="0.3">
      <c r="A120" s="226">
        <v>46093</v>
      </c>
      <c r="B120" s="227" t="s">
        <v>170</v>
      </c>
      <c r="C120" s="227" t="s">
        <v>250</v>
      </c>
      <c r="D120" s="228">
        <v>425</v>
      </c>
      <c r="E120" s="231">
        <v>2359</v>
      </c>
      <c r="F120" s="231">
        <v>2348.8000000000002</v>
      </c>
      <c r="G120" s="228">
        <v>10.199999999999999</v>
      </c>
      <c r="H120" s="229">
        <v>4.3E-3</v>
      </c>
      <c r="I120" s="231">
        <v>2357.3000000000002</v>
      </c>
      <c r="J120" s="231">
        <v>2344.6</v>
      </c>
      <c r="K120" s="228">
        <v>12.7</v>
      </c>
      <c r="L120" s="229">
        <v>5.4000000000000003E-3</v>
      </c>
      <c r="M120" s="231">
        <v>2359</v>
      </c>
      <c r="N120" s="231">
        <v>2348.8000000000002</v>
      </c>
      <c r="O120" s="228">
        <v>10.199999999999999</v>
      </c>
      <c r="P120" s="229">
        <v>4.3E-3</v>
      </c>
      <c r="Q120" s="231">
        <v>2373.4</v>
      </c>
      <c r="R120" s="231">
        <v>2363.1999999999998</v>
      </c>
      <c r="S120" s="228">
        <v>10.199999999999999</v>
      </c>
      <c r="T120" s="229">
        <v>4.3E-3</v>
      </c>
      <c r="U120" s="231">
        <v>2384.1</v>
      </c>
      <c r="V120" s="231">
        <v>2376.1</v>
      </c>
      <c r="W120" s="228">
        <v>8</v>
      </c>
      <c r="X120" s="229">
        <v>3.3999999999999998E-3</v>
      </c>
      <c r="Y120" s="228">
        <v>1.7</v>
      </c>
      <c r="Z120" s="228">
        <v>4.2</v>
      </c>
      <c r="AA120" s="228">
        <v>-2.5</v>
      </c>
      <c r="AB120" s="229">
        <v>6.9999999999999999E-4</v>
      </c>
      <c r="AC120" s="228">
        <v>1.7</v>
      </c>
      <c r="AD120" s="228">
        <v>4.2</v>
      </c>
      <c r="AE120" s="228">
        <v>-2.5</v>
      </c>
      <c r="AF120" s="229">
        <v>6.9999999999999999E-4</v>
      </c>
      <c r="AG120" s="228">
        <v>16.100000000000001</v>
      </c>
      <c r="AH120" s="228">
        <v>18.600000000000001</v>
      </c>
      <c r="AI120" s="228">
        <v>-2.5</v>
      </c>
      <c r="AJ120" s="229">
        <v>6.7999999999999996E-3</v>
      </c>
      <c r="AK120" s="228">
        <v>26.8</v>
      </c>
      <c r="AL120" s="228">
        <v>31.5</v>
      </c>
      <c r="AM120" s="228">
        <v>-4.7</v>
      </c>
      <c r="AN120" s="229">
        <v>1.14E-2</v>
      </c>
      <c r="AO120" s="231">
        <v>2342.94</v>
      </c>
      <c r="AP120" s="231">
        <v>2348.66</v>
      </c>
      <c r="AQ120" s="228">
        <v>0</v>
      </c>
      <c r="AR120" s="230">
        <v>1333225</v>
      </c>
      <c r="AS120" s="230">
        <v>1894225</v>
      </c>
      <c r="AT120" s="230">
        <v>-561000</v>
      </c>
      <c r="AU120" s="229">
        <v>-0.29620000000000002</v>
      </c>
      <c r="AV120" s="230">
        <v>1256725</v>
      </c>
      <c r="AW120" s="230">
        <v>1786275</v>
      </c>
      <c r="AX120" s="230">
        <v>-529550</v>
      </c>
      <c r="AY120" s="229">
        <v>-0.29649999999999999</v>
      </c>
      <c r="AZ120" s="230">
        <v>63325</v>
      </c>
      <c r="BA120" s="230">
        <v>90525</v>
      </c>
      <c r="BB120" s="230">
        <v>-27200</v>
      </c>
      <c r="BC120" s="229">
        <v>-0.30049999999999999</v>
      </c>
      <c r="BD120" s="230">
        <v>13175</v>
      </c>
      <c r="BE120" s="230">
        <v>17425</v>
      </c>
      <c r="BF120" s="230">
        <v>-4250</v>
      </c>
      <c r="BG120" s="229">
        <v>-0.24390000000000001</v>
      </c>
      <c r="BH120" s="230">
        <v>4364325</v>
      </c>
      <c r="BI120" s="230">
        <v>8895250</v>
      </c>
      <c r="BJ120" s="230">
        <v>-4530925</v>
      </c>
      <c r="BK120" s="229">
        <v>-0.50939999999999996</v>
      </c>
      <c r="BL120" s="230">
        <v>2293725</v>
      </c>
      <c r="BM120" s="230">
        <v>2791400</v>
      </c>
      <c r="BN120" s="230">
        <v>-497675</v>
      </c>
      <c r="BO120" s="229">
        <v>-0.17829999999999999</v>
      </c>
      <c r="BP120" s="230">
        <v>7991275</v>
      </c>
      <c r="BQ120" s="230">
        <v>13580875</v>
      </c>
      <c r="BR120" s="230">
        <v>-5589600</v>
      </c>
      <c r="BS120" s="229">
        <v>-0.41160000000000002</v>
      </c>
      <c r="BT120" s="230">
        <v>883414</v>
      </c>
      <c r="BU120" s="230">
        <v>1004072</v>
      </c>
      <c r="BV120" s="230">
        <v>-120658</v>
      </c>
      <c r="BW120" s="229">
        <v>-0.1202</v>
      </c>
      <c r="BX120" s="230">
        <v>7490200</v>
      </c>
      <c r="BY120" s="230">
        <v>7302350</v>
      </c>
      <c r="BZ120" s="230">
        <v>187850</v>
      </c>
      <c r="CA120" s="229">
        <v>2.5700000000000001E-2</v>
      </c>
      <c r="CB120" s="230">
        <v>7259425</v>
      </c>
      <c r="CC120" s="230">
        <v>7084750</v>
      </c>
      <c r="CD120" s="230">
        <v>174675</v>
      </c>
      <c r="CE120" s="229">
        <v>2.47E-2</v>
      </c>
      <c r="CF120" s="230">
        <v>209950</v>
      </c>
      <c r="CG120" s="230">
        <v>197625</v>
      </c>
      <c r="CH120" s="230">
        <v>12325</v>
      </c>
      <c r="CI120" s="229">
        <v>6.2399999999999997E-2</v>
      </c>
      <c r="CJ120" s="230">
        <v>20825</v>
      </c>
      <c r="CK120" s="230">
        <v>19975</v>
      </c>
      <c r="CL120" s="228">
        <v>850</v>
      </c>
      <c r="CM120" s="229">
        <v>4.2599999999999999E-2</v>
      </c>
      <c r="CN120" s="230">
        <v>3599750</v>
      </c>
      <c r="CO120" s="230">
        <v>3571275</v>
      </c>
      <c r="CP120" s="230">
        <v>28475</v>
      </c>
      <c r="CQ120" s="229">
        <v>8.0000000000000002E-3</v>
      </c>
      <c r="CR120" s="230">
        <v>2145400</v>
      </c>
      <c r="CS120" s="230">
        <v>2024700</v>
      </c>
      <c r="CT120" s="230">
        <v>120700</v>
      </c>
      <c r="CU120" s="229">
        <v>5.96E-2</v>
      </c>
      <c r="CV120" s="230">
        <v>13235350</v>
      </c>
      <c r="CW120" s="230">
        <v>12898325</v>
      </c>
      <c r="CX120" s="230">
        <v>337025</v>
      </c>
      <c r="CY120" s="229">
        <v>2.6100000000000002E-2</v>
      </c>
      <c r="CZ120" s="228">
        <v>26.54</v>
      </c>
      <c r="DA120" s="228">
        <v>26.07</v>
      </c>
      <c r="DB120" s="228">
        <v>0.47</v>
      </c>
      <c r="DC120" s="228">
        <v>0.47</v>
      </c>
      <c r="DD120" s="228">
        <v>28.36</v>
      </c>
      <c r="DE120" s="228">
        <v>28.42</v>
      </c>
      <c r="DF120" s="228">
        <v>-1.82</v>
      </c>
      <c r="DG120" s="228">
        <v>-0.06</v>
      </c>
      <c r="DH120" s="228">
        <v>25.09</v>
      </c>
      <c r="DI120" s="228">
        <v>25.61</v>
      </c>
      <c r="DJ120" s="228">
        <v>-0.52</v>
      </c>
      <c r="DK120" s="228">
        <v>-0.52</v>
      </c>
      <c r="DL120" s="228">
        <v>29.31</v>
      </c>
      <c r="DM120" s="228">
        <v>27.53</v>
      </c>
      <c r="DN120" s="228">
        <v>1.78</v>
      </c>
      <c r="DO120" s="228">
        <v>1.78</v>
      </c>
      <c r="DP120" s="228">
        <v>0.6</v>
      </c>
      <c r="DQ120" s="228">
        <v>0.56999999999999995</v>
      </c>
      <c r="DR120" s="228">
        <v>0.03</v>
      </c>
      <c r="DS120" s="229">
        <v>5.2600000000000001E-2</v>
      </c>
      <c r="DT120" s="231">
        <v>2400</v>
      </c>
      <c r="DU120" s="231">
        <v>2260</v>
      </c>
      <c r="DV120" s="228">
        <v>0.53</v>
      </c>
      <c r="DW120" s="228">
        <v>0.31</v>
      </c>
      <c r="DX120" s="228">
        <v>0.22</v>
      </c>
      <c r="DY120" s="229">
        <v>0.7097</v>
      </c>
      <c r="DZ120" s="229">
        <v>3.0800000000000001E-2</v>
      </c>
      <c r="EA120" s="230">
        <v>217600</v>
      </c>
      <c r="EB120" s="229">
        <v>6.1000000000000004E-3</v>
      </c>
      <c r="EC120" s="229">
        <v>3.0800000000000001E-2</v>
      </c>
      <c r="ED120" s="228">
        <v>5.72</v>
      </c>
      <c r="EE120" s="229">
        <v>2.3999999999999998E-3</v>
      </c>
      <c r="EF120" s="230">
        <v>548310</v>
      </c>
      <c r="EG120" s="230">
        <v>531163</v>
      </c>
      <c r="EH120" s="229">
        <v>3.2300000000000002E-2</v>
      </c>
      <c r="EI120" s="229">
        <v>0.62070000000000003</v>
      </c>
      <c r="EJ120" s="231">
        <v>107843.15</v>
      </c>
      <c r="EK120" s="231">
        <v>52364.43</v>
      </c>
      <c r="EL120" s="231">
        <v>31242.22</v>
      </c>
      <c r="EM120" s="231">
        <v>3956</v>
      </c>
      <c r="EN120" s="231">
        <v>191449.8</v>
      </c>
      <c r="EO120" s="231">
        <v>327804.84999999998</v>
      </c>
      <c r="EP120" s="231">
        <v>-136355.04999999999</v>
      </c>
      <c r="EQ120" s="229">
        <v>-0.41599999999999998</v>
      </c>
      <c r="ER120" s="231">
        <v>87468</v>
      </c>
      <c r="ES120" s="231">
        <v>48177</v>
      </c>
      <c r="ET120" s="231">
        <v>176729</v>
      </c>
      <c r="EU120" s="231">
        <v>36381777</v>
      </c>
      <c r="EV120" s="231">
        <v>312374</v>
      </c>
      <c r="EW120" s="231">
        <v>303759</v>
      </c>
      <c r="EX120" s="231">
        <v>8615</v>
      </c>
      <c r="EY120" s="229">
        <v>2.8400000000000002E-2</v>
      </c>
      <c r="EZ120" s="229">
        <v>0.36380000000000001</v>
      </c>
      <c r="FA120" s="227" t="s">
        <v>555</v>
      </c>
      <c r="FB120" s="161">
        <f t="shared" si="1"/>
        <v>230775</v>
      </c>
    </row>
    <row r="121" spans="1:158" ht="17.25" thickBot="1" x14ac:dyDescent="0.3">
      <c r="A121" s="226">
        <v>46093</v>
      </c>
      <c r="B121" s="227" t="s">
        <v>162</v>
      </c>
      <c r="C121" s="227" t="s">
        <v>251</v>
      </c>
      <c r="D121" s="228">
        <v>200</v>
      </c>
      <c r="E121" s="231">
        <v>3043.3</v>
      </c>
      <c r="F121" s="231">
        <v>3174.6</v>
      </c>
      <c r="G121" s="228">
        <v>-131.30000000000001</v>
      </c>
      <c r="H121" s="229">
        <v>-4.1399999999999999E-2</v>
      </c>
      <c r="I121" s="231">
        <v>3031.2</v>
      </c>
      <c r="J121" s="231">
        <v>3168.2</v>
      </c>
      <c r="K121" s="228">
        <v>-137</v>
      </c>
      <c r="L121" s="229">
        <v>-4.3200000000000002E-2</v>
      </c>
      <c r="M121" s="231">
        <v>3043.3</v>
      </c>
      <c r="N121" s="231">
        <v>3174.6</v>
      </c>
      <c r="O121" s="228">
        <v>-131.30000000000001</v>
      </c>
      <c r="P121" s="229">
        <v>-4.1399999999999999E-2</v>
      </c>
      <c r="Q121" s="231">
        <v>3060.7</v>
      </c>
      <c r="R121" s="231">
        <v>3197.3</v>
      </c>
      <c r="S121" s="228">
        <v>-136.6</v>
      </c>
      <c r="T121" s="229">
        <v>-4.2700000000000002E-2</v>
      </c>
      <c r="U121" s="231">
        <v>3074.4</v>
      </c>
      <c r="V121" s="231">
        <v>3213.9</v>
      </c>
      <c r="W121" s="228">
        <v>-139.5</v>
      </c>
      <c r="X121" s="229">
        <v>-4.3400000000000001E-2</v>
      </c>
      <c r="Y121" s="228">
        <v>12.1</v>
      </c>
      <c r="Z121" s="228">
        <v>6.4</v>
      </c>
      <c r="AA121" s="228">
        <v>5.7</v>
      </c>
      <c r="AB121" s="229">
        <v>4.0000000000000001E-3</v>
      </c>
      <c r="AC121" s="228">
        <v>12.1</v>
      </c>
      <c r="AD121" s="228">
        <v>6.4</v>
      </c>
      <c r="AE121" s="228">
        <v>5.7</v>
      </c>
      <c r="AF121" s="229">
        <v>4.0000000000000001E-3</v>
      </c>
      <c r="AG121" s="228">
        <v>29.5</v>
      </c>
      <c r="AH121" s="228">
        <v>29.1</v>
      </c>
      <c r="AI121" s="228">
        <v>0.4</v>
      </c>
      <c r="AJ121" s="229">
        <v>9.7000000000000003E-3</v>
      </c>
      <c r="AK121" s="228">
        <v>43.2</v>
      </c>
      <c r="AL121" s="228">
        <v>45.7</v>
      </c>
      <c r="AM121" s="228">
        <v>-2.5</v>
      </c>
      <c r="AN121" s="229">
        <v>1.43E-2</v>
      </c>
      <c r="AO121" s="231">
        <v>3070.26</v>
      </c>
      <c r="AP121" s="231">
        <v>3089.92</v>
      </c>
      <c r="AQ121" s="228">
        <v>0</v>
      </c>
      <c r="AR121" s="230">
        <v>3780200</v>
      </c>
      <c r="AS121" s="230">
        <v>2183600</v>
      </c>
      <c r="AT121" s="230">
        <v>1596600</v>
      </c>
      <c r="AU121" s="229">
        <v>0.73119999999999996</v>
      </c>
      <c r="AV121" s="230">
        <v>3284400</v>
      </c>
      <c r="AW121" s="230">
        <v>1967800</v>
      </c>
      <c r="AX121" s="230">
        <v>1316600</v>
      </c>
      <c r="AY121" s="229">
        <v>0.66910000000000003</v>
      </c>
      <c r="AZ121" s="230">
        <v>352600</v>
      </c>
      <c r="BA121" s="230">
        <v>177400</v>
      </c>
      <c r="BB121" s="230">
        <v>175200</v>
      </c>
      <c r="BC121" s="229">
        <v>0.98760000000000003</v>
      </c>
      <c r="BD121" s="230">
        <v>143200</v>
      </c>
      <c r="BE121" s="230">
        <v>38400</v>
      </c>
      <c r="BF121" s="230">
        <v>104800</v>
      </c>
      <c r="BG121" s="229">
        <v>2.7292000000000001</v>
      </c>
      <c r="BH121" s="230">
        <v>10706200</v>
      </c>
      <c r="BI121" s="230">
        <v>6710800</v>
      </c>
      <c r="BJ121" s="230">
        <v>3995400</v>
      </c>
      <c r="BK121" s="229">
        <v>0.59540000000000004</v>
      </c>
      <c r="BL121" s="230">
        <v>8801200</v>
      </c>
      <c r="BM121" s="230">
        <v>5576000</v>
      </c>
      <c r="BN121" s="230">
        <v>3225200</v>
      </c>
      <c r="BO121" s="229">
        <v>0.57840000000000003</v>
      </c>
      <c r="BP121" s="230">
        <v>23287600</v>
      </c>
      <c r="BQ121" s="230">
        <v>14470400</v>
      </c>
      <c r="BR121" s="230">
        <v>8817200</v>
      </c>
      <c r="BS121" s="229">
        <v>0.60929999999999995</v>
      </c>
      <c r="BT121" s="230">
        <v>7405606</v>
      </c>
      <c r="BU121" s="230">
        <v>4680042</v>
      </c>
      <c r="BV121" s="230">
        <v>2725564</v>
      </c>
      <c r="BW121" s="229">
        <v>0.58240000000000003</v>
      </c>
      <c r="BX121" s="230">
        <v>18644400</v>
      </c>
      <c r="BY121" s="230">
        <v>17849200</v>
      </c>
      <c r="BZ121" s="230">
        <v>795200</v>
      </c>
      <c r="CA121" s="229">
        <v>4.4600000000000001E-2</v>
      </c>
      <c r="CB121" s="230">
        <v>17858200</v>
      </c>
      <c r="CC121" s="230">
        <v>17299800</v>
      </c>
      <c r="CD121" s="230">
        <v>558400</v>
      </c>
      <c r="CE121" s="229">
        <v>3.2300000000000002E-2</v>
      </c>
      <c r="CF121" s="230">
        <v>595800</v>
      </c>
      <c r="CG121" s="230">
        <v>454400</v>
      </c>
      <c r="CH121" s="230">
        <v>141400</v>
      </c>
      <c r="CI121" s="229">
        <v>0.31119999999999998</v>
      </c>
      <c r="CJ121" s="230">
        <v>190400</v>
      </c>
      <c r="CK121" s="230">
        <v>95000</v>
      </c>
      <c r="CL121" s="230">
        <v>95400</v>
      </c>
      <c r="CM121" s="229">
        <v>1.0042</v>
      </c>
      <c r="CN121" s="230">
        <v>6546200</v>
      </c>
      <c r="CO121" s="230">
        <v>5573000</v>
      </c>
      <c r="CP121" s="230">
        <v>973200</v>
      </c>
      <c r="CQ121" s="229">
        <v>0.17460000000000001</v>
      </c>
      <c r="CR121" s="230">
        <v>3745600</v>
      </c>
      <c r="CS121" s="230">
        <v>3495000</v>
      </c>
      <c r="CT121" s="230">
        <v>250600</v>
      </c>
      <c r="CU121" s="229">
        <v>7.17E-2</v>
      </c>
      <c r="CV121" s="230">
        <v>28936200</v>
      </c>
      <c r="CW121" s="230">
        <v>26917200</v>
      </c>
      <c r="CX121" s="230">
        <v>2019000</v>
      </c>
      <c r="CY121" s="229">
        <v>7.4999999999999997E-2</v>
      </c>
      <c r="CZ121" s="228">
        <v>38.72</v>
      </c>
      <c r="DA121" s="228">
        <v>34.700000000000003</v>
      </c>
      <c r="DB121" s="228">
        <v>4.0199999999999996</v>
      </c>
      <c r="DC121" s="228">
        <v>4.0199999999999996</v>
      </c>
      <c r="DD121" s="228">
        <v>32.82</v>
      </c>
      <c r="DE121" s="228">
        <v>32.36</v>
      </c>
      <c r="DF121" s="228">
        <v>5.9</v>
      </c>
      <c r="DG121" s="228">
        <v>0.46</v>
      </c>
      <c r="DH121" s="228">
        <v>38.19</v>
      </c>
      <c r="DI121" s="228">
        <v>33.950000000000003</v>
      </c>
      <c r="DJ121" s="228">
        <v>4.24</v>
      </c>
      <c r="DK121" s="228">
        <v>4.24</v>
      </c>
      <c r="DL121" s="228">
        <v>39.36</v>
      </c>
      <c r="DM121" s="228">
        <v>35.6</v>
      </c>
      <c r="DN121" s="228">
        <v>3.76</v>
      </c>
      <c r="DO121" s="228">
        <v>3.76</v>
      </c>
      <c r="DP121" s="228">
        <v>0.56999999999999995</v>
      </c>
      <c r="DQ121" s="228">
        <v>0.63</v>
      </c>
      <c r="DR121" s="228">
        <v>-0.06</v>
      </c>
      <c r="DS121" s="229">
        <v>-9.5200000000000007E-2</v>
      </c>
      <c r="DT121" s="231">
        <v>3500</v>
      </c>
      <c r="DU121" s="231">
        <v>3400</v>
      </c>
      <c r="DV121" s="228">
        <v>0.82</v>
      </c>
      <c r="DW121" s="228">
        <v>0.83</v>
      </c>
      <c r="DX121" s="228">
        <v>-0.01</v>
      </c>
      <c r="DY121" s="229">
        <v>-1.2E-2</v>
      </c>
      <c r="DZ121" s="229">
        <v>4.2200000000000001E-2</v>
      </c>
      <c r="EA121" s="230">
        <v>549400</v>
      </c>
      <c r="EB121" s="229">
        <v>5.7000000000000002E-3</v>
      </c>
      <c r="EC121" s="229">
        <v>4.2200000000000001E-2</v>
      </c>
      <c r="ED121" s="228">
        <v>19.66</v>
      </c>
      <c r="EE121" s="229">
        <v>6.4000000000000003E-3</v>
      </c>
      <c r="EF121" s="230">
        <v>4892877</v>
      </c>
      <c r="EG121" s="230">
        <v>3169477</v>
      </c>
      <c r="EH121" s="229">
        <v>0.54369999999999996</v>
      </c>
      <c r="EI121" s="229">
        <v>0.66069999999999995</v>
      </c>
      <c r="EJ121" s="231">
        <v>357378.71</v>
      </c>
      <c r="EK121" s="231">
        <v>270498.39</v>
      </c>
      <c r="EL121" s="231">
        <v>116176.77</v>
      </c>
      <c r="EM121" s="231">
        <v>11438</v>
      </c>
      <c r="EN121" s="231">
        <v>744053.87</v>
      </c>
      <c r="EO121" s="231">
        <v>479080.44</v>
      </c>
      <c r="EP121" s="231">
        <v>264973.43</v>
      </c>
      <c r="EQ121" s="229">
        <v>0.55310000000000004</v>
      </c>
      <c r="ER121" s="231">
        <v>230498</v>
      </c>
      <c r="ES121" s="231">
        <v>121853</v>
      </c>
      <c r="ET121" s="231">
        <v>567568</v>
      </c>
      <c r="EU121" s="231">
        <v>95452027</v>
      </c>
      <c r="EV121" s="231">
        <v>919918</v>
      </c>
      <c r="EW121" s="231">
        <v>881329</v>
      </c>
      <c r="EX121" s="231">
        <v>38589</v>
      </c>
      <c r="EY121" s="229">
        <v>4.3799999999999999E-2</v>
      </c>
      <c r="EZ121" s="229">
        <v>0.30309999999999998</v>
      </c>
      <c r="FA121" s="227" t="s">
        <v>567</v>
      </c>
      <c r="FB121" s="161">
        <f t="shared" si="1"/>
        <v>786200</v>
      </c>
    </row>
    <row r="122" spans="1:158" ht="17.25" thickBot="1" x14ac:dyDescent="0.3">
      <c r="A122" s="226">
        <v>46093</v>
      </c>
      <c r="B122" s="227" t="s">
        <v>175</v>
      </c>
      <c r="C122" s="227" t="s">
        <v>253</v>
      </c>
      <c r="D122" s="228">
        <v>3000</v>
      </c>
      <c r="E122" s="228">
        <v>256.39999999999998</v>
      </c>
      <c r="F122" s="228">
        <v>258.2</v>
      </c>
      <c r="G122" s="228">
        <v>-1.8</v>
      </c>
      <c r="H122" s="229">
        <v>-7.0000000000000001E-3</v>
      </c>
      <c r="I122" s="228">
        <v>255.55</v>
      </c>
      <c r="J122" s="228">
        <v>258</v>
      </c>
      <c r="K122" s="228">
        <v>-2.4500000000000002</v>
      </c>
      <c r="L122" s="229">
        <v>-9.4999999999999998E-3</v>
      </c>
      <c r="M122" s="228">
        <v>256.39999999999998</v>
      </c>
      <c r="N122" s="228">
        <v>258.2</v>
      </c>
      <c r="O122" s="228">
        <v>-1.8</v>
      </c>
      <c r="P122" s="229">
        <v>-7.0000000000000001E-3</v>
      </c>
      <c r="Q122" s="228">
        <v>257.85000000000002</v>
      </c>
      <c r="R122" s="228">
        <v>260.10000000000002</v>
      </c>
      <c r="S122" s="228">
        <v>-2.25</v>
      </c>
      <c r="T122" s="229">
        <v>-8.6999999999999994E-3</v>
      </c>
      <c r="U122" s="228">
        <v>257.75</v>
      </c>
      <c r="V122" s="228">
        <v>261</v>
      </c>
      <c r="W122" s="228">
        <v>-3.25</v>
      </c>
      <c r="X122" s="229">
        <v>-1.2500000000000001E-2</v>
      </c>
      <c r="Y122" s="228">
        <v>0.85</v>
      </c>
      <c r="Z122" s="228">
        <v>0.2</v>
      </c>
      <c r="AA122" s="228">
        <v>0.65</v>
      </c>
      <c r="AB122" s="229">
        <v>3.3E-3</v>
      </c>
      <c r="AC122" s="228">
        <v>0.85</v>
      </c>
      <c r="AD122" s="228">
        <v>0.2</v>
      </c>
      <c r="AE122" s="228">
        <v>0.65</v>
      </c>
      <c r="AF122" s="229">
        <v>3.3E-3</v>
      </c>
      <c r="AG122" s="228">
        <v>2.2999999999999998</v>
      </c>
      <c r="AH122" s="228">
        <v>2.1</v>
      </c>
      <c r="AI122" s="228">
        <v>0.2</v>
      </c>
      <c r="AJ122" s="229">
        <v>8.9999999999999993E-3</v>
      </c>
      <c r="AK122" s="228">
        <v>2.2000000000000002</v>
      </c>
      <c r="AL122" s="228">
        <v>3</v>
      </c>
      <c r="AM122" s="228">
        <v>-0.8</v>
      </c>
      <c r="AN122" s="229">
        <v>8.6E-3</v>
      </c>
      <c r="AO122" s="228">
        <v>257.04000000000002</v>
      </c>
      <c r="AP122" s="228">
        <v>258.62</v>
      </c>
      <c r="AQ122" s="228">
        <v>0</v>
      </c>
      <c r="AR122" s="230">
        <v>8328000</v>
      </c>
      <c r="AS122" s="230">
        <v>9051000</v>
      </c>
      <c r="AT122" s="230">
        <v>-723000</v>
      </c>
      <c r="AU122" s="229">
        <v>-7.9899999999999999E-2</v>
      </c>
      <c r="AV122" s="230">
        <v>7998000</v>
      </c>
      <c r="AW122" s="230">
        <v>8766000</v>
      </c>
      <c r="AX122" s="230">
        <v>-768000</v>
      </c>
      <c r="AY122" s="229">
        <v>-8.7599999999999997E-2</v>
      </c>
      <c r="AZ122" s="230">
        <v>321000</v>
      </c>
      <c r="BA122" s="230">
        <v>273000</v>
      </c>
      <c r="BB122" s="230">
        <v>48000</v>
      </c>
      <c r="BC122" s="229">
        <v>0.17580000000000001</v>
      </c>
      <c r="BD122" s="230">
        <v>9000</v>
      </c>
      <c r="BE122" s="230">
        <v>12000</v>
      </c>
      <c r="BF122" s="230">
        <v>-3000</v>
      </c>
      <c r="BG122" s="229">
        <v>-0.25</v>
      </c>
      <c r="BH122" s="230">
        <v>7614000</v>
      </c>
      <c r="BI122" s="230">
        <v>11676000</v>
      </c>
      <c r="BJ122" s="230">
        <v>-4062000</v>
      </c>
      <c r="BK122" s="229">
        <v>-0.34789999999999999</v>
      </c>
      <c r="BL122" s="230">
        <v>3543000</v>
      </c>
      <c r="BM122" s="230">
        <v>6849000</v>
      </c>
      <c r="BN122" s="230">
        <v>-3306000</v>
      </c>
      <c r="BO122" s="229">
        <v>-0.48270000000000002</v>
      </c>
      <c r="BP122" s="230">
        <v>19485000</v>
      </c>
      <c r="BQ122" s="230">
        <v>27576000</v>
      </c>
      <c r="BR122" s="230">
        <v>-8091000</v>
      </c>
      <c r="BS122" s="229">
        <v>-0.29339999999999999</v>
      </c>
      <c r="BT122" s="230">
        <v>5182200</v>
      </c>
      <c r="BU122" s="230">
        <v>5098179</v>
      </c>
      <c r="BV122" s="230">
        <v>84021</v>
      </c>
      <c r="BW122" s="229">
        <v>1.6500000000000001E-2</v>
      </c>
      <c r="BX122" s="230">
        <v>57594000</v>
      </c>
      <c r="BY122" s="230">
        <v>55776000</v>
      </c>
      <c r="BZ122" s="230">
        <v>1818000</v>
      </c>
      <c r="CA122" s="229">
        <v>3.2599999999999997E-2</v>
      </c>
      <c r="CB122" s="230">
        <v>55644000</v>
      </c>
      <c r="CC122" s="230">
        <v>53847000</v>
      </c>
      <c r="CD122" s="230">
        <v>1797000</v>
      </c>
      <c r="CE122" s="229">
        <v>3.3399999999999999E-2</v>
      </c>
      <c r="CF122" s="230">
        <v>1866000</v>
      </c>
      <c r="CG122" s="230">
        <v>1848000</v>
      </c>
      <c r="CH122" s="230">
        <v>18000</v>
      </c>
      <c r="CI122" s="229">
        <v>9.7000000000000003E-3</v>
      </c>
      <c r="CJ122" s="230">
        <v>84000</v>
      </c>
      <c r="CK122" s="230">
        <v>81000</v>
      </c>
      <c r="CL122" s="230">
        <v>3000</v>
      </c>
      <c r="CM122" s="229">
        <v>3.6999999999999998E-2</v>
      </c>
      <c r="CN122" s="230">
        <v>23907000</v>
      </c>
      <c r="CO122" s="230">
        <v>22851000</v>
      </c>
      <c r="CP122" s="230">
        <v>1056000</v>
      </c>
      <c r="CQ122" s="229">
        <v>4.6199999999999998E-2</v>
      </c>
      <c r="CR122" s="230">
        <v>20736000</v>
      </c>
      <c r="CS122" s="230">
        <v>20406000</v>
      </c>
      <c r="CT122" s="230">
        <v>330000</v>
      </c>
      <c r="CU122" s="229">
        <v>1.6199999999999999E-2</v>
      </c>
      <c r="CV122" s="230">
        <v>102237000</v>
      </c>
      <c r="CW122" s="230">
        <v>99033000</v>
      </c>
      <c r="CX122" s="230">
        <v>3204000</v>
      </c>
      <c r="CY122" s="229">
        <v>3.2399999999999998E-2</v>
      </c>
      <c r="CZ122" s="228">
        <v>40.03</v>
      </c>
      <c r="DA122" s="228">
        <v>41.24</v>
      </c>
      <c r="DB122" s="228">
        <v>-1.21</v>
      </c>
      <c r="DC122" s="228">
        <v>-1.21</v>
      </c>
      <c r="DD122" s="228">
        <v>42.38</v>
      </c>
      <c r="DE122" s="228">
        <v>42.46</v>
      </c>
      <c r="DF122" s="228">
        <v>-2.35</v>
      </c>
      <c r="DG122" s="228">
        <v>-0.08</v>
      </c>
      <c r="DH122" s="228">
        <v>40.299999999999997</v>
      </c>
      <c r="DI122" s="228">
        <v>42.4</v>
      </c>
      <c r="DJ122" s="228">
        <v>-2.1</v>
      </c>
      <c r="DK122" s="228">
        <v>-2.1</v>
      </c>
      <c r="DL122" s="228">
        <v>39.450000000000003</v>
      </c>
      <c r="DM122" s="228">
        <v>39.26</v>
      </c>
      <c r="DN122" s="228">
        <v>0.19</v>
      </c>
      <c r="DO122" s="228">
        <v>0.19</v>
      </c>
      <c r="DP122" s="228">
        <v>0.87</v>
      </c>
      <c r="DQ122" s="228">
        <v>0.89</v>
      </c>
      <c r="DR122" s="228">
        <v>-0.02</v>
      </c>
      <c r="DS122" s="229">
        <v>-2.2499999999999999E-2</v>
      </c>
      <c r="DT122" s="228">
        <v>270</v>
      </c>
      <c r="DU122" s="228">
        <v>240</v>
      </c>
      <c r="DV122" s="228">
        <v>0.47</v>
      </c>
      <c r="DW122" s="228">
        <v>0.59</v>
      </c>
      <c r="DX122" s="228">
        <v>-0.12</v>
      </c>
      <c r="DY122" s="229">
        <v>-0.2034</v>
      </c>
      <c r="DZ122" s="229">
        <v>3.39E-2</v>
      </c>
      <c r="EA122" s="230">
        <v>1929000</v>
      </c>
      <c r="EB122" s="229">
        <v>5.7000000000000002E-3</v>
      </c>
      <c r="EC122" s="229">
        <v>3.39E-2</v>
      </c>
      <c r="ED122" s="228">
        <v>1.58</v>
      </c>
      <c r="EE122" s="229">
        <v>6.1000000000000004E-3</v>
      </c>
      <c r="EF122" s="230">
        <v>2413823</v>
      </c>
      <c r="EG122" s="230">
        <v>2373766</v>
      </c>
      <c r="EH122" s="229">
        <v>1.6899999999999998E-2</v>
      </c>
      <c r="EI122" s="229">
        <v>0.46579999999999999</v>
      </c>
      <c r="EJ122" s="231">
        <v>21373.65</v>
      </c>
      <c r="EK122" s="231">
        <v>9176.3700000000008</v>
      </c>
      <c r="EL122" s="231">
        <v>21411.7</v>
      </c>
      <c r="EM122" s="231">
        <v>3267</v>
      </c>
      <c r="EN122" s="231">
        <v>51961.72</v>
      </c>
      <c r="EO122" s="231">
        <v>75153.679999999993</v>
      </c>
      <c r="EP122" s="231">
        <v>-23191.96</v>
      </c>
      <c r="EQ122" s="229">
        <v>-0.30859999999999999</v>
      </c>
      <c r="ER122" s="231">
        <v>69732</v>
      </c>
      <c r="ES122" s="231">
        <v>54596</v>
      </c>
      <c r="ET122" s="231">
        <v>147699</v>
      </c>
      <c r="EU122" s="231">
        <v>82205057</v>
      </c>
      <c r="EV122" s="231">
        <v>272027</v>
      </c>
      <c r="EW122" s="231">
        <v>264873</v>
      </c>
      <c r="EX122" s="231">
        <v>7154</v>
      </c>
      <c r="EY122" s="229">
        <v>2.7E-2</v>
      </c>
      <c r="EZ122" s="229">
        <v>1.2437</v>
      </c>
      <c r="FA122" s="227" t="s">
        <v>567</v>
      </c>
      <c r="FB122" s="161">
        <f t="shared" si="1"/>
        <v>1950000</v>
      </c>
    </row>
    <row r="123" spans="1:158" ht="17.25" thickBot="1" x14ac:dyDescent="0.3">
      <c r="A123" s="226">
        <v>46093</v>
      </c>
      <c r="B123" s="227" t="s">
        <v>170</v>
      </c>
      <c r="C123" s="227" t="s">
        <v>671</v>
      </c>
      <c r="D123" s="228">
        <v>225</v>
      </c>
      <c r="E123" s="231">
        <v>2216.9</v>
      </c>
      <c r="F123" s="231">
        <v>2243.1999999999998</v>
      </c>
      <c r="G123" s="228">
        <v>-26.3</v>
      </c>
      <c r="H123" s="229">
        <v>-1.17E-2</v>
      </c>
      <c r="I123" s="231">
        <v>2207.9</v>
      </c>
      <c r="J123" s="231">
        <v>2243.8000000000002</v>
      </c>
      <c r="K123" s="228">
        <v>-35.9</v>
      </c>
      <c r="L123" s="229">
        <v>-1.6E-2</v>
      </c>
      <c r="M123" s="231">
        <v>2216.9</v>
      </c>
      <c r="N123" s="231">
        <v>2243.1999999999998</v>
      </c>
      <c r="O123" s="228">
        <v>-26.3</v>
      </c>
      <c r="P123" s="229">
        <v>-1.17E-2</v>
      </c>
      <c r="Q123" s="231">
        <v>2224.6999999999998</v>
      </c>
      <c r="R123" s="231">
        <v>2250.1999999999998</v>
      </c>
      <c r="S123" s="228">
        <v>-25.5</v>
      </c>
      <c r="T123" s="229">
        <v>-1.1299999999999999E-2</v>
      </c>
      <c r="U123" s="231">
        <v>2219</v>
      </c>
      <c r="V123" s="231">
        <v>2272.5</v>
      </c>
      <c r="W123" s="228">
        <v>-53.5</v>
      </c>
      <c r="X123" s="229">
        <v>-2.35E-2</v>
      </c>
      <c r="Y123" s="228">
        <v>9</v>
      </c>
      <c r="Z123" s="228">
        <v>-0.6</v>
      </c>
      <c r="AA123" s="228">
        <v>9.6</v>
      </c>
      <c r="AB123" s="229">
        <v>4.1000000000000003E-3</v>
      </c>
      <c r="AC123" s="228">
        <v>9</v>
      </c>
      <c r="AD123" s="228">
        <v>-0.6</v>
      </c>
      <c r="AE123" s="228">
        <v>9.6</v>
      </c>
      <c r="AF123" s="229">
        <v>4.1000000000000003E-3</v>
      </c>
      <c r="AG123" s="228">
        <v>16.8</v>
      </c>
      <c r="AH123" s="228">
        <v>6.4</v>
      </c>
      <c r="AI123" s="228">
        <v>10.4</v>
      </c>
      <c r="AJ123" s="229">
        <v>7.6E-3</v>
      </c>
      <c r="AK123" s="228">
        <v>11.1</v>
      </c>
      <c r="AL123" s="228">
        <v>28.7</v>
      </c>
      <c r="AM123" s="228">
        <v>-17.600000000000001</v>
      </c>
      <c r="AN123" s="229">
        <v>5.0000000000000001E-3</v>
      </c>
      <c r="AO123" s="231">
        <v>2220.75</v>
      </c>
      <c r="AP123" s="231">
        <v>2226.16</v>
      </c>
      <c r="AQ123" s="228">
        <v>0</v>
      </c>
      <c r="AR123" s="230">
        <v>391725</v>
      </c>
      <c r="AS123" s="230">
        <v>345375</v>
      </c>
      <c r="AT123" s="230">
        <v>46350</v>
      </c>
      <c r="AU123" s="229">
        <v>0.13420000000000001</v>
      </c>
      <c r="AV123" s="230">
        <v>364725</v>
      </c>
      <c r="AW123" s="230">
        <v>325575</v>
      </c>
      <c r="AX123" s="230">
        <v>39150</v>
      </c>
      <c r="AY123" s="229">
        <v>0.1202</v>
      </c>
      <c r="AZ123" s="230">
        <v>23625</v>
      </c>
      <c r="BA123" s="230">
        <v>18675</v>
      </c>
      <c r="BB123" s="230">
        <v>4950</v>
      </c>
      <c r="BC123" s="229">
        <v>0.2651</v>
      </c>
      <c r="BD123" s="230">
        <v>3375</v>
      </c>
      <c r="BE123" s="230">
        <v>1125</v>
      </c>
      <c r="BF123" s="230">
        <v>2250</v>
      </c>
      <c r="BG123" s="229">
        <v>2</v>
      </c>
      <c r="BH123" s="230">
        <v>835875</v>
      </c>
      <c r="BI123" s="230">
        <v>1555650</v>
      </c>
      <c r="BJ123" s="230">
        <v>-719775</v>
      </c>
      <c r="BK123" s="229">
        <v>-0.4627</v>
      </c>
      <c r="BL123" s="230">
        <v>230400</v>
      </c>
      <c r="BM123" s="230">
        <v>278325</v>
      </c>
      <c r="BN123" s="230">
        <v>-47925</v>
      </c>
      <c r="BO123" s="229">
        <v>-0.17219999999999999</v>
      </c>
      <c r="BP123" s="230">
        <v>1458000</v>
      </c>
      <c r="BQ123" s="230">
        <v>2179350</v>
      </c>
      <c r="BR123" s="230">
        <v>-721350</v>
      </c>
      <c r="BS123" s="229">
        <v>-0.33100000000000002</v>
      </c>
      <c r="BT123" s="230">
        <v>313632</v>
      </c>
      <c r="BU123" s="230">
        <v>430837</v>
      </c>
      <c r="BV123" s="230">
        <v>-117205</v>
      </c>
      <c r="BW123" s="229">
        <v>-0.27200000000000002</v>
      </c>
      <c r="BX123" s="230">
        <v>2672775</v>
      </c>
      <c r="BY123" s="230">
        <v>2663775</v>
      </c>
      <c r="BZ123" s="230">
        <v>9000</v>
      </c>
      <c r="CA123" s="229">
        <v>3.3999999999999998E-3</v>
      </c>
      <c r="CB123" s="230">
        <v>2603025</v>
      </c>
      <c r="CC123" s="230">
        <v>2592450</v>
      </c>
      <c r="CD123" s="230">
        <v>10575</v>
      </c>
      <c r="CE123" s="229">
        <v>4.1000000000000003E-3</v>
      </c>
      <c r="CF123" s="230">
        <v>62100</v>
      </c>
      <c r="CG123" s="230">
        <v>63675</v>
      </c>
      <c r="CH123" s="230">
        <v>-1575</v>
      </c>
      <c r="CI123" s="229">
        <v>-2.47E-2</v>
      </c>
      <c r="CJ123" s="230">
        <v>7650</v>
      </c>
      <c r="CK123" s="230">
        <v>7650</v>
      </c>
      <c r="CL123" s="228">
        <v>0</v>
      </c>
      <c r="CM123" s="229">
        <v>0</v>
      </c>
      <c r="CN123" s="230">
        <v>1159875</v>
      </c>
      <c r="CO123" s="230">
        <v>1140525</v>
      </c>
      <c r="CP123" s="230">
        <v>19350</v>
      </c>
      <c r="CQ123" s="229">
        <v>1.7000000000000001E-2</v>
      </c>
      <c r="CR123" s="230">
        <v>568125</v>
      </c>
      <c r="CS123" s="230">
        <v>596025</v>
      </c>
      <c r="CT123" s="230">
        <v>-27900</v>
      </c>
      <c r="CU123" s="229">
        <v>-4.6800000000000001E-2</v>
      </c>
      <c r="CV123" s="230">
        <v>4400775</v>
      </c>
      <c r="CW123" s="230">
        <v>4400325</v>
      </c>
      <c r="CX123" s="228">
        <v>450</v>
      </c>
      <c r="CY123" s="229">
        <v>1E-4</v>
      </c>
      <c r="CZ123" s="228">
        <v>32.11</v>
      </c>
      <c r="DA123" s="228">
        <v>33.06</v>
      </c>
      <c r="DB123" s="228">
        <v>-0.95</v>
      </c>
      <c r="DC123" s="228">
        <v>-0.95</v>
      </c>
      <c r="DD123" s="228">
        <v>33.42</v>
      </c>
      <c r="DE123" s="228">
        <v>33.43</v>
      </c>
      <c r="DF123" s="228">
        <v>-1.31</v>
      </c>
      <c r="DG123" s="228">
        <v>-0.01</v>
      </c>
      <c r="DH123" s="228">
        <v>32.299999999999997</v>
      </c>
      <c r="DI123" s="228">
        <v>32.86</v>
      </c>
      <c r="DJ123" s="228">
        <v>-0.56000000000000005</v>
      </c>
      <c r="DK123" s="228">
        <v>-0.56000000000000005</v>
      </c>
      <c r="DL123" s="228">
        <v>31.41</v>
      </c>
      <c r="DM123" s="228">
        <v>34.200000000000003</v>
      </c>
      <c r="DN123" s="228">
        <v>-2.79</v>
      </c>
      <c r="DO123" s="228">
        <v>-2.79</v>
      </c>
      <c r="DP123" s="228">
        <v>0.49</v>
      </c>
      <c r="DQ123" s="228">
        <v>0.52</v>
      </c>
      <c r="DR123" s="228">
        <v>-0.03</v>
      </c>
      <c r="DS123" s="229">
        <v>-5.7700000000000001E-2</v>
      </c>
      <c r="DT123" s="231">
        <v>2400</v>
      </c>
      <c r="DU123" s="231">
        <v>2100</v>
      </c>
      <c r="DV123" s="228">
        <v>0.28000000000000003</v>
      </c>
      <c r="DW123" s="228">
        <v>0.18</v>
      </c>
      <c r="DX123" s="228">
        <v>0.1</v>
      </c>
      <c r="DY123" s="229">
        <v>0.55559999999999998</v>
      </c>
      <c r="DZ123" s="229">
        <v>2.6100000000000002E-2</v>
      </c>
      <c r="EA123" s="230">
        <v>71325</v>
      </c>
      <c r="EB123" s="229">
        <v>3.5000000000000001E-3</v>
      </c>
      <c r="EC123" s="229">
        <v>2.6100000000000002E-2</v>
      </c>
      <c r="ED123" s="228">
        <v>5.41</v>
      </c>
      <c r="EE123" s="229">
        <v>2.3999999999999998E-3</v>
      </c>
      <c r="EF123" s="230">
        <v>160780</v>
      </c>
      <c r="EG123" s="230">
        <v>259604</v>
      </c>
      <c r="EH123" s="229">
        <v>-0.38069999999999998</v>
      </c>
      <c r="EI123" s="229">
        <v>0.51259999999999994</v>
      </c>
      <c r="EJ123" s="231">
        <v>19732.8</v>
      </c>
      <c r="EK123" s="231">
        <v>5050.32</v>
      </c>
      <c r="EL123" s="231">
        <v>8700.9</v>
      </c>
      <c r="EM123" s="231">
        <v>3408</v>
      </c>
      <c r="EN123" s="231">
        <v>33484.019999999997</v>
      </c>
      <c r="EO123" s="231">
        <v>50647.45</v>
      </c>
      <c r="EP123" s="231">
        <v>-17163.43</v>
      </c>
      <c r="EQ123" s="229">
        <v>-0.33889999999999998</v>
      </c>
      <c r="ER123" s="231">
        <v>26945</v>
      </c>
      <c r="ES123" s="231">
        <v>12125</v>
      </c>
      <c r="ET123" s="231">
        <v>59258</v>
      </c>
      <c r="EU123" s="231">
        <v>16919681</v>
      </c>
      <c r="EV123" s="231">
        <v>98327</v>
      </c>
      <c r="EW123" s="231">
        <v>98915</v>
      </c>
      <c r="EX123" s="228">
        <v>-588</v>
      </c>
      <c r="EY123" s="229">
        <v>-5.8999999999999999E-3</v>
      </c>
      <c r="EZ123" s="229">
        <v>0.2601</v>
      </c>
      <c r="FA123" s="227" t="s">
        <v>567</v>
      </c>
      <c r="FB123" s="161">
        <f t="shared" si="1"/>
        <v>69750</v>
      </c>
    </row>
    <row r="124" spans="1:158" ht="17.25" thickBot="1" x14ac:dyDescent="0.3">
      <c r="A124" s="226">
        <v>46093</v>
      </c>
      <c r="B124" s="227" t="s">
        <v>168</v>
      </c>
      <c r="C124" s="227" t="s">
        <v>254</v>
      </c>
      <c r="D124" s="228">
        <v>1200</v>
      </c>
      <c r="E124" s="228">
        <v>756</v>
      </c>
      <c r="F124" s="228">
        <v>764.1</v>
      </c>
      <c r="G124" s="228">
        <v>-8.1</v>
      </c>
      <c r="H124" s="229">
        <v>-1.06E-2</v>
      </c>
      <c r="I124" s="228">
        <v>757.15</v>
      </c>
      <c r="J124" s="228">
        <v>761.6</v>
      </c>
      <c r="K124" s="228">
        <v>-4.45</v>
      </c>
      <c r="L124" s="229">
        <v>-5.7999999999999996E-3</v>
      </c>
      <c r="M124" s="228">
        <v>756</v>
      </c>
      <c r="N124" s="228">
        <v>764.1</v>
      </c>
      <c r="O124" s="228">
        <v>-8.1</v>
      </c>
      <c r="P124" s="229">
        <v>-1.06E-2</v>
      </c>
      <c r="Q124" s="228">
        <v>759</v>
      </c>
      <c r="R124" s="228">
        <v>767.65</v>
      </c>
      <c r="S124" s="228">
        <v>-8.65</v>
      </c>
      <c r="T124" s="229">
        <v>-1.1299999999999999E-2</v>
      </c>
      <c r="U124" s="228">
        <v>763</v>
      </c>
      <c r="V124" s="228">
        <v>770.75</v>
      </c>
      <c r="W124" s="228">
        <v>-7.75</v>
      </c>
      <c r="X124" s="229">
        <v>-1.01E-2</v>
      </c>
      <c r="Y124" s="228">
        <v>-1.1499999999999999</v>
      </c>
      <c r="Z124" s="228">
        <v>2.5</v>
      </c>
      <c r="AA124" s="228">
        <v>-3.65</v>
      </c>
      <c r="AB124" s="229">
        <v>-1.5E-3</v>
      </c>
      <c r="AC124" s="228">
        <v>-1.1499999999999999</v>
      </c>
      <c r="AD124" s="228">
        <v>2.5</v>
      </c>
      <c r="AE124" s="228">
        <v>-3.65</v>
      </c>
      <c r="AF124" s="229">
        <v>-1.5E-3</v>
      </c>
      <c r="AG124" s="228">
        <v>1.85</v>
      </c>
      <c r="AH124" s="228">
        <v>6.05</v>
      </c>
      <c r="AI124" s="228">
        <v>-4.2</v>
      </c>
      <c r="AJ124" s="229">
        <v>2.3999999999999998E-3</v>
      </c>
      <c r="AK124" s="228">
        <v>5.85</v>
      </c>
      <c r="AL124" s="228">
        <v>9.15</v>
      </c>
      <c r="AM124" s="228">
        <v>-3.3</v>
      </c>
      <c r="AN124" s="229">
        <v>7.7000000000000002E-3</v>
      </c>
      <c r="AO124" s="228">
        <v>756.26</v>
      </c>
      <c r="AP124" s="228">
        <v>759.14</v>
      </c>
      <c r="AQ124" s="228">
        <v>0</v>
      </c>
      <c r="AR124" s="230">
        <v>9853200</v>
      </c>
      <c r="AS124" s="230">
        <v>3375600</v>
      </c>
      <c r="AT124" s="230">
        <v>6477600</v>
      </c>
      <c r="AU124" s="229">
        <v>1.9189000000000001</v>
      </c>
      <c r="AV124" s="230">
        <v>8844000</v>
      </c>
      <c r="AW124" s="230">
        <v>3321600</v>
      </c>
      <c r="AX124" s="230">
        <v>5522400</v>
      </c>
      <c r="AY124" s="229">
        <v>1.6626000000000001</v>
      </c>
      <c r="AZ124" s="230">
        <v>1003200</v>
      </c>
      <c r="BA124" s="230">
        <v>50400</v>
      </c>
      <c r="BB124" s="230">
        <v>952800</v>
      </c>
      <c r="BC124" s="229">
        <v>18.904800000000002</v>
      </c>
      <c r="BD124" s="230">
        <v>6000</v>
      </c>
      <c r="BE124" s="230">
        <v>3600</v>
      </c>
      <c r="BF124" s="230">
        <v>2400</v>
      </c>
      <c r="BG124" s="229">
        <v>0.66669999999999996</v>
      </c>
      <c r="BH124" s="230">
        <v>17497200</v>
      </c>
      <c r="BI124" s="230">
        <v>5286000</v>
      </c>
      <c r="BJ124" s="230">
        <v>12211200</v>
      </c>
      <c r="BK124" s="229">
        <v>2.3100999999999998</v>
      </c>
      <c r="BL124" s="230">
        <v>17341200</v>
      </c>
      <c r="BM124" s="230">
        <v>5859600</v>
      </c>
      <c r="BN124" s="230">
        <v>11481600</v>
      </c>
      <c r="BO124" s="229">
        <v>1.9595</v>
      </c>
      <c r="BP124" s="230">
        <v>44691600</v>
      </c>
      <c r="BQ124" s="230">
        <v>14521200</v>
      </c>
      <c r="BR124" s="230">
        <v>30170400</v>
      </c>
      <c r="BS124" s="229">
        <v>2.0777000000000001</v>
      </c>
      <c r="BT124" s="230">
        <v>4422388</v>
      </c>
      <c r="BU124" s="230">
        <v>1056033</v>
      </c>
      <c r="BV124" s="230">
        <v>3366355</v>
      </c>
      <c r="BW124" s="229">
        <v>3.1877</v>
      </c>
      <c r="BX124" s="230">
        <v>25310400</v>
      </c>
      <c r="BY124" s="230">
        <v>25909200</v>
      </c>
      <c r="BZ124" s="230">
        <v>-598800</v>
      </c>
      <c r="CA124" s="229">
        <v>-2.3099999999999999E-2</v>
      </c>
      <c r="CB124" s="230">
        <v>25130400</v>
      </c>
      <c r="CC124" s="230">
        <v>25808400</v>
      </c>
      <c r="CD124" s="230">
        <v>-678000</v>
      </c>
      <c r="CE124" s="229">
        <v>-2.63E-2</v>
      </c>
      <c r="CF124" s="230">
        <v>163200</v>
      </c>
      <c r="CG124" s="230">
        <v>86400</v>
      </c>
      <c r="CH124" s="230">
        <v>76800</v>
      </c>
      <c r="CI124" s="229">
        <v>0.88890000000000002</v>
      </c>
      <c r="CJ124" s="230">
        <v>16800</v>
      </c>
      <c r="CK124" s="230">
        <v>14400</v>
      </c>
      <c r="CL124" s="230">
        <v>2400</v>
      </c>
      <c r="CM124" s="229">
        <v>0.16669999999999999</v>
      </c>
      <c r="CN124" s="230">
        <v>5839200</v>
      </c>
      <c r="CO124" s="230">
        <v>5308800</v>
      </c>
      <c r="CP124" s="230">
        <v>530400</v>
      </c>
      <c r="CQ124" s="229">
        <v>9.9900000000000003E-2</v>
      </c>
      <c r="CR124" s="230">
        <v>3424800</v>
      </c>
      <c r="CS124" s="230">
        <v>3057600</v>
      </c>
      <c r="CT124" s="230">
        <v>367200</v>
      </c>
      <c r="CU124" s="229">
        <v>0.1201</v>
      </c>
      <c r="CV124" s="230">
        <v>34574400</v>
      </c>
      <c r="CW124" s="230">
        <v>34275600</v>
      </c>
      <c r="CX124" s="230">
        <v>298800</v>
      </c>
      <c r="CY124" s="229">
        <v>8.6999999999999994E-3</v>
      </c>
      <c r="CZ124" s="228">
        <v>25</v>
      </c>
      <c r="DA124" s="228">
        <v>24.39</v>
      </c>
      <c r="DB124" s="228">
        <v>0.61</v>
      </c>
      <c r="DC124" s="228">
        <v>0.61</v>
      </c>
      <c r="DD124" s="228">
        <v>24.57</v>
      </c>
      <c r="DE124" s="228">
        <v>24.62</v>
      </c>
      <c r="DF124" s="228">
        <v>0.43</v>
      </c>
      <c r="DG124" s="228">
        <v>-0.05</v>
      </c>
      <c r="DH124" s="228">
        <v>24.75</v>
      </c>
      <c r="DI124" s="228">
        <v>23.73</v>
      </c>
      <c r="DJ124" s="228">
        <v>1.02</v>
      </c>
      <c r="DK124" s="228">
        <v>1.02</v>
      </c>
      <c r="DL124" s="228">
        <v>25.26</v>
      </c>
      <c r="DM124" s="228">
        <v>24.99</v>
      </c>
      <c r="DN124" s="228">
        <v>0.27</v>
      </c>
      <c r="DO124" s="228">
        <v>0.27</v>
      </c>
      <c r="DP124" s="228">
        <v>0.59</v>
      </c>
      <c r="DQ124" s="228">
        <v>0.57999999999999996</v>
      </c>
      <c r="DR124" s="228">
        <v>0.01</v>
      </c>
      <c r="DS124" s="229">
        <v>1.72E-2</v>
      </c>
      <c r="DT124" s="228">
        <v>860</v>
      </c>
      <c r="DU124" s="228">
        <v>750</v>
      </c>
      <c r="DV124" s="228">
        <v>0.99</v>
      </c>
      <c r="DW124" s="228">
        <v>1.1100000000000001</v>
      </c>
      <c r="DX124" s="228">
        <v>-0.12</v>
      </c>
      <c r="DY124" s="229">
        <v>-0.1081</v>
      </c>
      <c r="DZ124" s="229">
        <v>7.1000000000000004E-3</v>
      </c>
      <c r="EA124" s="230">
        <v>100800</v>
      </c>
      <c r="EB124" s="229">
        <v>4.0000000000000001E-3</v>
      </c>
      <c r="EC124" s="229">
        <v>7.1000000000000004E-3</v>
      </c>
      <c r="ED124" s="228">
        <v>2.88</v>
      </c>
      <c r="EE124" s="229">
        <v>3.8E-3</v>
      </c>
      <c r="EF124" s="230">
        <v>1668687</v>
      </c>
      <c r="EG124" s="230">
        <v>614167</v>
      </c>
      <c r="EH124" s="229">
        <v>1.7170000000000001</v>
      </c>
      <c r="EI124" s="229">
        <v>0.37730000000000002</v>
      </c>
      <c r="EJ124" s="231">
        <v>136737.07999999999</v>
      </c>
      <c r="EK124" s="231">
        <v>133453.85</v>
      </c>
      <c r="EL124" s="231">
        <v>74544.61</v>
      </c>
      <c r="EM124" s="231">
        <v>2075</v>
      </c>
      <c r="EN124" s="231">
        <v>344735.54</v>
      </c>
      <c r="EO124" s="231">
        <v>114177.49</v>
      </c>
      <c r="EP124" s="231">
        <v>230558.05</v>
      </c>
      <c r="EQ124" s="229">
        <v>2.0192999999999999</v>
      </c>
      <c r="ER124" s="231">
        <v>47536</v>
      </c>
      <c r="ES124" s="231">
        <v>25769</v>
      </c>
      <c r="ET124" s="231">
        <v>191353</v>
      </c>
      <c r="EU124" s="231">
        <v>79442217</v>
      </c>
      <c r="EV124" s="231">
        <v>264658</v>
      </c>
      <c r="EW124" s="231">
        <v>264764</v>
      </c>
      <c r="EX124" s="228">
        <v>-106</v>
      </c>
      <c r="EY124" s="229">
        <v>-4.0000000000000002E-4</v>
      </c>
      <c r="EZ124" s="229">
        <v>0.43519999999999998</v>
      </c>
      <c r="FA124" s="227" t="s">
        <v>568</v>
      </c>
      <c r="FB124" s="161">
        <f t="shared" si="1"/>
        <v>180000</v>
      </c>
    </row>
    <row r="125" spans="1:158" ht="17.25" thickBot="1" x14ac:dyDescent="0.3">
      <c r="A125" s="226">
        <v>46093</v>
      </c>
      <c r="B125" s="227" t="s">
        <v>162</v>
      </c>
      <c r="C125" s="227" t="s">
        <v>255</v>
      </c>
      <c r="D125" s="228">
        <v>50</v>
      </c>
      <c r="E125" s="231">
        <v>13059</v>
      </c>
      <c r="F125" s="231">
        <v>13509</v>
      </c>
      <c r="G125" s="228">
        <v>-450</v>
      </c>
      <c r="H125" s="229">
        <v>-3.3300000000000003E-2</v>
      </c>
      <c r="I125" s="231">
        <v>13011</v>
      </c>
      <c r="J125" s="231">
        <v>13497</v>
      </c>
      <c r="K125" s="228">
        <v>-486</v>
      </c>
      <c r="L125" s="229">
        <v>-3.5999999999999997E-2</v>
      </c>
      <c r="M125" s="231">
        <v>13059</v>
      </c>
      <c r="N125" s="231">
        <v>13509</v>
      </c>
      <c r="O125" s="228">
        <v>-450</v>
      </c>
      <c r="P125" s="229">
        <v>-3.3300000000000003E-2</v>
      </c>
      <c r="Q125" s="231">
        <v>13138</v>
      </c>
      <c r="R125" s="231">
        <v>13597</v>
      </c>
      <c r="S125" s="228">
        <v>-459</v>
      </c>
      <c r="T125" s="229">
        <v>-3.3799999999999997E-2</v>
      </c>
      <c r="U125" s="231">
        <v>13190</v>
      </c>
      <c r="V125" s="231">
        <v>13659</v>
      </c>
      <c r="W125" s="228">
        <v>-469</v>
      </c>
      <c r="X125" s="229">
        <v>-3.4299999999999997E-2</v>
      </c>
      <c r="Y125" s="228">
        <v>48</v>
      </c>
      <c r="Z125" s="228">
        <v>12</v>
      </c>
      <c r="AA125" s="228">
        <v>36</v>
      </c>
      <c r="AB125" s="229">
        <v>3.7000000000000002E-3</v>
      </c>
      <c r="AC125" s="228">
        <v>48</v>
      </c>
      <c r="AD125" s="228">
        <v>12</v>
      </c>
      <c r="AE125" s="228">
        <v>36</v>
      </c>
      <c r="AF125" s="229">
        <v>3.7000000000000002E-3</v>
      </c>
      <c r="AG125" s="228">
        <v>127</v>
      </c>
      <c r="AH125" s="228">
        <v>100</v>
      </c>
      <c r="AI125" s="228">
        <v>27</v>
      </c>
      <c r="AJ125" s="229">
        <v>9.7999999999999997E-3</v>
      </c>
      <c r="AK125" s="228">
        <v>179</v>
      </c>
      <c r="AL125" s="228">
        <v>162</v>
      </c>
      <c r="AM125" s="228">
        <v>17</v>
      </c>
      <c r="AN125" s="229">
        <v>1.38E-2</v>
      </c>
      <c r="AO125" s="231">
        <v>13197.08</v>
      </c>
      <c r="AP125" s="231">
        <v>13277.53</v>
      </c>
      <c r="AQ125" s="228">
        <v>0</v>
      </c>
      <c r="AR125" s="230">
        <v>731850</v>
      </c>
      <c r="AS125" s="230">
        <v>501300</v>
      </c>
      <c r="AT125" s="230">
        <v>230550</v>
      </c>
      <c r="AU125" s="229">
        <v>0.45989999999999998</v>
      </c>
      <c r="AV125" s="230">
        <v>672350</v>
      </c>
      <c r="AW125" s="230">
        <v>463700</v>
      </c>
      <c r="AX125" s="230">
        <v>208650</v>
      </c>
      <c r="AY125" s="229">
        <v>0.45</v>
      </c>
      <c r="AZ125" s="230">
        <v>53850</v>
      </c>
      <c r="BA125" s="230">
        <v>33400</v>
      </c>
      <c r="BB125" s="230">
        <v>20450</v>
      </c>
      <c r="BC125" s="229">
        <v>0.61229999999999996</v>
      </c>
      <c r="BD125" s="230">
        <v>5650</v>
      </c>
      <c r="BE125" s="230">
        <v>4200</v>
      </c>
      <c r="BF125" s="230">
        <v>1450</v>
      </c>
      <c r="BG125" s="229">
        <v>0.34520000000000001</v>
      </c>
      <c r="BH125" s="230">
        <v>3868900</v>
      </c>
      <c r="BI125" s="230">
        <v>2737700</v>
      </c>
      <c r="BJ125" s="230">
        <v>1131200</v>
      </c>
      <c r="BK125" s="229">
        <v>0.41320000000000001</v>
      </c>
      <c r="BL125" s="230">
        <v>2747250</v>
      </c>
      <c r="BM125" s="230">
        <v>2172850</v>
      </c>
      <c r="BN125" s="230">
        <v>574400</v>
      </c>
      <c r="BO125" s="229">
        <v>0.26440000000000002</v>
      </c>
      <c r="BP125" s="230">
        <v>7348000</v>
      </c>
      <c r="BQ125" s="230">
        <v>5411850</v>
      </c>
      <c r="BR125" s="230">
        <v>1936150</v>
      </c>
      <c r="BS125" s="229">
        <v>0.35780000000000001</v>
      </c>
      <c r="BT125" s="230">
        <v>668239</v>
      </c>
      <c r="BU125" s="230">
        <v>412095</v>
      </c>
      <c r="BV125" s="230">
        <v>256144</v>
      </c>
      <c r="BW125" s="229">
        <v>0.62160000000000004</v>
      </c>
      <c r="BX125" s="230">
        <v>2852700</v>
      </c>
      <c r="BY125" s="230">
        <v>2783400</v>
      </c>
      <c r="BZ125" s="230">
        <v>69300</v>
      </c>
      <c r="CA125" s="229">
        <v>2.4899999999999999E-2</v>
      </c>
      <c r="CB125" s="230">
        <v>2756800</v>
      </c>
      <c r="CC125" s="230">
        <v>2704700</v>
      </c>
      <c r="CD125" s="230">
        <v>52100</v>
      </c>
      <c r="CE125" s="229">
        <v>1.9300000000000001E-2</v>
      </c>
      <c r="CF125" s="230">
        <v>83100</v>
      </c>
      <c r="CG125" s="230">
        <v>66650</v>
      </c>
      <c r="CH125" s="230">
        <v>16450</v>
      </c>
      <c r="CI125" s="229">
        <v>0.24679999999999999</v>
      </c>
      <c r="CJ125" s="230">
        <v>12800</v>
      </c>
      <c r="CK125" s="230">
        <v>12050</v>
      </c>
      <c r="CL125" s="228">
        <v>750</v>
      </c>
      <c r="CM125" s="229">
        <v>6.2199999999999998E-2</v>
      </c>
      <c r="CN125" s="230">
        <v>2731350</v>
      </c>
      <c r="CO125" s="230">
        <v>2377300</v>
      </c>
      <c r="CP125" s="230">
        <v>354050</v>
      </c>
      <c r="CQ125" s="229">
        <v>0.1489</v>
      </c>
      <c r="CR125" s="230">
        <v>1075300</v>
      </c>
      <c r="CS125" s="230">
        <v>999150</v>
      </c>
      <c r="CT125" s="230">
        <v>76150</v>
      </c>
      <c r="CU125" s="229">
        <v>7.6200000000000004E-2</v>
      </c>
      <c r="CV125" s="230">
        <v>6659350</v>
      </c>
      <c r="CW125" s="230">
        <v>6159850</v>
      </c>
      <c r="CX125" s="230">
        <v>499500</v>
      </c>
      <c r="CY125" s="229">
        <v>8.1100000000000005E-2</v>
      </c>
      <c r="CZ125" s="228">
        <v>34.229999999999997</v>
      </c>
      <c r="DA125" s="228">
        <v>31.23</v>
      </c>
      <c r="DB125" s="228">
        <v>3</v>
      </c>
      <c r="DC125" s="228">
        <v>3</v>
      </c>
      <c r="DD125" s="228">
        <v>26.85</v>
      </c>
      <c r="DE125" s="228">
        <v>26.46</v>
      </c>
      <c r="DF125" s="228">
        <v>7.38</v>
      </c>
      <c r="DG125" s="228">
        <v>0.39</v>
      </c>
      <c r="DH125" s="228">
        <v>33.76</v>
      </c>
      <c r="DI125" s="228">
        <v>30.28</v>
      </c>
      <c r="DJ125" s="228">
        <v>3.48</v>
      </c>
      <c r="DK125" s="228">
        <v>3.48</v>
      </c>
      <c r="DL125" s="228">
        <v>34.880000000000003</v>
      </c>
      <c r="DM125" s="228">
        <v>32.43</v>
      </c>
      <c r="DN125" s="228">
        <v>2.4500000000000002</v>
      </c>
      <c r="DO125" s="228">
        <v>2.4500000000000002</v>
      </c>
      <c r="DP125" s="228">
        <v>0.39</v>
      </c>
      <c r="DQ125" s="228">
        <v>0.42</v>
      </c>
      <c r="DR125" s="228">
        <v>-0.03</v>
      </c>
      <c r="DS125" s="229">
        <v>-7.1400000000000005E-2</v>
      </c>
      <c r="DT125" s="231">
        <v>15000</v>
      </c>
      <c r="DU125" s="231">
        <v>13000</v>
      </c>
      <c r="DV125" s="228">
        <v>0.71</v>
      </c>
      <c r="DW125" s="228">
        <v>0.79</v>
      </c>
      <c r="DX125" s="228">
        <v>-0.08</v>
      </c>
      <c r="DY125" s="229">
        <v>-0.1013</v>
      </c>
      <c r="DZ125" s="229">
        <v>3.3599999999999998E-2</v>
      </c>
      <c r="EA125" s="230">
        <v>78700</v>
      </c>
      <c r="EB125" s="229">
        <v>6.0000000000000001E-3</v>
      </c>
      <c r="EC125" s="229">
        <v>3.3599999999999998E-2</v>
      </c>
      <c r="ED125" s="228">
        <v>80.45</v>
      </c>
      <c r="EE125" s="229">
        <v>6.1000000000000004E-3</v>
      </c>
      <c r="EF125" s="230">
        <v>409914</v>
      </c>
      <c r="EG125" s="230">
        <v>195369</v>
      </c>
      <c r="EH125" s="229">
        <v>1.0982000000000001</v>
      </c>
      <c r="EI125" s="229">
        <v>0.61339999999999995</v>
      </c>
      <c r="EJ125" s="231">
        <v>552029.59</v>
      </c>
      <c r="EK125" s="231">
        <v>363161.09</v>
      </c>
      <c r="EL125" s="231">
        <v>96634.14</v>
      </c>
      <c r="EM125" s="231">
        <v>9438</v>
      </c>
      <c r="EN125" s="231">
        <v>1011824.82</v>
      </c>
      <c r="EO125" s="231">
        <v>758739.68</v>
      </c>
      <c r="EP125" s="231">
        <v>253085.14</v>
      </c>
      <c r="EQ125" s="229">
        <v>0.33360000000000001</v>
      </c>
      <c r="ER125" s="231">
        <v>402551</v>
      </c>
      <c r="ES125" s="231">
        <v>146363</v>
      </c>
      <c r="ET125" s="231">
        <v>372617</v>
      </c>
      <c r="EU125" s="231">
        <v>17687048</v>
      </c>
      <c r="EV125" s="231">
        <v>921530</v>
      </c>
      <c r="EW125" s="231">
        <v>867419</v>
      </c>
      <c r="EX125" s="231">
        <v>54111</v>
      </c>
      <c r="EY125" s="229">
        <v>6.2399999999999997E-2</v>
      </c>
      <c r="EZ125" s="229">
        <v>0.3765</v>
      </c>
      <c r="FA125" s="227" t="s">
        <v>567</v>
      </c>
      <c r="FB125" s="161">
        <f t="shared" si="1"/>
        <v>95900</v>
      </c>
    </row>
    <row r="126" spans="1:158" ht="17.25" thickBot="1" x14ac:dyDescent="0.3">
      <c r="A126" s="226">
        <v>46093</v>
      </c>
      <c r="B126" s="227" t="s">
        <v>170</v>
      </c>
      <c r="C126" s="227" t="s">
        <v>603</v>
      </c>
      <c r="D126" s="228">
        <v>525</v>
      </c>
      <c r="E126" s="231">
        <v>1022.7</v>
      </c>
      <c r="F126" s="231">
        <v>1033.2</v>
      </c>
      <c r="G126" s="228">
        <v>-10.5</v>
      </c>
      <c r="H126" s="229">
        <v>-1.0200000000000001E-2</v>
      </c>
      <c r="I126" s="231">
        <v>1020.4</v>
      </c>
      <c r="J126" s="231">
        <v>1032.2</v>
      </c>
      <c r="K126" s="228">
        <v>-11.8</v>
      </c>
      <c r="L126" s="229">
        <v>-1.14E-2</v>
      </c>
      <c r="M126" s="231">
        <v>1022.7</v>
      </c>
      <c r="N126" s="231">
        <v>1033.2</v>
      </c>
      <c r="O126" s="228">
        <v>-10.5</v>
      </c>
      <c r="P126" s="229">
        <v>-1.0200000000000001E-2</v>
      </c>
      <c r="Q126" s="231">
        <v>1029.2</v>
      </c>
      <c r="R126" s="231">
        <v>1040.4000000000001</v>
      </c>
      <c r="S126" s="228">
        <v>-11.2</v>
      </c>
      <c r="T126" s="229">
        <v>-1.0800000000000001E-2</v>
      </c>
      <c r="U126" s="231">
        <v>1034.3</v>
      </c>
      <c r="V126" s="231">
        <v>1044.0999999999999</v>
      </c>
      <c r="W126" s="228">
        <v>-9.8000000000000007</v>
      </c>
      <c r="X126" s="229">
        <v>-9.4000000000000004E-3</v>
      </c>
      <c r="Y126" s="228">
        <v>2.2999999999999998</v>
      </c>
      <c r="Z126" s="228">
        <v>1</v>
      </c>
      <c r="AA126" s="228">
        <v>1.3</v>
      </c>
      <c r="AB126" s="229">
        <v>2.3E-3</v>
      </c>
      <c r="AC126" s="228">
        <v>2.2999999999999998</v>
      </c>
      <c r="AD126" s="228">
        <v>1</v>
      </c>
      <c r="AE126" s="228">
        <v>1.3</v>
      </c>
      <c r="AF126" s="229">
        <v>2.3E-3</v>
      </c>
      <c r="AG126" s="228">
        <v>8.8000000000000007</v>
      </c>
      <c r="AH126" s="228">
        <v>8.1999999999999993</v>
      </c>
      <c r="AI126" s="228">
        <v>0.6</v>
      </c>
      <c r="AJ126" s="229">
        <v>8.6E-3</v>
      </c>
      <c r="AK126" s="228">
        <v>13.9</v>
      </c>
      <c r="AL126" s="228">
        <v>11.9</v>
      </c>
      <c r="AM126" s="228">
        <v>2</v>
      </c>
      <c r="AN126" s="229">
        <v>1.3599999999999999E-2</v>
      </c>
      <c r="AO126" s="231">
        <v>1022.85</v>
      </c>
      <c r="AP126" s="231">
        <v>1030.25</v>
      </c>
      <c r="AQ126" s="228">
        <v>0</v>
      </c>
      <c r="AR126" s="230">
        <v>1611225</v>
      </c>
      <c r="AS126" s="230">
        <v>1349250</v>
      </c>
      <c r="AT126" s="230">
        <v>261975</v>
      </c>
      <c r="AU126" s="229">
        <v>0.19420000000000001</v>
      </c>
      <c r="AV126" s="230">
        <v>1531425</v>
      </c>
      <c r="AW126" s="230">
        <v>1278375</v>
      </c>
      <c r="AX126" s="230">
        <v>253050</v>
      </c>
      <c r="AY126" s="229">
        <v>0.19789999999999999</v>
      </c>
      <c r="AZ126" s="230">
        <v>74025</v>
      </c>
      <c r="BA126" s="230">
        <v>69825</v>
      </c>
      <c r="BB126" s="230">
        <v>4200</v>
      </c>
      <c r="BC126" s="229">
        <v>6.0199999999999997E-2</v>
      </c>
      <c r="BD126" s="230">
        <v>5775</v>
      </c>
      <c r="BE126" s="230">
        <v>1050</v>
      </c>
      <c r="BF126" s="230">
        <v>4725</v>
      </c>
      <c r="BG126" s="229">
        <v>4.5</v>
      </c>
      <c r="BH126" s="230">
        <v>2799825</v>
      </c>
      <c r="BI126" s="230">
        <v>2859675</v>
      </c>
      <c r="BJ126" s="230">
        <v>-59850</v>
      </c>
      <c r="BK126" s="229">
        <v>-2.0899999999999998E-2</v>
      </c>
      <c r="BL126" s="230">
        <v>2049075</v>
      </c>
      <c r="BM126" s="230">
        <v>2355675</v>
      </c>
      <c r="BN126" s="230">
        <v>-306600</v>
      </c>
      <c r="BO126" s="229">
        <v>-0.13020000000000001</v>
      </c>
      <c r="BP126" s="230">
        <v>6460125</v>
      </c>
      <c r="BQ126" s="230">
        <v>6564600</v>
      </c>
      <c r="BR126" s="230">
        <v>-104475</v>
      </c>
      <c r="BS126" s="229">
        <v>-1.5900000000000001E-2</v>
      </c>
      <c r="BT126" s="230">
        <v>5772624</v>
      </c>
      <c r="BU126" s="230">
        <v>2239035</v>
      </c>
      <c r="BV126" s="230">
        <v>3533589</v>
      </c>
      <c r="BW126" s="229">
        <v>1.5782</v>
      </c>
      <c r="BX126" s="230">
        <v>13491450</v>
      </c>
      <c r="BY126" s="230">
        <v>13625850</v>
      </c>
      <c r="BZ126" s="230">
        <v>-134400</v>
      </c>
      <c r="CA126" s="229">
        <v>-9.9000000000000008E-3</v>
      </c>
      <c r="CB126" s="230">
        <v>13265175</v>
      </c>
      <c r="CC126" s="230">
        <v>13422675</v>
      </c>
      <c r="CD126" s="230">
        <v>-157500</v>
      </c>
      <c r="CE126" s="229">
        <v>-1.17E-2</v>
      </c>
      <c r="CF126" s="230">
        <v>200025</v>
      </c>
      <c r="CG126" s="230">
        <v>181125</v>
      </c>
      <c r="CH126" s="230">
        <v>18900</v>
      </c>
      <c r="CI126" s="229">
        <v>0.1043</v>
      </c>
      <c r="CJ126" s="230">
        <v>26250</v>
      </c>
      <c r="CK126" s="230">
        <v>22050</v>
      </c>
      <c r="CL126" s="230">
        <v>4200</v>
      </c>
      <c r="CM126" s="229">
        <v>0.1905</v>
      </c>
      <c r="CN126" s="230">
        <v>2662275</v>
      </c>
      <c r="CO126" s="230">
        <v>2552025</v>
      </c>
      <c r="CP126" s="230">
        <v>110250</v>
      </c>
      <c r="CQ126" s="229">
        <v>4.3200000000000002E-2</v>
      </c>
      <c r="CR126" s="230">
        <v>2285325</v>
      </c>
      <c r="CS126" s="230">
        <v>2216550</v>
      </c>
      <c r="CT126" s="230">
        <v>68775</v>
      </c>
      <c r="CU126" s="229">
        <v>3.1E-2</v>
      </c>
      <c r="CV126" s="230">
        <v>18439050</v>
      </c>
      <c r="CW126" s="230">
        <v>18394425</v>
      </c>
      <c r="CX126" s="230">
        <v>44625</v>
      </c>
      <c r="CY126" s="229">
        <v>2.3999999999999998E-3</v>
      </c>
      <c r="CZ126" s="228">
        <v>30.66</v>
      </c>
      <c r="DA126" s="228">
        <v>31.3</v>
      </c>
      <c r="DB126" s="228">
        <v>-0.64</v>
      </c>
      <c r="DC126" s="228">
        <v>-0.64</v>
      </c>
      <c r="DD126" s="228">
        <v>36.869999999999997</v>
      </c>
      <c r="DE126" s="228">
        <v>36.93</v>
      </c>
      <c r="DF126" s="228">
        <v>-6.21</v>
      </c>
      <c r="DG126" s="228">
        <v>-0.06</v>
      </c>
      <c r="DH126" s="228">
        <v>29.87</v>
      </c>
      <c r="DI126" s="228">
        <v>30.53</v>
      </c>
      <c r="DJ126" s="228">
        <v>-0.66</v>
      </c>
      <c r="DK126" s="228">
        <v>-0.66</v>
      </c>
      <c r="DL126" s="228">
        <v>31.74</v>
      </c>
      <c r="DM126" s="228">
        <v>32.24</v>
      </c>
      <c r="DN126" s="228">
        <v>-0.5</v>
      </c>
      <c r="DO126" s="228">
        <v>-0.5</v>
      </c>
      <c r="DP126" s="228">
        <v>0.86</v>
      </c>
      <c r="DQ126" s="228">
        <v>0.87</v>
      </c>
      <c r="DR126" s="228">
        <v>-0.01</v>
      </c>
      <c r="DS126" s="229">
        <v>-1.15E-2</v>
      </c>
      <c r="DT126" s="231">
        <v>1100</v>
      </c>
      <c r="DU126" s="231">
        <v>1020</v>
      </c>
      <c r="DV126" s="228">
        <v>0.73</v>
      </c>
      <c r="DW126" s="228">
        <v>0.82</v>
      </c>
      <c r="DX126" s="228">
        <v>-0.09</v>
      </c>
      <c r="DY126" s="229">
        <v>-0.10979999999999999</v>
      </c>
      <c r="DZ126" s="229">
        <v>1.6799999999999999E-2</v>
      </c>
      <c r="EA126" s="230">
        <v>203175</v>
      </c>
      <c r="EB126" s="229">
        <v>6.4000000000000003E-3</v>
      </c>
      <c r="EC126" s="229">
        <v>1.6799999999999999E-2</v>
      </c>
      <c r="ED126" s="228">
        <v>7.4</v>
      </c>
      <c r="EE126" s="229">
        <v>7.1999999999999998E-3</v>
      </c>
      <c r="EF126" s="230">
        <v>4242335</v>
      </c>
      <c r="EG126" s="230">
        <v>1460181</v>
      </c>
      <c r="EH126" s="229">
        <v>1.9053</v>
      </c>
      <c r="EI126" s="229">
        <v>0.7349</v>
      </c>
      <c r="EJ126" s="231">
        <v>30293.22</v>
      </c>
      <c r="EK126" s="231">
        <v>21252.66</v>
      </c>
      <c r="EL126" s="231">
        <v>16486.47</v>
      </c>
      <c r="EM126" s="231">
        <v>3118</v>
      </c>
      <c r="EN126" s="231">
        <v>68032.350000000006</v>
      </c>
      <c r="EO126" s="231">
        <v>69628.399999999994</v>
      </c>
      <c r="EP126" s="231">
        <v>-1596.05</v>
      </c>
      <c r="EQ126" s="229">
        <v>-2.29E-2</v>
      </c>
      <c r="ER126" s="231">
        <v>29432</v>
      </c>
      <c r="ES126" s="231">
        <v>23815</v>
      </c>
      <c r="ET126" s="231">
        <v>137993</v>
      </c>
      <c r="EU126" s="231">
        <v>111218809</v>
      </c>
      <c r="EV126" s="231">
        <v>191241</v>
      </c>
      <c r="EW126" s="231">
        <v>192239</v>
      </c>
      <c r="EX126" s="228">
        <v>-998</v>
      </c>
      <c r="EY126" s="229">
        <v>-5.1999999999999998E-3</v>
      </c>
      <c r="EZ126" s="229">
        <v>0.1658</v>
      </c>
      <c r="FA126" s="227" t="s">
        <v>568</v>
      </c>
      <c r="FB126" s="161">
        <f t="shared" si="1"/>
        <v>226275</v>
      </c>
    </row>
    <row r="127" spans="1:158" ht="17.25" thickBot="1" x14ac:dyDescent="0.3">
      <c r="A127" s="226">
        <v>46093</v>
      </c>
      <c r="B127" s="227" t="s">
        <v>215</v>
      </c>
      <c r="C127" s="227" t="s">
        <v>672</v>
      </c>
      <c r="D127" s="228">
        <v>200</v>
      </c>
      <c r="E127" s="231">
        <v>2460.1999999999998</v>
      </c>
      <c r="F127" s="231">
        <v>2437.8000000000002</v>
      </c>
      <c r="G127" s="228">
        <v>22.4</v>
      </c>
      <c r="H127" s="229">
        <v>9.1999999999999998E-3</v>
      </c>
      <c r="I127" s="231">
        <v>2443.3000000000002</v>
      </c>
      <c r="J127" s="231">
        <v>2436.1</v>
      </c>
      <c r="K127" s="228">
        <v>7.2</v>
      </c>
      <c r="L127" s="229">
        <v>3.0000000000000001E-3</v>
      </c>
      <c r="M127" s="231">
        <v>2460.1999999999998</v>
      </c>
      <c r="N127" s="231">
        <v>2437.8000000000002</v>
      </c>
      <c r="O127" s="228">
        <v>22.4</v>
      </c>
      <c r="P127" s="229">
        <v>9.1999999999999998E-3</v>
      </c>
      <c r="Q127" s="231">
        <v>2467.4</v>
      </c>
      <c r="R127" s="231">
        <v>2453.5</v>
      </c>
      <c r="S127" s="228">
        <v>13.9</v>
      </c>
      <c r="T127" s="229">
        <v>5.7000000000000002E-3</v>
      </c>
      <c r="U127" s="231">
        <v>2485.8000000000002</v>
      </c>
      <c r="V127" s="231">
        <v>2464</v>
      </c>
      <c r="W127" s="228">
        <v>21.8</v>
      </c>
      <c r="X127" s="229">
        <v>8.8000000000000005E-3</v>
      </c>
      <c r="Y127" s="228">
        <v>16.899999999999999</v>
      </c>
      <c r="Z127" s="228">
        <v>1.7</v>
      </c>
      <c r="AA127" s="228">
        <v>15.2</v>
      </c>
      <c r="AB127" s="229">
        <v>6.8999999999999999E-3</v>
      </c>
      <c r="AC127" s="228">
        <v>16.899999999999999</v>
      </c>
      <c r="AD127" s="228">
        <v>1.7</v>
      </c>
      <c r="AE127" s="228">
        <v>15.2</v>
      </c>
      <c r="AF127" s="229">
        <v>6.8999999999999999E-3</v>
      </c>
      <c r="AG127" s="228">
        <v>24.1</v>
      </c>
      <c r="AH127" s="228">
        <v>17.399999999999999</v>
      </c>
      <c r="AI127" s="228">
        <v>6.7</v>
      </c>
      <c r="AJ127" s="229">
        <v>9.9000000000000008E-3</v>
      </c>
      <c r="AK127" s="228">
        <v>42.5</v>
      </c>
      <c r="AL127" s="228">
        <v>27.9</v>
      </c>
      <c r="AM127" s="228">
        <v>14.6</v>
      </c>
      <c r="AN127" s="229">
        <v>1.7399999999999999E-2</v>
      </c>
      <c r="AO127" s="231">
        <v>2439.0300000000002</v>
      </c>
      <c r="AP127" s="231">
        <v>2433.59</v>
      </c>
      <c r="AQ127" s="228">
        <v>0</v>
      </c>
      <c r="AR127" s="230">
        <v>2473800</v>
      </c>
      <c r="AS127" s="230">
        <v>1562000</v>
      </c>
      <c r="AT127" s="230">
        <v>911800</v>
      </c>
      <c r="AU127" s="229">
        <v>0.5837</v>
      </c>
      <c r="AV127" s="230">
        <v>1847800</v>
      </c>
      <c r="AW127" s="230">
        <v>1400600</v>
      </c>
      <c r="AX127" s="230">
        <v>447200</v>
      </c>
      <c r="AY127" s="229">
        <v>0.31929999999999997</v>
      </c>
      <c r="AZ127" s="230">
        <v>606600</v>
      </c>
      <c r="BA127" s="230">
        <v>147400</v>
      </c>
      <c r="BB127" s="230">
        <v>459200</v>
      </c>
      <c r="BC127" s="229">
        <v>3.1153</v>
      </c>
      <c r="BD127" s="230">
        <v>19400</v>
      </c>
      <c r="BE127" s="230">
        <v>14000</v>
      </c>
      <c r="BF127" s="230">
        <v>5400</v>
      </c>
      <c r="BG127" s="229">
        <v>0.38569999999999999</v>
      </c>
      <c r="BH127" s="230">
        <v>6926800</v>
      </c>
      <c r="BI127" s="230">
        <v>9561000</v>
      </c>
      <c r="BJ127" s="230">
        <v>-2634200</v>
      </c>
      <c r="BK127" s="229">
        <v>-0.27550000000000002</v>
      </c>
      <c r="BL127" s="230">
        <v>2980200</v>
      </c>
      <c r="BM127" s="230">
        <v>3476200</v>
      </c>
      <c r="BN127" s="230">
        <v>-496000</v>
      </c>
      <c r="BO127" s="229">
        <v>-0.14269999999999999</v>
      </c>
      <c r="BP127" s="230">
        <v>12380800</v>
      </c>
      <c r="BQ127" s="230">
        <v>14599200</v>
      </c>
      <c r="BR127" s="230">
        <v>-2218400</v>
      </c>
      <c r="BS127" s="229">
        <v>-0.152</v>
      </c>
      <c r="BT127" s="230">
        <v>2550512</v>
      </c>
      <c r="BU127" s="230">
        <v>2731737</v>
      </c>
      <c r="BV127" s="230">
        <v>-181225</v>
      </c>
      <c r="BW127" s="229">
        <v>-6.6299999999999998E-2</v>
      </c>
      <c r="BX127" s="230">
        <v>5146600</v>
      </c>
      <c r="BY127" s="230">
        <v>4743600</v>
      </c>
      <c r="BZ127" s="230">
        <v>403000</v>
      </c>
      <c r="CA127" s="229">
        <v>8.5000000000000006E-2</v>
      </c>
      <c r="CB127" s="230">
        <v>4299000</v>
      </c>
      <c r="CC127" s="230">
        <v>3993000</v>
      </c>
      <c r="CD127" s="230">
        <v>306000</v>
      </c>
      <c r="CE127" s="229">
        <v>7.6600000000000001E-2</v>
      </c>
      <c r="CF127" s="230">
        <v>590800</v>
      </c>
      <c r="CG127" s="230">
        <v>496000</v>
      </c>
      <c r="CH127" s="230">
        <v>94800</v>
      </c>
      <c r="CI127" s="229">
        <v>0.19109999999999999</v>
      </c>
      <c r="CJ127" s="230">
        <v>256800</v>
      </c>
      <c r="CK127" s="230">
        <v>254600</v>
      </c>
      <c r="CL127" s="230">
        <v>2200</v>
      </c>
      <c r="CM127" s="229">
        <v>8.6E-3</v>
      </c>
      <c r="CN127" s="230">
        <v>4607400</v>
      </c>
      <c r="CO127" s="230">
        <v>4762400</v>
      </c>
      <c r="CP127" s="230">
        <v>-155000</v>
      </c>
      <c r="CQ127" s="229">
        <v>-3.2500000000000001E-2</v>
      </c>
      <c r="CR127" s="230">
        <v>2810800</v>
      </c>
      <c r="CS127" s="230">
        <v>2705400</v>
      </c>
      <c r="CT127" s="230">
        <v>105400</v>
      </c>
      <c r="CU127" s="229">
        <v>3.9E-2</v>
      </c>
      <c r="CV127" s="230">
        <v>12564800</v>
      </c>
      <c r="CW127" s="230">
        <v>12211400</v>
      </c>
      <c r="CX127" s="230">
        <v>353400</v>
      </c>
      <c r="CY127" s="229">
        <v>2.8899999999999999E-2</v>
      </c>
      <c r="CZ127" s="228">
        <v>46.36</v>
      </c>
      <c r="DA127" s="228">
        <v>47.67</v>
      </c>
      <c r="DB127" s="228">
        <v>-1.31</v>
      </c>
      <c r="DC127" s="228">
        <v>-1.31</v>
      </c>
      <c r="DD127" s="228">
        <v>53.97</v>
      </c>
      <c r="DE127" s="228">
        <v>54.09</v>
      </c>
      <c r="DF127" s="228">
        <v>-7.61</v>
      </c>
      <c r="DG127" s="228">
        <v>-0.12</v>
      </c>
      <c r="DH127" s="228">
        <v>46.02</v>
      </c>
      <c r="DI127" s="228">
        <v>48.01</v>
      </c>
      <c r="DJ127" s="228">
        <v>-1.99</v>
      </c>
      <c r="DK127" s="228">
        <v>-1.99</v>
      </c>
      <c r="DL127" s="228">
        <v>47.14</v>
      </c>
      <c r="DM127" s="228">
        <v>46.74</v>
      </c>
      <c r="DN127" s="228">
        <v>0.4</v>
      </c>
      <c r="DO127" s="228">
        <v>0.4</v>
      </c>
      <c r="DP127" s="228">
        <v>0.61</v>
      </c>
      <c r="DQ127" s="228">
        <v>0.56999999999999995</v>
      </c>
      <c r="DR127" s="228">
        <v>0.04</v>
      </c>
      <c r="DS127" s="229">
        <v>7.0199999999999999E-2</v>
      </c>
      <c r="DT127" s="231">
        <v>2500</v>
      </c>
      <c r="DU127" s="231">
        <v>2300</v>
      </c>
      <c r="DV127" s="228">
        <v>0.43</v>
      </c>
      <c r="DW127" s="228">
        <v>0.36</v>
      </c>
      <c r="DX127" s="228">
        <v>7.0000000000000007E-2</v>
      </c>
      <c r="DY127" s="229">
        <v>0.19439999999999999</v>
      </c>
      <c r="DZ127" s="229">
        <v>0.16470000000000001</v>
      </c>
      <c r="EA127" s="230">
        <v>750600</v>
      </c>
      <c r="EB127" s="229">
        <v>2.8999999999999998E-3</v>
      </c>
      <c r="EC127" s="229">
        <v>0.16470000000000001</v>
      </c>
      <c r="ED127" s="228">
        <v>-5.44</v>
      </c>
      <c r="EE127" s="229">
        <v>-2.2000000000000001E-3</v>
      </c>
      <c r="EF127" s="230">
        <v>627437</v>
      </c>
      <c r="EG127" s="230">
        <v>596922</v>
      </c>
      <c r="EH127" s="229">
        <v>5.11E-2</v>
      </c>
      <c r="EI127" s="229">
        <v>0.246</v>
      </c>
      <c r="EJ127" s="231">
        <v>180573.37</v>
      </c>
      <c r="EK127" s="231">
        <v>71770.899999999994</v>
      </c>
      <c r="EL127" s="231">
        <v>60307.75</v>
      </c>
      <c r="EM127" s="231">
        <v>17998</v>
      </c>
      <c r="EN127" s="231">
        <v>312652.02</v>
      </c>
      <c r="EO127" s="231">
        <v>378979.37</v>
      </c>
      <c r="EP127" s="231">
        <v>-66327.350000000006</v>
      </c>
      <c r="EQ127" s="229">
        <v>-0.17499999999999999</v>
      </c>
      <c r="ER127" s="231">
        <v>118256</v>
      </c>
      <c r="ES127" s="231">
        <v>65445</v>
      </c>
      <c r="ET127" s="231">
        <v>126725</v>
      </c>
      <c r="EU127" s="231">
        <v>11364224</v>
      </c>
      <c r="EV127" s="231">
        <v>310427</v>
      </c>
      <c r="EW127" s="231">
        <v>301090</v>
      </c>
      <c r="EX127" s="231">
        <v>9337</v>
      </c>
      <c r="EY127" s="229">
        <v>3.1E-2</v>
      </c>
      <c r="EZ127" s="229">
        <v>1.1055999999999999</v>
      </c>
      <c r="FA127" s="227" t="s">
        <v>555</v>
      </c>
      <c r="FB127" s="161">
        <f t="shared" si="1"/>
        <v>847600</v>
      </c>
    </row>
    <row r="128" spans="1:158" ht="17.25" thickBot="1" x14ac:dyDescent="0.3">
      <c r="A128" s="226">
        <v>46093</v>
      </c>
      <c r="B128" s="227" t="s">
        <v>175</v>
      </c>
      <c r="C128" s="227" t="s">
        <v>517</v>
      </c>
      <c r="D128" s="228">
        <v>625</v>
      </c>
      <c r="E128" s="231">
        <v>2534.6999999999998</v>
      </c>
      <c r="F128" s="231">
        <v>2537.9</v>
      </c>
      <c r="G128" s="228">
        <v>-3.2</v>
      </c>
      <c r="H128" s="229">
        <v>-1.2999999999999999E-3</v>
      </c>
      <c r="I128" s="231">
        <v>2526.1</v>
      </c>
      <c r="J128" s="231">
        <v>2531.6</v>
      </c>
      <c r="K128" s="228">
        <v>-5.5</v>
      </c>
      <c r="L128" s="229">
        <v>-2.2000000000000001E-3</v>
      </c>
      <c r="M128" s="231">
        <v>2534.6999999999998</v>
      </c>
      <c r="N128" s="231">
        <v>2537.9</v>
      </c>
      <c r="O128" s="228">
        <v>-3.2</v>
      </c>
      <c r="P128" s="229">
        <v>-1.2999999999999999E-3</v>
      </c>
      <c r="Q128" s="231">
        <v>2549.6</v>
      </c>
      <c r="R128" s="231">
        <v>2554.6</v>
      </c>
      <c r="S128" s="228">
        <v>-5</v>
      </c>
      <c r="T128" s="229">
        <v>-2E-3</v>
      </c>
      <c r="U128" s="231">
        <v>2560.6999999999998</v>
      </c>
      <c r="V128" s="231">
        <v>2566.4</v>
      </c>
      <c r="W128" s="228">
        <v>-5.7</v>
      </c>
      <c r="X128" s="229">
        <v>-2.2000000000000001E-3</v>
      </c>
      <c r="Y128" s="228">
        <v>8.6</v>
      </c>
      <c r="Z128" s="228">
        <v>6.3</v>
      </c>
      <c r="AA128" s="228">
        <v>2.2999999999999998</v>
      </c>
      <c r="AB128" s="229">
        <v>3.3999999999999998E-3</v>
      </c>
      <c r="AC128" s="228">
        <v>8.6</v>
      </c>
      <c r="AD128" s="228">
        <v>6.3</v>
      </c>
      <c r="AE128" s="228">
        <v>2.2999999999999998</v>
      </c>
      <c r="AF128" s="229">
        <v>3.3999999999999998E-3</v>
      </c>
      <c r="AG128" s="228">
        <v>23.5</v>
      </c>
      <c r="AH128" s="228">
        <v>23</v>
      </c>
      <c r="AI128" s="228">
        <v>0.5</v>
      </c>
      <c r="AJ128" s="229">
        <v>9.2999999999999992E-3</v>
      </c>
      <c r="AK128" s="228">
        <v>34.6</v>
      </c>
      <c r="AL128" s="228">
        <v>34.799999999999997</v>
      </c>
      <c r="AM128" s="228">
        <v>-0.2</v>
      </c>
      <c r="AN128" s="229">
        <v>1.37E-2</v>
      </c>
      <c r="AO128" s="231">
        <v>2516.71</v>
      </c>
      <c r="AP128" s="231">
        <v>2526.4699999999998</v>
      </c>
      <c r="AQ128" s="228">
        <v>0</v>
      </c>
      <c r="AR128" s="230">
        <v>3386875</v>
      </c>
      <c r="AS128" s="230">
        <v>3406250</v>
      </c>
      <c r="AT128" s="230">
        <v>-19375</v>
      </c>
      <c r="AU128" s="229">
        <v>-5.7000000000000002E-3</v>
      </c>
      <c r="AV128" s="230">
        <v>3058750</v>
      </c>
      <c r="AW128" s="230">
        <v>3053125</v>
      </c>
      <c r="AX128" s="230">
        <v>5625</v>
      </c>
      <c r="AY128" s="229">
        <v>1.8E-3</v>
      </c>
      <c r="AZ128" s="230">
        <v>302500</v>
      </c>
      <c r="BA128" s="230">
        <v>284375</v>
      </c>
      <c r="BB128" s="230">
        <v>18125</v>
      </c>
      <c r="BC128" s="229">
        <v>6.3700000000000007E-2</v>
      </c>
      <c r="BD128" s="230">
        <v>25625</v>
      </c>
      <c r="BE128" s="230">
        <v>68750</v>
      </c>
      <c r="BF128" s="230">
        <v>-43125</v>
      </c>
      <c r="BG128" s="229">
        <v>-0.62729999999999997</v>
      </c>
      <c r="BH128" s="230">
        <v>8107500</v>
      </c>
      <c r="BI128" s="230">
        <v>8156875</v>
      </c>
      <c r="BJ128" s="230">
        <v>-49375</v>
      </c>
      <c r="BK128" s="229">
        <v>-6.1000000000000004E-3</v>
      </c>
      <c r="BL128" s="230">
        <v>5163750</v>
      </c>
      <c r="BM128" s="230">
        <v>5457500</v>
      </c>
      <c r="BN128" s="230">
        <v>-293750</v>
      </c>
      <c r="BO128" s="229">
        <v>-5.3800000000000001E-2</v>
      </c>
      <c r="BP128" s="230">
        <v>16658125</v>
      </c>
      <c r="BQ128" s="230">
        <v>17020625</v>
      </c>
      <c r="BR128" s="230">
        <v>-362500</v>
      </c>
      <c r="BS128" s="229">
        <v>-2.1299999999999999E-2</v>
      </c>
      <c r="BT128" s="230">
        <v>2599054</v>
      </c>
      <c r="BU128" s="230">
        <v>2180368</v>
      </c>
      <c r="BV128" s="230">
        <v>418686</v>
      </c>
      <c r="BW128" s="229">
        <v>0.192</v>
      </c>
      <c r="BX128" s="230">
        <v>13342500</v>
      </c>
      <c r="BY128" s="230">
        <v>13256875</v>
      </c>
      <c r="BZ128" s="230">
        <v>85625</v>
      </c>
      <c r="CA128" s="229">
        <v>6.4999999999999997E-3</v>
      </c>
      <c r="CB128" s="230">
        <v>12536250</v>
      </c>
      <c r="CC128" s="230">
        <v>12457500</v>
      </c>
      <c r="CD128" s="230">
        <v>78750</v>
      </c>
      <c r="CE128" s="229">
        <v>6.3E-3</v>
      </c>
      <c r="CF128" s="230">
        <v>625625</v>
      </c>
      <c r="CG128" s="230">
        <v>618125</v>
      </c>
      <c r="CH128" s="230">
        <v>7500</v>
      </c>
      <c r="CI128" s="229">
        <v>1.21E-2</v>
      </c>
      <c r="CJ128" s="230">
        <v>180625</v>
      </c>
      <c r="CK128" s="230">
        <v>181250</v>
      </c>
      <c r="CL128" s="228">
        <v>-625</v>
      </c>
      <c r="CM128" s="229">
        <v>-3.3999999999999998E-3</v>
      </c>
      <c r="CN128" s="230">
        <v>8058125</v>
      </c>
      <c r="CO128" s="230">
        <v>8068125</v>
      </c>
      <c r="CP128" s="230">
        <v>-10000</v>
      </c>
      <c r="CQ128" s="229">
        <v>-1.1999999999999999E-3</v>
      </c>
      <c r="CR128" s="230">
        <v>5897500</v>
      </c>
      <c r="CS128" s="230">
        <v>5970625</v>
      </c>
      <c r="CT128" s="230">
        <v>-73125</v>
      </c>
      <c r="CU128" s="229">
        <v>-1.2200000000000001E-2</v>
      </c>
      <c r="CV128" s="230">
        <v>27298125</v>
      </c>
      <c r="CW128" s="230">
        <v>27295625</v>
      </c>
      <c r="CX128" s="230">
        <v>2500</v>
      </c>
      <c r="CY128" s="229">
        <v>1E-4</v>
      </c>
      <c r="CZ128" s="228">
        <v>45</v>
      </c>
      <c r="DA128" s="228">
        <v>46.81</v>
      </c>
      <c r="DB128" s="228">
        <v>-1.81</v>
      </c>
      <c r="DC128" s="228">
        <v>-1.81</v>
      </c>
      <c r="DD128" s="228">
        <v>49.5</v>
      </c>
      <c r="DE128" s="228">
        <v>49.62</v>
      </c>
      <c r="DF128" s="228">
        <v>-4.5</v>
      </c>
      <c r="DG128" s="228">
        <v>-0.12</v>
      </c>
      <c r="DH128" s="228">
        <v>44.41</v>
      </c>
      <c r="DI128" s="228">
        <v>46.13</v>
      </c>
      <c r="DJ128" s="228">
        <v>-1.72</v>
      </c>
      <c r="DK128" s="228">
        <v>-1.72</v>
      </c>
      <c r="DL128" s="228">
        <v>45.94</v>
      </c>
      <c r="DM128" s="228">
        <v>47.82</v>
      </c>
      <c r="DN128" s="228">
        <v>-1.88</v>
      </c>
      <c r="DO128" s="228">
        <v>-1.88</v>
      </c>
      <c r="DP128" s="228">
        <v>0.73</v>
      </c>
      <c r="DQ128" s="228">
        <v>0.74</v>
      </c>
      <c r="DR128" s="228">
        <v>-0.01</v>
      </c>
      <c r="DS128" s="229">
        <v>-1.35E-2</v>
      </c>
      <c r="DT128" s="231">
        <v>2500</v>
      </c>
      <c r="DU128" s="231">
        <v>2400</v>
      </c>
      <c r="DV128" s="228">
        <v>0.64</v>
      </c>
      <c r="DW128" s="228">
        <v>0.67</v>
      </c>
      <c r="DX128" s="228">
        <v>-0.03</v>
      </c>
      <c r="DY128" s="229">
        <v>-4.48E-2</v>
      </c>
      <c r="DZ128" s="229">
        <v>6.0400000000000002E-2</v>
      </c>
      <c r="EA128" s="230">
        <v>799375</v>
      </c>
      <c r="EB128" s="229">
        <v>5.8999999999999999E-3</v>
      </c>
      <c r="EC128" s="229">
        <v>6.0400000000000002E-2</v>
      </c>
      <c r="ED128" s="228">
        <v>9.76</v>
      </c>
      <c r="EE128" s="229">
        <v>3.8999999999999998E-3</v>
      </c>
      <c r="EF128" s="230">
        <v>1079396</v>
      </c>
      <c r="EG128" s="230">
        <v>915206</v>
      </c>
      <c r="EH128" s="229">
        <v>0.1794</v>
      </c>
      <c r="EI128" s="229">
        <v>0.4153</v>
      </c>
      <c r="EJ128" s="231">
        <v>218500.85</v>
      </c>
      <c r="EK128" s="231">
        <v>129657.21</v>
      </c>
      <c r="EL128" s="231">
        <v>85273.01</v>
      </c>
      <c r="EM128" s="231">
        <v>7838</v>
      </c>
      <c r="EN128" s="231">
        <v>433431.07</v>
      </c>
      <c r="EO128" s="231">
        <v>449342.4</v>
      </c>
      <c r="EP128" s="231">
        <v>-15911.33</v>
      </c>
      <c r="EQ128" s="229">
        <v>-3.5400000000000001E-2</v>
      </c>
      <c r="ER128" s="231">
        <v>211663</v>
      </c>
      <c r="ES128" s="231">
        <v>138822</v>
      </c>
      <c r="ET128" s="231">
        <v>338333</v>
      </c>
      <c r="EU128" s="231">
        <v>38177110</v>
      </c>
      <c r="EV128" s="231">
        <v>688817</v>
      </c>
      <c r="EW128" s="231">
        <v>689253</v>
      </c>
      <c r="EX128" s="228">
        <v>-436</v>
      </c>
      <c r="EY128" s="229">
        <v>-5.9999999999999995E-4</v>
      </c>
      <c r="EZ128" s="229">
        <v>0.71499999999999997</v>
      </c>
      <c r="FA128" s="227" t="s">
        <v>567</v>
      </c>
      <c r="FB128" s="161">
        <f t="shared" si="1"/>
        <v>806250</v>
      </c>
    </row>
    <row r="129" spans="1:158" ht="17.25" thickBot="1" x14ac:dyDescent="0.3">
      <c r="A129" s="226">
        <v>46093</v>
      </c>
      <c r="B129" s="227" t="s">
        <v>175</v>
      </c>
      <c r="C129" s="227" t="s">
        <v>257</v>
      </c>
      <c r="D129" s="228">
        <v>400</v>
      </c>
      <c r="E129" s="231">
        <v>1699.1</v>
      </c>
      <c r="F129" s="231">
        <v>1730.8</v>
      </c>
      <c r="G129" s="228">
        <v>-31.7</v>
      </c>
      <c r="H129" s="229">
        <v>-1.83E-2</v>
      </c>
      <c r="I129" s="231">
        <v>1696.2</v>
      </c>
      <c r="J129" s="231">
        <v>1725.5</v>
      </c>
      <c r="K129" s="228">
        <v>-29.3</v>
      </c>
      <c r="L129" s="229">
        <v>-1.7000000000000001E-2</v>
      </c>
      <c r="M129" s="231">
        <v>1699.1</v>
      </c>
      <c r="N129" s="231">
        <v>1730.8</v>
      </c>
      <c r="O129" s="228">
        <v>-31.7</v>
      </c>
      <c r="P129" s="229">
        <v>-1.83E-2</v>
      </c>
      <c r="Q129" s="231">
        <v>1707.4</v>
      </c>
      <c r="R129" s="231">
        <v>1738.8</v>
      </c>
      <c r="S129" s="228">
        <v>-31.4</v>
      </c>
      <c r="T129" s="229">
        <v>-1.8100000000000002E-2</v>
      </c>
      <c r="U129" s="231">
        <v>1720</v>
      </c>
      <c r="V129" s="231">
        <v>1762.5</v>
      </c>
      <c r="W129" s="228">
        <v>-42.5</v>
      </c>
      <c r="X129" s="229">
        <v>-2.41E-2</v>
      </c>
      <c r="Y129" s="228">
        <v>2.9</v>
      </c>
      <c r="Z129" s="228">
        <v>5.3</v>
      </c>
      <c r="AA129" s="228">
        <v>-2.4</v>
      </c>
      <c r="AB129" s="229">
        <v>1.6999999999999999E-3</v>
      </c>
      <c r="AC129" s="228">
        <v>2.9</v>
      </c>
      <c r="AD129" s="228">
        <v>5.3</v>
      </c>
      <c r="AE129" s="228">
        <v>-2.4</v>
      </c>
      <c r="AF129" s="229">
        <v>1.6999999999999999E-3</v>
      </c>
      <c r="AG129" s="228">
        <v>11.2</v>
      </c>
      <c r="AH129" s="228">
        <v>13.3</v>
      </c>
      <c r="AI129" s="228">
        <v>-2.1</v>
      </c>
      <c r="AJ129" s="229">
        <v>6.6E-3</v>
      </c>
      <c r="AK129" s="228">
        <v>23.8</v>
      </c>
      <c r="AL129" s="228">
        <v>37</v>
      </c>
      <c r="AM129" s="228">
        <v>-13.2</v>
      </c>
      <c r="AN129" s="229">
        <v>1.4E-2</v>
      </c>
      <c r="AO129" s="231">
        <v>1698.33</v>
      </c>
      <c r="AP129" s="231">
        <v>1704.49</v>
      </c>
      <c r="AQ129" s="228">
        <v>0</v>
      </c>
      <c r="AR129" s="230">
        <v>828400</v>
      </c>
      <c r="AS129" s="230">
        <v>1282400</v>
      </c>
      <c r="AT129" s="230">
        <v>-454000</v>
      </c>
      <c r="AU129" s="229">
        <v>-0.35399999999999998</v>
      </c>
      <c r="AV129" s="230">
        <v>811600</v>
      </c>
      <c r="AW129" s="230">
        <v>1258000</v>
      </c>
      <c r="AX129" s="230">
        <v>-446400</v>
      </c>
      <c r="AY129" s="229">
        <v>-0.3548</v>
      </c>
      <c r="AZ129" s="230">
        <v>15600</v>
      </c>
      <c r="BA129" s="230">
        <v>23200</v>
      </c>
      <c r="BB129" s="230">
        <v>-7600</v>
      </c>
      <c r="BC129" s="229">
        <v>-0.3276</v>
      </c>
      <c r="BD129" s="230">
        <v>1200</v>
      </c>
      <c r="BE129" s="230">
        <v>1200</v>
      </c>
      <c r="BF129" s="228">
        <v>0</v>
      </c>
      <c r="BG129" s="229">
        <v>0</v>
      </c>
      <c r="BH129" s="230">
        <v>751200</v>
      </c>
      <c r="BI129" s="230">
        <v>725200</v>
      </c>
      <c r="BJ129" s="230">
        <v>26000</v>
      </c>
      <c r="BK129" s="229">
        <v>3.5900000000000001E-2</v>
      </c>
      <c r="BL129" s="230">
        <v>535200</v>
      </c>
      <c r="BM129" s="230">
        <v>376000</v>
      </c>
      <c r="BN129" s="230">
        <v>159200</v>
      </c>
      <c r="BO129" s="229">
        <v>0.4234</v>
      </c>
      <c r="BP129" s="230">
        <v>2114800</v>
      </c>
      <c r="BQ129" s="230">
        <v>2383600</v>
      </c>
      <c r="BR129" s="230">
        <v>-268800</v>
      </c>
      <c r="BS129" s="229">
        <v>-0.1128</v>
      </c>
      <c r="BT129" s="230">
        <v>1100898</v>
      </c>
      <c r="BU129" s="230">
        <v>924891</v>
      </c>
      <c r="BV129" s="230">
        <v>176007</v>
      </c>
      <c r="BW129" s="229">
        <v>0.1903</v>
      </c>
      <c r="BX129" s="230">
        <v>9387200</v>
      </c>
      <c r="BY129" s="230">
        <v>9284800</v>
      </c>
      <c r="BZ129" s="230">
        <v>102400</v>
      </c>
      <c r="CA129" s="229">
        <v>1.0999999999999999E-2</v>
      </c>
      <c r="CB129" s="230">
        <v>9362000</v>
      </c>
      <c r="CC129" s="230">
        <v>9260800</v>
      </c>
      <c r="CD129" s="230">
        <v>101200</v>
      </c>
      <c r="CE129" s="229">
        <v>1.09E-2</v>
      </c>
      <c r="CF129" s="230">
        <v>23200</v>
      </c>
      <c r="CG129" s="230">
        <v>21200</v>
      </c>
      <c r="CH129" s="230">
        <v>2000</v>
      </c>
      <c r="CI129" s="229">
        <v>9.4299999999999995E-2</v>
      </c>
      <c r="CJ129" s="230">
        <v>2000</v>
      </c>
      <c r="CK129" s="230">
        <v>2800</v>
      </c>
      <c r="CL129" s="228">
        <v>-800</v>
      </c>
      <c r="CM129" s="229">
        <v>-0.28570000000000001</v>
      </c>
      <c r="CN129" s="230">
        <v>931600</v>
      </c>
      <c r="CO129" s="230">
        <v>944800</v>
      </c>
      <c r="CP129" s="230">
        <v>-13200</v>
      </c>
      <c r="CQ129" s="229">
        <v>-1.4E-2</v>
      </c>
      <c r="CR129" s="230">
        <v>854000</v>
      </c>
      <c r="CS129" s="230">
        <v>806400</v>
      </c>
      <c r="CT129" s="230">
        <v>47600</v>
      </c>
      <c r="CU129" s="229">
        <v>5.8999999999999997E-2</v>
      </c>
      <c r="CV129" s="230">
        <v>11172800</v>
      </c>
      <c r="CW129" s="230">
        <v>11036000</v>
      </c>
      <c r="CX129" s="230">
        <v>136800</v>
      </c>
      <c r="CY129" s="229">
        <v>1.24E-2</v>
      </c>
      <c r="CZ129" s="228">
        <v>31.56</v>
      </c>
      <c r="DA129" s="228">
        <v>31.08</v>
      </c>
      <c r="DB129" s="228">
        <v>0.48</v>
      </c>
      <c r="DC129" s="228">
        <v>0.48</v>
      </c>
      <c r="DD129" s="228">
        <v>29.6</v>
      </c>
      <c r="DE129" s="228">
        <v>29.58</v>
      </c>
      <c r="DF129" s="228">
        <v>1.96</v>
      </c>
      <c r="DG129" s="228">
        <v>0.02</v>
      </c>
      <c r="DH129" s="228">
        <v>30.08</v>
      </c>
      <c r="DI129" s="228">
        <v>30.13</v>
      </c>
      <c r="DJ129" s="228">
        <v>-0.05</v>
      </c>
      <c r="DK129" s="228">
        <v>-0.05</v>
      </c>
      <c r="DL129" s="228">
        <v>33.64</v>
      </c>
      <c r="DM129" s="228">
        <v>32.92</v>
      </c>
      <c r="DN129" s="228">
        <v>0.72</v>
      </c>
      <c r="DO129" s="228">
        <v>0.72</v>
      </c>
      <c r="DP129" s="228">
        <v>0.92</v>
      </c>
      <c r="DQ129" s="228">
        <v>0.85</v>
      </c>
      <c r="DR129" s="228">
        <v>7.0000000000000007E-2</v>
      </c>
      <c r="DS129" s="229">
        <v>8.2400000000000001E-2</v>
      </c>
      <c r="DT129" s="231">
        <v>1860</v>
      </c>
      <c r="DU129" s="231">
        <v>1700</v>
      </c>
      <c r="DV129" s="228">
        <v>0.71</v>
      </c>
      <c r="DW129" s="228">
        <v>0.52</v>
      </c>
      <c r="DX129" s="228">
        <v>0.19</v>
      </c>
      <c r="DY129" s="229">
        <v>0.3654</v>
      </c>
      <c r="DZ129" s="229">
        <v>2.7000000000000001E-3</v>
      </c>
      <c r="EA129" s="230">
        <v>24000</v>
      </c>
      <c r="EB129" s="229">
        <v>4.8999999999999998E-3</v>
      </c>
      <c r="EC129" s="229">
        <v>2.7000000000000001E-3</v>
      </c>
      <c r="ED129" s="228">
        <v>6.16</v>
      </c>
      <c r="EE129" s="229">
        <v>3.5999999999999999E-3</v>
      </c>
      <c r="EF129" s="230">
        <v>813552</v>
      </c>
      <c r="EG129" s="230">
        <v>574099</v>
      </c>
      <c r="EH129" s="229">
        <v>0.41710000000000003</v>
      </c>
      <c r="EI129" s="229">
        <v>0.73899999999999999</v>
      </c>
      <c r="EJ129" s="231">
        <v>13687.77</v>
      </c>
      <c r="EK129" s="231">
        <v>8818.19</v>
      </c>
      <c r="EL129" s="231">
        <v>14070.2</v>
      </c>
      <c r="EM129" s="231">
        <v>3257</v>
      </c>
      <c r="EN129" s="231">
        <v>36576.160000000003</v>
      </c>
      <c r="EO129" s="231">
        <v>41991.24</v>
      </c>
      <c r="EP129" s="231">
        <v>-5415.08</v>
      </c>
      <c r="EQ129" s="229">
        <v>-0.129</v>
      </c>
      <c r="ER129" s="231">
        <v>17230</v>
      </c>
      <c r="ES129" s="231">
        <v>14479</v>
      </c>
      <c r="ET129" s="231">
        <v>159500</v>
      </c>
      <c r="EU129" s="231">
        <v>33919851</v>
      </c>
      <c r="EV129" s="231">
        <v>191209</v>
      </c>
      <c r="EW129" s="231">
        <v>191977</v>
      </c>
      <c r="EX129" s="228">
        <v>-768</v>
      </c>
      <c r="EY129" s="229">
        <v>-4.0000000000000001E-3</v>
      </c>
      <c r="EZ129" s="229">
        <v>0.32940000000000003</v>
      </c>
      <c r="FA129" s="227" t="s">
        <v>567</v>
      </c>
      <c r="FB129" s="161">
        <f t="shared" si="1"/>
        <v>25200</v>
      </c>
    </row>
    <row r="130" spans="1:158" ht="17.25" thickBot="1" x14ac:dyDescent="0.3">
      <c r="A130" s="226">
        <v>46093</v>
      </c>
      <c r="B130" s="227" t="s">
        <v>181</v>
      </c>
      <c r="C130" s="227" t="s">
        <v>563</v>
      </c>
      <c r="D130" s="228">
        <v>120</v>
      </c>
      <c r="E130" s="231">
        <v>12962.8</v>
      </c>
      <c r="F130" s="231">
        <v>12963.2</v>
      </c>
      <c r="G130" s="228">
        <v>-0.4</v>
      </c>
      <c r="H130" s="229">
        <v>0</v>
      </c>
      <c r="I130" s="231">
        <v>12961.15</v>
      </c>
      <c r="J130" s="231">
        <v>12961.9</v>
      </c>
      <c r="K130" s="228">
        <v>-0.75</v>
      </c>
      <c r="L130" s="229">
        <v>-1E-4</v>
      </c>
      <c r="M130" s="231">
        <v>12962.8</v>
      </c>
      <c r="N130" s="231">
        <v>12963.2</v>
      </c>
      <c r="O130" s="228">
        <v>-0.4</v>
      </c>
      <c r="P130" s="229">
        <v>0</v>
      </c>
      <c r="Q130" s="231">
        <v>13031.85</v>
      </c>
      <c r="R130" s="231">
        <v>13037.85</v>
      </c>
      <c r="S130" s="228">
        <v>-6</v>
      </c>
      <c r="T130" s="229">
        <v>-5.0000000000000001E-4</v>
      </c>
      <c r="U130" s="231">
        <v>13102.35</v>
      </c>
      <c r="V130" s="231">
        <v>13086.45</v>
      </c>
      <c r="W130" s="228">
        <v>15.9</v>
      </c>
      <c r="X130" s="229">
        <v>1.1999999999999999E-3</v>
      </c>
      <c r="Y130" s="228">
        <v>1.65</v>
      </c>
      <c r="Z130" s="228">
        <v>1.3</v>
      </c>
      <c r="AA130" s="228">
        <v>0.35</v>
      </c>
      <c r="AB130" s="229">
        <v>1E-4</v>
      </c>
      <c r="AC130" s="228">
        <v>1.65</v>
      </c>
      <c r="AD130" s="228">
        <v>1.3</v>
      </c>
      <c r="AE130" s="228">
        <v>0.35</v>
      </c>
      <c r="AF130" s="229">
        <v>1E-4</v>
      </c>
      <c r="AG130" s="228">
        <v>70.7</v>
      </c>
      <c r="AH130" s="228">
        <v>75.95</v>
      </c>
      <c r="AI130" s="228">
        <v>-5.25</v>
      </c>
      <c r="AJ130" s="229">
        <v>5.4999999999999997E-3</v>
      </c>
      <c r="AK130" s="228">
        <v>141.19999999999999</v>
      </c>
      <c r="AL130" s="228">
        <v>124.55</v>
      </c>
      <c r="AM130" s="228">
        <v>16.649999999999999</v>
      </c>
      <c r="AN130" s="229">
        <v>1.09E-2</v>
      </c>
      <c r="AO130" s="231">
        <v>12911.31</v>
      </c>
      <c r="AP130" s="231">
        <v>12968.87</v>
      </c>
      <c r="AQ130" s="228">
        <v>0</v>
      </c>
      <c r="AR130" s="230">
        <v>1131720</v>
      </c>
      <c r="AS130" s="230">
        <v>760080</v>
      </c>
      <c r="AT130" s="230">
        <v>371640</v>
      </c>
      <c r="AU130" s="229">
        <v>0.4889</v>
      </c>
      <c r="AV130" s="230">
        <v>1042320</v>
      </c>
      <c r="AW130" s="230">
        <v>702960</v>
      </c>
      <c r="AX130" s="230">
        <v>339360</v>
      </c>
      <c r="AY130" s="229">
        <v>0.48280000000000001</v>
      </c>
      <c r="AZ130" s="230">
        <v>76560</v>
      </c>
      <c r="BA130" s="230">
        <v>49320</v>
      </c>
      <c r="BB130" s="230">
        <v>27240</v>
      </c>
      <c r="BC130" s="229">
        <v>0.55230000000000001</v>
      </c>
      <c r="BD130" s="230">
        <v>12840</v>
      </c>
      <c r="BE130" s="230">
        <v>7800</v>
      </c>
      <c r="BF130" s="230">
        <v>5040</v>
      </c>
      <c r="BG130" s="229">
        <v>0.6462</v>
      </c>
      <c r="BH130" s="230">
        <v>11904600</v>
      </c>
      <c r="BI130" s="230">
        <v>12104520</v>
      </c>
      <c r="BJ130" s="230">
        <v>-199920</v>
      </c>
      <c r="BK130" s="229">
        <v>-1.6500000000000001E-2</v>
      </c>
      <c r="BL130" s="230">
        <v>12520800</v>
      </c>
      <c r="BM130" s="230">
        <v>12636960</v>
      </c>
      <c r="BN130" s="230">
        <v>-116160</v>
      </c>
      <c r="BO130" s="229">
        <v>-9.1999999999999998E-3</v>
      </c>
      <c r="BP130" s="230">
        <v>25557120</v>
      </c>
      <c r="BQ130" s="230">
        <v>25501560</v>
      </c>
      <c r="BR130" s="230">
        <v>55560</v>
      </c>
      <c r="BS130" s="229">
        <v>2.2000000000000001E-3</v>
      </c>
      <c r="BT130" s="228">
        <v>0</v>
      </c>
      <c r="BU130" s="228">
        <v>0</v>
      </c>
      <c r="BV130" s="228">
        <v>0</v>
      </c>
      <c r="BW130" s="229">
        <v>0</v>
      </c>
      <c r="BX130" s="230">
        <v>2970840</v>
      </c>
      <c r="BY130" s="230">
        <v>2951880</v>
      </c>
      <c r="BZ130" s="230">
        <v>18960</v>
      </c>
      <c r="CA130" s="229">
        <v>6.4000000000000003E-3</v>
      </c>
      <c r="CB130" s="230">
        <v>2825160</v>
      </c>
      <c r="CC130" s="230">
        <v>2826840</v>
      </c>
      <c r="CD130" s="230">
        <v>-1680</v>
      </c>
      <c r="CE130" s="229">
        <v>-5.9999999999999995E-4</v>
      </c>
      <c r="CF130" s="230">
        <v>131280</v>
      </c>
      <c r="CG130" s="230">
        <v>110760</v>
      </c>
      <c r="CH130" s="230">
        <v>20520</v>
      </c>
      <c r="CI130" s="229">
        <v>0.18529999999999999</v>
      </c>
      <c r="CJ130" s="230">
        <v>14400</v>
      </c>
      <c r="CK130" s="230">
        <v>14280</v>
      </c>
      <c r="CL130" s="228">
        <v>120</v>
      </c>
      <c r="CM130" s="229">
        <v>8.3999999999999995E-3</v>
      </c>
      <c r="CN130" s="230">
        <v>6489720</v>
      </c>
      <c r="CO130" s="230">
        <v>6381240</v>
      </c>
      <c r="CP130" s="230">
        <v>108480</v>
      </c>
      <c r="CQ130" s="229">
        <v>1.7000000000000001E-2</v>
      </c>
      <c r="CR130" s="230">
        <v>6179880</v>
      </c>
      <c r="CS130" s="230">
        <v>5953680</v>
      </c>
      <c r="CT130" s="230">
        <v>226200</v>
      </c>
      <c r="CU130" s="229">
        <v>3.7999999999999999E-2</v>
      </c>
      <c r="CV130" s="230">
        <v>15640440</v>
      </c>
      <c r="CW130" s="230">
        <v>15286800</v>
      </c>
      <c r="CX130" s="230">
        <v>353640</v>
      </c>
      <c r="CY130" s="229">
        <v>2.3099999999999999E-2</v>
      </c>
      <c r="CZ130" s="228">
        <v>28.64</v>
      </c>
      <c r="DA130" s="228">
        <v>27.26</v>
      </c>
      <c r="DB130" s="228">
        <v>1.38</v>
      </c>
      <c r="DC130" s="228">
        <v>1.38</v>
      </c>
      <c r="DD130" s="228">
        <v>22.51</v>
      </c>
      <c r="DE130" s="228">
        <v>22.56</v>
      </c>
      <c r="DF130" s="228">
        <v>6.13</v>
      </c>
      <c r="DG130" s="228">
        <v>-0.05</v>
      </c>
      <c r="DH130" s="228">
        <v>26.38</v>
      </c>
      <c r="DI130" s="228">
        <v>25.52</v>
      </c>
      <c r="DJ130" s="228">
        <v>0.86</v>
      </c>
      <c r="DK130" s="228">
        <v>0.86</v>
      </c>
      <c r="DL130" s="228">
        <v>30.79</v>
      </c>
      <c r="DM130" s="228">
        <v>28.92</v>
      </c>
      <c r="DN130" s="228">
        <v>1.87</v>
      </c>
      <c r="DO130" s="228">
        <v>1.87</v>
      </c>
      <c r="DP130" s="228">
        <v>0.95</v>
      </c>
      <c r="DQ130" s="228">
        <v>0.93</v>
      </c>
      <c r="DR130" s="228">
        <v>0.02</v>
      </c>
      <c r="DS130" s="229">
        <v>2.1499999999999998E-2</v>
      </c>
      <c r="DT130" s="231">
        <v>13500</v>
      </c>
      <c r="DU130" s="231">
        <v>12000</v>
      </c>
      <c r="DV130" s="228">
        <v>1.05</v>
      </c>
      <c r="DW130" s="228">
        <v>1.04</v>
      </c>
      <c r="DX130" s="228">
        <v>0.01</v>
      </c>
      <c r="DY130" s="229">
        <v>9.5999999999999992E-3</v>
      </c>
      <c r="DZ130" s="229">
        <v>4.9000000000000002E-2</v>
      </c>
      <c r="EA130" s="230">
        <v>125040</v>
      </c>
      <c r="EB130" s="229">
        <v>5.3E-3</v>
      </c>
      <c r="EC130" s="229">
        <v>4.9000000000000002E-2</v>
      </c>
      <c r="ED130" s="228">
        <v>57.56</v>
      </c>
      <c r="EE130" s="229">
        <v>4.4999999999999997E-3</v>
      </c>
      <c r="EF130" s="228">
        <v>0</v>
      </c>
      <c r="EG130" s="228">
        <v>0</v>
      </c>
      <c r="EH130" s="229">
        <v>0</v>
      </c>
      <c r="EI130" s="229">
        <v>0</v>
      </c>
      <c r="EJ130" s="231">
        <v>1617995.36</v>
      </c>
      <c r="EK130" s="231">
        <v>1596390.8</v>
      </c>
      <c r="EL130" s="231">
        <v>146175.22</v>
      </c>
      <c r="EM130" s="228">
        <v>0</v>
      </c>
      <c r="EN130" s="231">
        <v>3360561.38</v>
      </c>
      <c r="EO130" s="231">
        <v>3404700</v>
      </c>
      <c r="EP130" s="231">
        <v>-44138.62</v>
      </c>
      <c r="EQ130" s="229">
        <v>-1.2999999999999999E-2</v>
      </c>
      <c r="ER130" s="231">
        <v>896842</v>
      </c>
      <c r="ES130" s="231">
        <v>779026</v>
      </c>
      <c r="ET130" s="231">
        <v>385215</v>
      </c>
      <c r="EU130" s="228">
        <v>0</v>
      </c>
      <c r="EV130" s="231">
        <v>2061082</v>
      </c>
      <c r="EW130" s="231">
        <v>2020790</v>
      </c>
      <c r="EX130" s="231">
        <v>40292</v>
      </c>
      <c r="EY130" s="229">
        <v>1.9900000000000001E-2</v>
      </c>
      <c r="EZ130" s="229">
        <v>0</v>
      </c>
      <c r="FA130" s="227" t="s">
        <v>237</v>
      </c>
      <c r="FB130" s="161">
        <f t="shared" si="1"/>
        <v>145680</v>
      </c>
    </row>
    <row r="131" spans="1:158" ht="17.25" thickBot="1" x14ac:dyDescent="0.3">
      <c r="A131" s="226">
        <v>46093</v>
      </c>
      <c r="B131" s="227" t="s">
        <v>162</v>
      </c>
      <c r="C131" s="227" t="s">
        <v>559</v>
      </c>
      <c r="D131" s="228">
        <v>6150</v>
      </c>
      <c r="E131" s="228">
        <v>119.63</v>
      </c>
      <c r="F131" s="228">
        <v>121</v>
      </c>
      <c r="G131" s="228">
        <v>-1.37</v>
      </c>
      <c r="H131" s="229">
        <v>-1.1299999999999999E-2</v>
      </c>
      <c r="I131" s="228">
        <v>120.17</v>
      </c>
      <c r="J131" s="228">
        <v>121.39</v>
      </c>
      <c r="K131" s="228">
        <v>-1.22</v>
      </c>
      <c r="L131" s="229">
        <v>-1.01E-2</v>
      </c>
      <c r="M131" s="228">
        <v>119.63</v>
      </c>
      <c r="N131" s="228">
        <v>121</v>
      </c>
      <c r="O131" s="228">
        <v>-1.37</v>
      </c>
      <c r="P131" s="229">
        <v>-1.1299999999999999E-2</v>
      </c>
      <c r="Q131" s="228">
        <v>120.16</v>
      </c>
      <c r="R131" s="228">
        <v>121.65</v>
      </c>
      <c r="S131" s="228">
        <v>-1.49</v>
      </c>
      <c r="T131" s="229">
        <v>-1.2200000000000001E-2</v>
      </c>
      <c r="U131" s="228">
        <v>120.89</v>
      </c>
      <c r="V131" s="228">
        <v>122.62</v>
      </c>
      <c r="W131" s="228">
        <v>-1.73</v>
      </c>
      <c r="X131" s="229">
        <v>-1.41E-2</v>
      </c>
      <c r="Y131" s="228">
        <v>-0.54</v>
      </c>
      <c r="Z131" s="228">
        <v>-0.39</v>
      </c>
      <c r="AA131" s="228">
        <v>-0.15</v>
      </c>
      <c r="AB131" s="229">
        <v>-4.4999999999999997E-3</v>
      </c>
      <c r="AC131" s="228">
        <v>-0.54</v>
      </c>
      <c r="AD131" s="228">
        <v>-0.39</v>
      </c>
      <c r="AE131" s="228">
        <v>-0.15</v>
      </c>
      <c r="AF131" s="229">
        <v>-4.4999999999999997E-3</v>
      </c>
      <c r="AG131" s="228">
        <v>-0.01</v>
      </c>
      <c r="AH131" s="228">
        <v>0.26</v>
      </c>
      <c r="AI131" s="228">
        <v>-0.27</v>
      </c>
      <c r="AJ131" s="229">
        <v>-1E-4</v>
      </c>
      <c r="AK131" s="228">
        <v>0.72</v>
      </c>
      <c r="AL131" s="228">
        <v>1.23</v>
      </c>
      <c r="AM131" s="228">
        <v>-0.51</v>
      </c>
      <c r="AN131" s="229">
        <v>6.0000000000000001E-3</v>
      </c>
      <c r="AO131" s="228">
        <v>118.6</v>
      </c>
      <c r="AP131" s="228">
        <v>119.35</v>
      </c>
      <c r="AQ131" s="228">
        <v>0</v>
      </c>
      <c r="AR131" s="230">
        <v>40054950</v>
      </c>
      <c r="AS131" s="230">
        <v>31125150</v>
      </c>
      <c r="AT131" s="230">
        <v>8929800</v>
      </c>
      <c r="AU131" s="229">
        <v>0.28689999999999999</v>
      </c>
      <c r="AV131" s="230">
        <v>35823750</v>
      </c>
      <c r="AW131" s="230">
        <v>28529850</v>
      </c>
      <c r="AX131" s="230">
        <v>7293900</v>
      </c>
      <c r="AY131" s="229">
        <v>0.25569999999999998</v>
      </c>
      <c r="AZ131" s="230">
        <v>3696150</v>
      </c>
      <c r="BA131" s="230">
        <v>1980300</v>
      </c>
      <c r="BB131" s="230">
        <v>1715850</v>
      </c>
      <c r="BC131" s="229">
        <v>0.86650000000000005</v>
      </c>
      <c r="BD131" s="230">
        <v>535050</v>
      </c>
      <c r="BE131" s="230">
        <v>615000</v>
      </c>
      <c r="BF131" s="230">
        <v>-79950</v>
      </c>
      <c r="BG131" s="229">
        <v>-0.13</v>
      </c>
      <c r="BH131" s="230">
        <v>36647850</v>
      </c>
      <c r="BI131" s="230">
        <v>35024250</v>
      </c>
      <c r="BJ131" s="230">
        <v>1623600</v>
      </c>
      <c r="BK131" s="229">
        <v>4.6399999999999997E-2</v>
      </c>
      <c r="BL131" s="230">
        <v>24587700</v>
      </c>
      <c r="BM131" s="230">
        <v>18652950</v>
      </c>
      <c r="BN131" s="230">
        <v>5934750</v>
      </c>
      <c r="BO131" s="229">
        <v>0.31819999999999998</v>
      </c>
      <c r="BP131" s="230">
        <v>101290500</v>
      </c>
      <c r="BQ131" s="230">
        <v>84802350</v>
      </c>
      <c r="BR131" s="230">
        <v>16488150</v>
      </c>
      <c r="BS131" s="229">
        <v>0.19439999999999999</v>
      </c>
      <c r="BT131" s="230">
        <v>24551964</v>
      </c>
      <c r="BU131" s="230">
        <v>23660581</v>
      </c>
      <c r="BV131" s="230">
        <v>891383</v>
      </c>
      <c r="BW131" s="229">
        <v>3.7699999999999997E-2</v>
      </c>
      <c r="BX131" s="230">
        <v>126640800</v>
      </c>
      <c r="BY131" s="230">
        <v>131197950</v>
      </c>
      <c r="BZ131" s="230">
        <v>-4557150</v>
      </c>
      <c r="CA131" s="229">
        <v>-3.4700000000000002E-2</v>
      </c>
      <c r="CB131" s="230">
        <v>122348100</v>
      </c>
      <c r="CC131" s="230">
        <v>127833900</v>
      </c>
      <c r="CD131" s="230">
        <v>-5485800</v>
      </c>
      <c r="CE131" s="229">
        <v>-4.2900000000000001E-2</v>
      </c>
      <c r="CF131" s="230">
        <v>3130350</v>
      </c>
      <c r="CG131" s="230">
        <v>2429250</v>
      </c>
      <c r="CH131" s="230">
        <v>701100</v>
      </c>
      <c r="CI131" s="229">
        <v>0.28860000000000002</v>
      </c>
      <c r="CJ131" s="230">
        <v>1162350</v>
      </c>
      <c r="CK131" s="230">
        <v>934800</v>
      </c>
      <c r="CL131" s="230">
        <v>227550</v>
      </c>
      <c r="CM131" s="229">
        <v>0.24340000000000001</v>
      </c>
      <c r="CN131" s="230">
        <v>49845750</v>
      </c>
      <c r="CO131" s="230">
        <v>45220950</v>
      </c>
      <c r="CP131" s="230">
        <v>4624800</v>
      </c>
      <c r="CQ131" s="229">
        <v>0.1023</v>
      </c>
      <c r="CR131" s="230">
        <v>33419100</v>
      </c>
      <c r="CS131" s="230">
        <v>32435100</v>
      </c>
      <c r="CT131" s="230">
        <v>984000</v>
      </c>
      <c r="CU131" s="229">
        <v>3.0300000000000001E-2</v>
      </c>
      <c r="CV131" s="230">
        <v>209905650</v>
      </c>
      <c r="CW131" s="230">
        <v>208854000</v>
      </c>
      <c r="CX131" s="230">
        <v>1051650</v>
      </c>
      <c r="CY131" s="229">
        <v>5.0000000000000001E-3</v>
      </c>
      <c r="CZ131" s="228">
        <v>43.24</v>
      </c>
      <c r="DA131" s="228">
        <v>42</v>
      </c>
      <c r="DB131" s="228">
        <v>1.24</v>
      </c>
      <c r="DC131" s="228">
        <v>1.24</v>
      </c>
      <c r="DD131" s="228">
        <v>39.979999999999997</v>
      </c>
      <c r="DE131" s="228">
        <v>40.049999999999997</v>
      </c>
      <c r="DF131" s="228">
        <v>3.26</v>
      </c>
      <c r="DG131" s="228">
        <v>-7.0000000000000007E-2</v>
      </c>
      <c r="DH131" s="228">
        <v>41.74</v>
      </c>
      <c r="DI131" s="228">
        <v>40.94</v>
      </c>
      <c r="DJ131" s="228">
        <v>0.8</v>
      </c>
      <c r="DK131" s="228">
        <v>0.8</v>
      </c>
      <c r="DL131" s="228">
        <v>45.48</v>
      </c>
      <c r="DM131" s="228">
        <v>43.98</v>
      </c>
      <c r="DN131" s="228">
        <v>1.5</v>
      </c>
      <c r="DO131" s="228">
        <v>1.5</v>
      </c>
      <c r="DP131" s="228">
        <v>0.67</v>
      </c>
      <c r="DQ131" s="228">
        <v>0.72</v>
      </c>
      <c r="DR131" s="228">
        <v>-0.05</v>
      </c>
      <c r="DS131" s="229">
        <v>-6.9400000000000003E-2</v>
      </c>
      <c r="DT131" s="228">
        <v>130</v>
      </c>
      <c r="DU131" s="228">
        <v>110</v>
      </c>
      <c r="DV131" s="228">
        <v>0.67</v>
      </c>
      <c r="DW131" s="228">
        <v>0.53</v>
      </c>
      <c r="DX131" s="228">
        <v>0.14000000000000001</v>
      </c>
      <c r="DY131" s="229">
        <v>0.26419999999999999</v>
      </c>
      <c r="DZ131" s="229">
        <v>3.39E-2</v>
      </c>
      <c r="EA131" s="230">
        <v>3364050</v>
      </c>
      <c r="EB131" s="229">
        <v>4.4000000000000003E-3</v>
      </c>
      <c r="EC131" s="229">
        <v>3.39E-2</v>
      </c>
      <c r="ED131" s="228">
        <v>0.75</v>
      </c>
      <c r="EE131" s="229">
        <v>6.3E-3</v>
      </c>
      <c r="EF131" s="230">
        <v>10983978</v>
      </c>
      <c r="EG131" s="230">
        <v>12222812</v>
      </c>
      <c r="EH131" s="229">
        <v>-0.1014</v>
      </c>
      <c r="EI131" s="229">
        <v>0.44740000000000002</v>
      </c>
      <c r="EJ131" s="231">
        <v>47177.96</v>
      </c>
      <c r="EK131" s="231">
        <v>29440.84</v>
      </c>
      <c r="EL131" s="231">
        <v>47540.6</v>
      </c>
      <c r="EM131" s="231">
        <v>4802</v>
      </c>
      <c r="EN131" s="231">
        <v>124159.4</v>
      </c>
      <c r="EO131" s="231">
        <v>106705.55</v>
      </c>
      <c r="EP131" s="231">
        <v>17453.849999999999</v>
      </c>
      <c r="EQ131" s="229">
        <v>0.1636</v>
      </c>
      <c r="ER131" s="231">
        <v>66282</v>
      </c>
      <c r="ES131" s="231">
        <v>39957</v>
      </c>
      <c r="ET131" s="231">
        <v>151532</v>
      </c>
      <c r="EU131" s="231">
        <v>606151620</v>
      </c>
      <c r="EV131" s="231">
        <v>257771</v>
      </c>
      <c r="EW131" s="231">
        <v>258177</v>
      </c>
      <c r="EX131" s="228">
        <v>-406</v>
      </c>
      <c r="EY131" s="229">
        <v>-1.6000000000000001E-3</v>
      </c>
      <c r="EZ131" s="229">
        <v>0.3463</v>
      </c>
      <c r="FA131" s="227" t="s">
        <v>568</v>
      </c>
      <c r="FB131" s="161">
        <f t="shared" ref="FB131:FB138" si="2">BX131-CB131</f>
        <v>4292700</v>
      </c>
    </row>
    <row r="132" spans="1:158" ht="17.25" thickBot="1" x14ac:dyDescent="0.3">
      <c r="A132" s="226">
        <v>46093</v>
      </c>
      <c r="B132" s="227" t="s">
        <v>221</v>
      </c>
      <c r="C132" s="227" t="s">
        <v>487</v>
      </c>
      <c r="D132" s="228">
        <v>275</v>
      </c>
      <c r="E132" s="231">
        <v>2194</v>
      </c>
      <c r="F132" s="231">
        <v>2186.6999999999998</v>
      </c>
      <c r="G132" s="228">
        <v>7.3</v>
      </c>
      <c r="H132" s="229">
        <v>3.3E-3</v>
      </c>
      <c r="I132" s="231">
        <v>2185.1999999999998</v>
      </c>
      <c r="J132" s="231">
        <v>2184.9</v>
      </c>
      <c r="K132" s="228">
        <v>0.3</v>
      </c>
      <c r="L132" s="229">
        <v>1E-4</v>
      </c>
      <c r="M132" s="231">
        <v>2194</v>
      </c>
      <c r="N132" s="231">
        <v>2186.6999999999998</v>
      </c>
      <c r="O132" s="228">
        <v>7.3</v>
      </c>
      <c r="P132" s="229">
        <v>3.3E-3</v>
      </c>
      <c r="Q132" s="231">
        <v>2206.4</v>
      </c>
      <c r="R132" s="231">
        <v>2200.1</v>
      </c>
      <c r="S132" s="228">
        <v>6.3</v>
      </c>
      <c r="T132" s="229">
        <v>2.8999999999999998E-3</v>
      </c>
      <c r="U132" s="231">
        <v>2210</v>
      </c>
      <c r="V132" s="231">
        <v>2226.9</v>
      </c>
      <c r="W132" s="228">
        <v>-16.899999999999999</v>
      </c>
      <c r="X132" s="229">
        <v>-7.6E-3</v>
      </c>
      <c r="Y132" s="228">
        <v>8.8000000000000007</v>
      </c>
      <c r="Z132" s="228">
        <v>1.8</v>
      </c>
      <c r="AA132" s="228">
        <v>7</v>
      </c>
      <c r="AB132" s="229">
        <v>4.0000000000000001E-3</v>
      </c>
      <c r="AC132" s="228">
        <v>8.8000000000000007</v>
      </c>
      <c r="AD132" s="228">
        <v>1.8</v>
      </c>
      <c r="AE132" s="228">
        <v>7</v>
      </c>
      <c r="AF132" s="229">
        <v>4.0000000000000001E-3</v>
      </c>
      <c r="AG132" s="228">
        <v>21.2</v>
      </c>
      <c r="AH132" s="228">
        <v>15.2</v>
      </c>
      <c r="AI132" s="228">
        <v>6</v>
      </c>
      <c r="AJ132" s="229">
        <v>9.7000000000000003E-3</v>
      </c>
      <c r="AK132" s="228">
        <v>24.8</v>
      </c>
      <c r="AL132" s="228">
        <v>42</v>
      </c>
      <c r="AM132" s="228">
        <v>-17.2</v>
      </c>
      <c r="AN132" s="229">
        <v>1.1299999999999999E-2</v>
      </c>
      <c r="AO132" s="231">
        <v>2193.9499999999998</v>
      </c>
      <c r="AP132" s="231">
        <v>2202.8000000000002</v>
      </c>
      <c r="AQ132" s="228">
        <v>0</v>
      </c>
      <c r="AR132" s="230">
        <v>561000</v>
      </c>
      <c r="AS132" s="230">
        <v>578875</v>
      </c>
      <c r="AT132" s="230">
        <v>-17875</v>
      </c>
      <c r="AU132" s="229">
        <v>-3.09E-2</v>
      </c>
      <c r="AV132" s="230">
        <v>537900</v>
      </c>
      <c r="AW132" s="230">
        <v>551100</v>
      </c>
      <c r="AX132" s="230">
        <v>-13200</v>
      </c>
      <c r="AY132" s="229">
        <v>-2.4E-2</v>
      </c>
      <c r="AZ132" s="230">
        <v>22825</v>
      </c>
      <c r="BA132" s="230">
        <v>26125</v>
      </c>
      <c r="BB132" s="230">
        <v>-3300</v>
      </c>
      <c r="BC132" s="229">
        <v>-0.1263</v>
      </c>
      <c r="BD132" s="228">
        <v>275</v>
      </c>
      <c r="BE132" s="230">
        <v>1650</v>
      </c>
      <c r="BF132" s="230">
        <v>-1375</v>
      </c>
      <c r="BG132" s="229">
        <v>-0.83330000000000004</v>
      </c>
      <c r="BH132" s="230">
        <v>1240800</v>
      </c>
      <c r="BI132" s="230">
        <v>509025</v>
      </c>
      <c r="BJ132" s="230">
        <v>731775</v>
      </c>
      <c r="BK132" s="229">
        <v>1.4376</v>
      </c>
      <c r="BL132" s="230">
        <v>682550</v>
      </c>
      <c r="BM132" s="230">
        <v>486200</v>
      </c>
      <c r="BN132" s="230">
        <v>196350</v>
      </c>
      <c r="BO132" s="229">
        <v>0.40379999999999999</v>
      </c>
      <c r="BP132" s="230">
        <v>2484350</v>
      </c>
      <c r="BQ132" s="230">
        <v>1574100</v>
      </c>
      <c r="BR132" s="230">
        <v>910250</v>
      </c>
      <c r="BS132" s="229">
        <v>0.57830000000000004</v>
      </c>
      <c r="BT132" s="230">
        <v>427689</v>
      </c>
      <c r="BU132" s="230">
        <v>361808</v>
      </c>
      <c r="BV132" s="230">
        <v>65881</v>
      </c>
      <c r="BW132" s="229">
        <v>0.18210000000000001</v>
      </c>
      <c r="BX132" s="230">
        <v>5485700</v>
      </c>
      <c r="BY132" s="230">
        <v>5492300</v>
      </c>
      <c r="BZ132" s="230">
        <v>-6600</v>
      </c>
      <c r="CA132" s="229">
        <v>-1.1999999999999999E-3</v>
      </c>
      <c r="CB132" s="230">
        <v>5348475</v>
      </c>
      <c r="CC132" s="230">
        <v>5353700</v>
      </c>
      <c r="CD132" s="230">
        <v>-5225</v>
      </c>
      <c r="CE132" s="229">
        <v>-1E-3</v>
      </c>
      <c r="CF132" s="230">
        <v>126225</v>
      </c>
      <c r="CG132" s="230">
        <v>127875</v>
      </c>
      <c r="CH132" s="230">
        <v>-1650</v>
      </c>
      <c r="CI132" s="229">
        <v>-1.29E-2</v>
      </c>
      <c r="CJ132" s="230">
        <v>11000</v>
      </c>
      <c r="CK132" s="230">
        <v>10725</v>
      </c>
      <c r="CL132" s="228">
        <v>275</v>
      </c>
      <c r="CM132" s="229">
        <v>2.5600000000000001E-2</v>
      </c>
      <c r="CN132" s="230">
        <v>1454200</v>
      </c>
      <c r="CO132" s="230">
        <v>1308450</v>
      </c>
      <c r="CP132" s="230">
        <v>145750</v>
      </c>
      <c r="CQ132" s="229">
        <v>0.1114</v>
      </c>
      <c r="CR132" s="230">
        <v>797225</v>
      </c>
      <c r="CS132" s="230">
        <v>824450</v>
      </c>
      <c r="CT132" s="230">
        <v>-27225</v>
      </c>
      <c r="CU132" s="229">
        <v>-3.3000000000000002E-2</v>
      </c>
      <c r="CV132" s="230">
        <v>7737125</v>
      </c>
      <c r="CW132" s="230">
        <v>7625200</v>
      </c>
      <c r="CX132" s="230">
        <v>111925</v>
      </c>
      <c r="CY132" s="229">
        <v>1.47E-2</v>
      </c>
      <c r="CZ132" s="228">
        <v>39.340000000000003</v>
      </c>
      <c r="DA132" s="228">
        <v>42.03</v>
      </c>
      <c r="DB132" s="228">
        <v>-2.69</v>
      </c>
      <c r="DC132" s="228">
        <v>-2.69</v>
      </c>
      <c r="DD132" s="228">
        <v>35.15</v>
      </c>
      <c r="DE132" s="228">
        <v>35.24</v>
      </c>
      <c r="DF132" s="228">
        <v>4.1900000000000004</v>
      </c>
      <c r="DG132" s="228">
        <v>-0.09</v>
      </c>
      <c r="DH132" s="228">
        <v>38</v>
      </c>
      <c r="DI132" s="228">
        <v>39.17</v>
      </c>
      <c r="DJ132" s="228">
        <v>-1.17</v>
      </c>
      <c r="DK132" s="228">
        <v>-1.17</v>
      </c>
      <c r="DL132" s="228">
        <v>41.78</v>
      </c>
      <c r="DM132" s="228">
        <v>45.03</v>
      </c>
      <c r="DN132" s="228">
        <v>-3.25</v>
      </c>
      <c r="DO132" s="228">
        <v>-3.25</v>
      </c>
      <c r="DP132" s="228">
        <v>0.55000000000000004</v>
      </c>
      <c r="DQ132" s="228">
        <v>0.63</v>
      </c>
      <c r="DR132" s="228">
        <v>-0.08</v>
      </c>
      <c r="DS132" s="229">
        <v>-0.127</v>
      </c>
      <c r="DT132" s="231">
        <v>2500</v>
      </c>
      <c r="DU132" s="231">
        <v>2200</v>
      </c>
      <c r="DV132" s="228">
        <v>0.55000000000000004</v>
      </c>
      <c r="DW132" s="228">
        <v>0.96</v>
      </c>
      <c r="DX132" s="228">
        <v>-0.41</v>
      </c>
      <c r="DY132" s="229">
        <v>-0.42709999999999998</v>
      </c>
      <c r="DZ132" s="229">
        <v>2.5000000000000001E-2</v>
      </c>
      <c r="EA132" s="230">
        <v>138600</v>
      </c>
      <c r="EB132" s="229">
        <v>5.7000000000000002E-3</v>
      </c>
      <c r="EC132" s="229">
        <v>2.5000000000000001E-2</v>
      </c>
      <c r="ED132" s="228">
        <v>8.85</v>
      </c>
      <c r="EE132" s="229">
        <v>4.0000000000000001E-3</v>
      </c>
      <c r="EF132" s="230">
        <v>267694</v>
      </c>
      <c r="EG132" s="230">
        <v>170689</v>
      </c>
      <c r="EH132" s="229">
        <v>0.56830000000000003</v>
      </c>
      <c r="EI132" s="229">
        <v>0.62590000000000001</v>
      </c>
      <c r="EJ132" s="231">
        <v>29598.21</v>
      </c>
      <c r="EK132" s="231">
        <v>14367.29</v>
      </c>
      <c r="EL132" s="231">
        <v>12310.14</v>
      </c>
      <c r="EM132" s="231">
        <v>3602</v>
      </c>
      <c r="EN132" s="231">
        <v>56275.64</v>
      </c>
      <c r="EO132" s="231">
        <v>35055.550000000003</v>
      </c>
      <c r="EP132" s="231">
        <v>21220.09</v>
      </c>
      <c r="EQ132" s="229">
        <v>0.60529999999999995</v>
      </c>
      <c r="ER132" s="231">
        <v>35380</v>
      </c>
      <c r="ES132" s="231">
        <v>17511</v>
      </c>
      <c r="ET132" s="231">
        <v>120374</v>
      </c>
      <c r="EU132" s="231">
        <v>17093933</v>
      </c>
      <c r="EV132" s="231">
        <v>173265</v>
      </c>
      <c r="EW132" s="231">
        <v>170087</v>
      </c>
      <c r="EX132" s="231">
        <v>3178</v>
      </c>
      <c r="EY132" s="229">
        <v>1.8700000000000001E-2</v>
      </c>
      <c r="EZ132" s="229">
        <v>0.4526</v>
      </c>
      <c r="FA132" s="227" t="s">
        <v>556</v>
      </c>
      <c r="FB132" s="161">
        <f t="shared" si="2"/>
        <v>137225</v>
      </c>
    </row>
    <row r="133" spans="1:158" ht="17.25" thickBot="1" x14ac:dyDescent="0.3">
      <c r="A133" s="226">
        <v>46093</v>
      </c>
      <c r="B133" s="227" t="s">
        <v>175</v>
      </c>
      <c r="C133" s="227" t="s">
        <v>262</v>
      </c>
      <c r="D133" s="228">
        <v>275</v>
      </c>
      <c r="E133" s="231">
        <v>3255.7</v>
      </c>
      <c r="F133" s="231">
        <v>3171.1</v>
      </c>
      <c r="G133" s="228">
        <v>84.6</v>
      </c>
      <c r="H133" s="229">
        <v>2.6700000000000002E-2</v>
      </c>
      <c r="I133" s="231">
        <v>3244</v>
      </c>
      <c r="J133" s="231">
        <v>3163.9</v>
      </c>
      <c r="K133" s="228">
        <v>80.099999999999994</v>
      </c>
      <c r="L133" s="229">
        <v>2.53E-2</v>
      </c>
      <c r="M133" s="231">
        <v>3255.7</v>
      </c>
      <c r="N133" s="231">
        <v>3171.1</v>
      </c>
      <c r="O133" s="228">
        <v>84.6</v>
      </c>
      <c r="P133" s="229">
        <v>2.6700000000000002E-2</v>
      </c>
      <c r="Q133" s="231">
        <v>3260</v>
      </c>
      <c r="R133" s="231">
        <v>3173.8</v>
      </c>
      <c r="S133" s="228">
        <v>86.2</v>
      </c>
      <c r="T133" s="229">
        <v>2.7199999999999998E-2</v>
      </c>
      <c r="U133" s="231">
        <v>3267.7</v>
      </c>
      <c r="V133" s="231">
        <v>3188.8</v>
      </c>
      <c r="W133" s="228">
        <v>78.900000000000006</v>
      </c>
      <c r="X133" s="229">
        <v>2.47E-2</v>
      </c>
      <c r="Y133" s="228">
        <v>11.7</v>
      </c>
      <c r="Z133" s="228">
        <v>7.2</v>
      </c>
      <c r="AA133" s="228">
        <v>4.5</v>
      </c>
      <c r="AB133" s="229">
        <v>3.5999999999999999E-3</v>
      </c>
      <c r="AC133" s="228">
        <v>11.7</v>
      </c>
      <c r="AD133" s="228">
        <v>7.2</v>
      </c>
      <c r="AE133" s="228">
        <v>4.5</v>
      </c>
      <c r="AF133" s="229">
        <v>3.5999999999999999E-3</v>
      </c>
      <c r="AG133" s="228">
        <v>16</v>
      </c>
      <c r="AH133" s="228">
        <v>9.9</v>
      </c>
      <c r="AI133" s="228">
        <v>6.1</v>
      </c>
      <c r="AJ133" s="229">
        <v>4.8999999999999998E-3</v>
      </c>
      <c r="AK133" s="228">
        <v>23.7</v>
      </c>
      <c r="AL133" s="228">
        <v>24.9</v>
      </c>
      <c r="AM133" s="228">
        <v>-1.2</v>
      </c>
      <c r="AN133" s="229">
        <v>7.3000000000000001E-3</v>
      </c>
      <c r="AO133" s="231">
        <v>3204.49</v>
      </c>
      <c r="AP133" s="231">
        <v>3220.29</v>
      </c>
      <c r="AQ133" s="228">
        <v>0</v>
      </c>
      <c r="AR133" s="230">
        <v>1101100</v>
      </c>
      <c r="AS133" s="230">
        <v>1314775</v>
      </c>
      <c r="AT133" s="230">
        <v>-213675</v>
      </c>
      <c r="AU133" s="229">
        <v>-0.16250000000000001</v>
      </c>
      <c r="AV133" s="230">
        <v>1024100</v>
      </c>
      <c r="AW133" s="230">
        <v>1224850</v>
      </c>
      <c r="AX133" s="230">
        <v>-200750</v>
      </c>
      <c r="AY133" s="229">
        <v>-0.16389999999999999</v>
      </c>
      <c r="AZ133" s="230">
        <v>72050</v>
      </c>
      <c r="BA133" s="230">
        <v>77000</v>
      </c>
      <c r="BB133" s="230">
        <v>-4950</v>
      </c>
      <c r="BC133" s="229">
        <v>-6.4299999999999996E-2</v>
      </c>
      <c r="BD133" s="230">
        <v>4950</v>
      </c>
      <c r="BE133" s="230">
        <v>12925</v>
      </c>
      <c r="BF133" s="230">
        <v>-7975</v>
      </c>
      <c r="BG133" s="229">
        <v>-0.61699999999999999</v>
      </c>
      <c r="BH133" s="230">
        <v>3741925</v>
      </c>
      <c r="BI133" s="230">
        <v>3139125</v>
      </c>
      <c r="BJ133" s="230">
        <v>602800</v>
      </c>
      <c r="BK133" s="229">
        <v>0.192</v>
      </c>
      <c r="BL133" s="230">
        <v>1547425</v>
      </c>
      <c r="BM133" s="230">
        <v>1743775</v>
      </c>
      <c r="BN133" s="230">
        <v>-196350</v>
      </c>
      <c r="BO133" s="229">
        <v>-0.11260000000000001</v>
      </c>
      <c r="BP133" s="230">
        <v>6390450</v>
      </c>
      <c r="BQ133" s="230">
        <v>6197675</v>
      </c>
      <c r="BR133" s="230">
        <v>192775</v>
      </c>
      <c r="BS133" s="229">
        <v>3.1099999999999999E-2</v>
      </c>
      <c r="BT133" s="230">
        <v>1812869</v>
      </c>
      <c r="BU133" s="230">
        <v>786542</v>
      </c>
      <c r="BV133" s="230">
        <v>1026327</v>
      </c>
      <c r="BW133" s="229">
        <v>1.3048999999999999</v>
      </c>
      <c r="BX133" s="230">
        <v>3941025</v>
      </c>
      <c r="BY133" s="230">
        <v>3941025</v>
      </c>
      <c r="BZ133" s="228">
        <v>0</v>
      </c>
      <c r="CA133" s="229">
        <v>0</v>
      </c>
      <c r="CB133" s="230">
        <v>3711950</v>
      </c>
      <c r="CC133" s="230">
        <v>3723225</v>
      </c>
      <c r="CD133" s="230">
        <v>-11275</v>
      </c>
      <c r="CE133" s="229">
        <v>-3.0000000000000001E-3</v>
      </c>
      <c r="CF133" s="230">
        <v>203775</v>
      </c>
      <c r="CG133" s="230">
        <v>194150</v>
      </c>
      <c r="CH133" s="230">
        <v>9625</v>
      </c>
      <c r="CI133" s="229">
        <v>4.9599999999999998E-2</v>
      </c>
      <c r="CJ133" s="230">
        <v>25300</v>
      </c>
      <c r="CK133" s="230">
        <v>23650</v>
      </c>
      <c r="CL133" s="230">
        <v>1650</v>
      </c>
      <c r="CM133" s="229">
        <v>6.9800000000000001E-2</v>
      </c>
      <c r="CN133" s="230">
        <v>4089525</v>
      </c>
      <c r="CO133" s="230">
        <v>4193475</v>
      </c>
      <c r="CP133" s="230">
        <v>-103950</v>
      </c>
      <c r="CQ133" s="229">
        <v>-2.4799999999999999E-2</v>
      </c>
      <c r="CR133" s="230">
        <v>1747625</v>
      </c>
      <c r="CS133" s="230">
        <v>1711600</v>
      </c>
      <c r="CT133" s="230">
        <v>36025</v>
      </c>
      <c r="CU133" s="229">
        <v>2.1000000000000001E-2</v>
      </c>
      <c r="CV133" s="230">
        <v>9778175</v>
      </c>
      <c r="CW133" s="230">
        <v>9846100</v>
      </c>
      <c r="CX133" s="230">
        <v>-67925</v>
      </c>
      <c r="CY133" s="229">
        <v>-6.8999999999999999E-3</v>
      </c>
      <c r="CZ133" s="228">
        <v>37.25</v>
      </c>
      <c r="DA133" s="228">
        <v>38.869999999999997</v>
      </c>
      <c r="DB133" s="228">
        <v>-1.62</v>
      </c>
      <c r="DC133" s="228">
        <v>-1.62</v>
      </c>
      <c r="DD133" s="228">
        <v>42.26</v>
      </c>
      <c r="DE133" s="228">
        <v>42.22</v>
      </c>
      <c r="DF133" s="228">
        <v>-5.01</v>
      </c>
      <c r="DG133" s="228">
        <v>0.04</v>
      </c>
      <c r="DH133" s="228">
        <v>36.47</v>
      </c>
      <c r="DI133" s="228">
        <v>38.85</v>
      </c>
      <c r="DJ133" s="228">
        <v>-2.38</v>
      </c>
      <c r="DK133" s="228">
        <v>-2.38</v>
      </c>
      <c r="DL133" s="228">
        <v>39.14</v>
      </c>
      <c r="DM133" s="228">
        <v>38.92</v>
      </c>
      <c r="DN133" s="228">
        <v>0.22</v>
      </c>
      <c r="DO133" s="228">
        <v>0.22</v>
      </c>
      <c r="DP133" s="228">
        <v>0.43</v>
      </c>
      <c r="DQ133" s="228">
        <v>0.41</v>
      </c>
      <c r="DR133" s="228">
        <v>0.02</v>
      </c>
      <c r="DS133" s="229">
        <v>4.8800000000000003E-2</v>
      </c>
      <c r="DT133" s="231">
        <v>4000</v>
      </c>
      <c r="DU133" s="231">
        <v>3200</v>
      </c>
      <c r="DV133" s="228">
        <v>0.41</v>
      </c>
      <c r="DW133" s="228">
        <v>0.56000000000000005</v>
      </c>
      <c r="DX133" s="228">
        <v>-0.15</v>
      </c>
      <c r="DY133" s="229">
        <v>-0.26790000000000003</v>
      </c>
      <c r="DZ133" s="229">
        <v>5.8099999999999999E-2</v>
      </c>
      <c r="EA133" s="230">
        <v>217800</v>
      </c>
      <c r="EB133" s="229">
        <v>1.2999999999999999E-3</v>
      </c>
      <c r="EC133" s="229">
        <v>5.8099999999999999E-2</v>
      </c>
      <c r="ED133" s="228">
        <v>15.8</v>
      </c>
      <c r="EE133" s="229">
        <v>4.8999999999999998E-3</v>
      </c>
      <c r="EF133" s="230">
        <v>1268868</v>
      </c>
      <c r="EG133" s="230">
        <v>399201</v>
      </c>
      <c r="EH133" s="229">
        <v>2.1785000000000001</v>
      </c>
      <c r="EI133" s="229">
        <v>0.69989999999999997</v>
      </c>
      <c r="EJ133" s="231">
        <v>129801.02</v>
      </c>
      <c r="EK133" s="231">
        <v>48900.25</v>
      </c>
      <c r="EL133" s="231">
        <v>35298.019999999997</v>
      </c>
      <c r="EM133" s="231">
        <v>4551</v>
      </c>
      <c r="EN133" s="231">
        <v>213999.29</v>
      </c>
      <c r="EO133" s="231">
        <v>209219.46</v>
      </c>
      <c r="EP133" s="231">
        <v>4779.83</v>
      </c>
      <c r="EQ133" s="229">
        <v>2.2800000000000001E-2</v>
      </c>
      <c r="ER133" s="231">
        <v>152103</v>
      </c>
      <c r="ES133" s="231">
        <v>57611</v>
      </c>
      <c r="ET133" s="231">
        <v>128320</v>
      </c>
      <c r="EU133" s="231">
        <v>14790848</v>
      </c>
      <c r="EV133" s="231">
        <v>338034</v>
      </c>
      <c r="EW133" s="231">
        <v>337757</v>
      </c>
      <c r="EX133" s="228">
        <v>277</v>
      </c>
      <c r="EY133" s="229">
        <v>8.0000000000000004E-4</v>
      </c>
      <c r="EZ133" s="229">
        <v>0.66110000000000002</v>
      </c>
      <c r="FA133" s="227" t="s">
        <v>237</v>
      </c>
      <c r="FB133" s="161">
        <f t="shared" si="2"/>
        <v>229075</v>
      </c>
    </row>
    <row r="134" spans="1:158" ht="17.25" thickBot="1" x14ac:dyDescent="0.3">
      <c r="A134" s="226">
        <v>46093</v>
      </c>
      <c r="B134" s="227" t="s">
        <v>227</v>
      </c>
      <c r="C134" s="227" t="s">
        <v>263</v>
      </c>
      <c r="D134" s="228">
        <v>3750</v>
      </c>
      <c r="E134" s="228">
        <v>409.35</v>
      </c>
      <c r="F134" s="228">
        <v>398.25</v>
      </c>
      <c r="G134" s="228">
        <v>11.1</v>
      </c>
      <c r="H134" s="229">
        <v>2.7900000000000001E-2</v>
      </c>
      <c r="I134" s="228">
        <v>409.15</v>
      </c>
      <c r="J134" s="228">
        <v>397.75</v>
      </c>
      <c r="K134" s="228">
        <v>11.4</v>
      </c>
      <c r="L134" s="229">
        <v>2.87E-2</v>
      </c>
      <c r="M134" s="228">
        <v>409.35</v>
      </c>
      <c r="N134" s="228">
        <v>398.25</v>
      </c>
      <c r="O134" s="228">
        <v>11.1</v>
      </c>
      <c r="P134" s="229">
        <v>2.7900000000000001E-2</v>
      </c>
      <c r="Q134" s="228">
        <v>411.1</v>
      </c>
      <c r="R134" s="228">
        <v>400.35</v>
      </c>
      <c r="S134" s="228">
        <v>10.75</v>
      </c>
      <c r="T134" s="229">
        <v>2.69E-2</v>
      </c>
      <c r="U134" s="228">
        <v>411.25</v>
      </c>
      <c r="V134" s="228">
        <v>400.7</v>
      </c>
      <c r="W134" s="228">
        <v>10.55</v>
      </c>
      <c r="X134" s="229">
        <v>2.63E-2</v>
      </c>
      <c r="Y134" s="228">
        <v>0.2</v>
      </c>
      <c r="Z134" s="228">
        <v>0.5</v>
      </c>
      <c r="AA134" s="228">
        <v>-0.3</v>
      </c>
      <c r="AB134" s="229">
        <v>5.0000000000000001E-4</v>
      </c>
      <c r="AC134" s="228">
        <v>0.2</v>
      </c>
      <c r="AD134" s="228">
        <v>0.5</v>
      </c>
      <c r="AE134" s="228">
        <v>-0.3</v>
      </c>
      <c r="AF134" s="229">
        <v>5.0000000000000001E-4</v>
      </c>
      <c r="AG134" s="228">
        <v>1.95</v>
      </c>
      <c r="AH134" s="228">
        <v>2.6</v>
      </c>
      <c r="AI134" s="228">
        <v>-0.65</v>
      </c>
      <c r="AJ134" s="229">
        <v>4.7999999999999996E-3</v>
      </c>
      <c r="AK134" s="228">
        <v>2.1</v>
      </c>
      <c r="AL134" s="228">
        <v>2.95</v>
      </c>
      <c r="AM134" s="228">
        <v>-0.85</v>
      </c>
      <c r="AN134" s="229">
        <v>5.1000000000000004E-3</v>
      </c>
      <c r="AO134" s="228">
        <v>399.73</v>
      </c>
      <c r="AP134" s="228">
        <v>401.83</v>
      </c>
      <c r="AQ134" s="228">
        <v>0</v>
      </c>
      <c r="AR134" s="230">
        <v>34436250</v>
      </c>
      <c r="AS134" s="230">
        <v>27258750</v>
      </c>
      <c r="AT134" s="230">
        <v>7177500</v>
      </c>
      <c r="AU134" s="229">
        <v>0.26329999999999998</v>
      </c>
      <c r="AV134" s="230">
        <v>31455000</v>
      </c>
      <c r="AW134" s="230">
        <v>24918750</v>
      </c>
      <c r="AX134" s="230">
        <v>6536250</v>
      </c>
      <c r="AY134" s="229">
        <v>0.26229999999999998</v>
      </c>
      <c r="AZ134" s="230">
        <v>2647500</v>
      </c>
      <c r="BA134" s="230">
        <v>1676250</v>
      </c>
      <c r="BB134" s="230">
        <v>971250</v>
      </c>
      <c r="BC134" s="229">
        <v>0.57940000000000003</v>
      </c>
      <c r="BD134" s="230">
        <v>333750</v>
      </c>
      <c r="BE134" s="230">
        <v>663750</v>
      </c>
      <c r="BF134" s="230">
        <v>-330000</v>
      </c>
      <c r="BG134" s="229">
        <v>-0.49719999999999998</v>
      </c>
      <c r="BH134" s="230">
        <v>91440000</v>
      </c>
      <c r="BI134" s="230">
        <v>91323750</v>
      </c>
      <c r="BJ134" s="230">
        <v>116250</v>
      </c>
      <c r="BK134" s="229">
        <v>1.2999999999999999E-3</v>
      </c>
      <c r="BL134" s="230">
        <v>42682500</v>
      </c>
      <c r="BM134" s="230">
        <v>39817500</v>
      </c>
      <c r="BN134" s="230">
        <v>2865000</v>
      </c>
      <c r="BO134" s="229">
        <v>7.1999999999999995E-2</v>
      </c>
      <c r="BP134" s="230">
        <v>168558750</v>
      </c>
      <c r="BQ134" s="230">
        <v>158400000</v>
      </c>
      <c r="BR134" s="230">
        <v>10158750</v>
      </c>
      <c r="BS134" s="229">
        <v>6.4100000000000004E-2</v>
      </c>
      <c r="BT134" s="230">
        <v>21020224</v>
      </c>
      <c r="BU134" s="230">
        <v>17534899</v>
      </c>
      <c r="BV134" s="230">
        <v>3485325</v>
      </c>
      <c r="BW134" s="229">
        <v>0.1988</v>
      </c>
      <c r="BX134" s="230">
        <v>59493750</v>
      </c>
      <c r="BY134" s="230">
        <v>59321250</v>
      </c>
      <c r="BZ134" s="230">
        <v>172500</v>
      </c>
      <c r="CA134" s="229">
        <v>2.8999999999999998E-3</v>
      </c>
      <c r="CB134" s="230">
        <v>46372500</v>
      </c>
      <c r="CC134" s="230">
        <v>46680000</v>
      </c>
      <c r="CD134" s="230">
        <v>-307500</v>
      </c>
      <c r="CE134" s="229">
        <v>-6.6E-3</v>
      </c>
      <c r="CF134" s="230">
        <v>7515000</v>
      </c>
      <c r="CG134" s="230">
        <v>7061250</v>
      </c>
      <c r="CH134" s="230">
        <v>453750</v>
      </c>
      <c r="CI134" s="229">
        <v>6.4299999999999996E-2</v>
      </c>
      <c r="CJ134" s="230">
        <v>5606250</v>
      </c>
      <c r="CK134" s="230">
        <v>5580000</v>
      </c>
      <c r="CL134" s="230">
        <v>26250</v>
      </c>
      <c r="CM134" s="229">
        <v>4.7000000000000002E-3</v>
      </c>
      <c r="CN134" s="230">
        <v>38066250</v>
      </c>
      <c r="CO134" s="230">
        <v>39116250</v>
      </c>
      <c r="CP134" s="230">
        <v>-1050000</v>
      </c>
      <c r="CQ134" s="229">
        <v>-2.6800000000000001E-2</v>
      </c>
      <c r="CR134" s="230">
        <v>33581250</v>
      </c>
      <c r="CS134" s="230">
        <v>31140000</v>
      </c>
      <c r="CT134" s="230">
        <v>2441250</v>
      </c>
      <c r="CU134" s="229">
        <v>7.8399999999999997E-2</v>
      </c>
      <c r="CV134" s="230">
        <v>131141250</v>
      </c>
      <c r="CW134" s="230">
        <v>129577500</v>
      </c>
      <c r="CX134" s="230">
        <v>1563750</v>
      </c>
      <c r="CY134" s="229">
        <v>1.21E-2</v>
      </c>
      <c r="CZ134" s="228">
        <v>45.13</v>
      </c>
      <c r="DA134" s="228">
        <v>44.76</v>
      </c>
      <c r="DB134" s="228">
        <v>0.37</v>
      </c>
      <c r="DC134" s="228">
        <v>0.37</v>
      </c>
      <c r="DD134" s="228">
        <v>51.07</v>
      </c>
      <c r="DE134" s="228">
        <v>51.05</v>
      </c>
      <c r="DF134" s="228">
        <v>-5.94</v>
      </c>
      <c r="DG134" s="228">
        <v>0.02</v>
      </c>
      <c r="DH134" s="228">
        <v>44.34</v>
      </c>
      <c r="DI134" s="228">
        <v>44.46</v>
      </c>
      <c r="DJ134" s="228">
        <v>-0.12</v>
      </c>
      <c r="DK134" s="228">
        <v>-0.12</v>
      </c>
      <c r="DL134" s="228">
        <v>46.82</v>
      </c>
      <c r="DM134" s="228">
        <v>45.42</v>
      </c>
      <c r="DN134" s="228">
        <v>1.4</v>
      </c>
      <c r="DO134" s="228">
        <v>1.4</v>
      </c>
      <c r="DP134" s="228">
        <v>0.88</v>
      </c>
      <c r="DQ134" s="228">
        <v>0.8</v>
      </c>
      <c r="DR134" s="228">
        <v>0.08</v>
      </c>
      <c r="DS134" s="229">
        <v>0.1</v>
      </c>
      <c r="DT134" s="228">
        <v>400</v>
      </c>
      <c r="DU134" s="228">
        <v>360</v>
      </c>
      <c r="DV134" s="228">
        <v>0.47</v>
      </c>
      <c r="DW134" s="228">
        <v>0.44</v>
      </c>
      <c r="DX134" s="228">
        <v>0.03</v>
      </c>
      <c r="DY134" s="229">
        <v>6.8199999999999997E-2</v>
      </c>
      <c r="DZ134" s="229">
        <v>0.2205</v>
      </c>
      <c r="EA134" s="230">
        <v>12641250</v>
      </c>
      <c r="EB134" s="229">
        <v>4.3E-3</v>
      </c>
      <c r="EC134" s="229">
        <v>0.2205</v>
      </c>
      <c r="ED134" s="228">
        <v>2.1</v>
      </c>
      <c r="EE134" s="229">
        <v>5.3E-3</v>
      </c>
      <c r="EF134" s="230">
        <v>7769759</v>
      </c>
      <c r="EG134" s="230">
        <v>6311172</v>
      </c>
      <c r="EH134" s="229">
        <v>0.2311</v>
      </c>
      <c r="EI134" s="229">
        <v>0.36959999999999998</v>
      </c>
      <c r="EJ134" s="231">
        <v>390267.8</v>
      </c>
      <c r="EK134" s="231">
        <v>169218.21</v>
      </c>
      <c r="EL134" s="231">
        <v>137719.29999999999</v>
      </c>
      <c r="EM134" s="231">
        <v>10479</v>
      </c>
      <c r="EN134" s="231">
        <v>697205.31</v>
      </c>
      <c r="EO134" s="231">
        <v>654268.03</v>
      </c>
      <c r="EP134" s="231">
        <v>42937.279999999999</v>
      </c>
      <c r="EQ134" s="229">
        <v>6.5600000000000006E-2</v>
      </c>
      <c r="ER134" s="231">
        <v>153031</v>
      </c>
      <c r="ES134" s="231">
        <v>123163</v>
      </c>
      <c r="ET134" s="231">
        <v>243776</v>
      </c>
      <c r="EU134" s="231">
        <v>134225816</v>
      </c>
      <c r="EV134" s="231">
        <v>519969</v>
      </c>
      <c r="EW134" s="231">
        <v>507056</v>
      </c>
      <c r="EX134" s="231">
        <v>12913</v>
      </c>
      <c r="EY134" s="229">
        <v>2.5499999999999998E-2</v>
      </c>
      <c r="EZ134" s="229">
        <v>0.97699999999999998</v>
      </c>
      <c r="FA134" s="227" t="s">
        <v>555</v>
      </c>
      <c r="FB134" s="161">
        <f t="shared" si="2"/>
        <v>13121250</v>
      </c>
    </row>
    <row r="135" spans="1:158" ht="17.25" thickBot="1" x14ac:dyDescent="0.3">
      <c r="A135" s="226">
        <v>46093</v>
      </c>
      <c r="B135" s="227" t="s">
        <v>615</v>
      </c>
      <c r="C135" s="227" t="s">
        <v>264</v>
      </c>
      <c r="D135" s="228">
        <v>375</v>
      </c>
      <c r="E135" s="228">
        <v>956.9</v>
      </c>
      <c r="F135" s="228">
        <v>958.1</v>
      </c>
      <c r="G135" s="228">
        <v>-1.2</v>
      </c>
      <c r="H135" s="229">
        <v>-1.2999999999999999E-3</v>
      </c>
      <c r="I135" s="228">
        <v>955.4</v>
      </c>
      <c r="J135" s="228">
        <v>956.5</v>
      </c>
      <c r="K135" s="228">
        <v>-1.1000000000000001</v>
      </c>
      <c r="L135" s="229">
        <v>-1.1999999999999999E-3</v>
      </c>
      <c r="M135" s="228">
        <v>956.9</v>
      </c>
      <c r="N135" s="228">
        <v>958.1</v>
      </c>
      <c r="O135" s="228">
        <v>-1.2</v>
      </c>
      <c r="P135" s="229">
        <v>-1.2999999999999999E-3</v>
      </c>
      <c r="Q135" s="228">
        <v>960.9</v>
      </c>
      <c r="R135" s="228">
        <v>963.5</v>
      </c>
      <c r="S135" s="228">
        <v>-2.6</v>
      </c>
      <c r="T135" s="229">
        <v>-2.7000000000000001E-3</v>
      </c>
      <c r="U135" s="228">
        <v>967.7</v>
      </c>
      <c r="V135" s="228">
        <v>969.8</v>
      </c>
      <c r="W135" s="228">
        <v>-2.1</v>
      </c>
      <c r="X135" s="229">
        <v>-2.2000000000000001E-3</v>
      </c>
      <c r="Y135" s="228">
        <v>1.5</v>
      </c>
      <c r="Z135" s="228">
        <v>1.6</v>
      </c>
      <c r="AA135" s="228">
        <v>-0.1</v>
      </c>
      <c r="AB135" s="229">
        <v>1.6000000000000001E-3</v>
      </c>
      <c r="AC135" s="228">
        <v>1.5</v>
      </c>
      <c r="AD135" s="228">
        <v>1.6</v>
      </c>
      <c r="AE135" s="228">
        <v>-0.1</v>
      </c>
      <c r="AF135" s="229">
        <v>1.6000000000000001E-3</v>
      </c>
      <c r="AG135" s="228">
        <v>5.5</v>
      </c>
      <c r="AH135" s="228">
        <v>7</v>
      </c>
      <c r="AI135" s="228">
        <v>-1.5</v>
      </c>
      <c r="AJ135" s="229">
        <v>5.7999999999999996E-3</v>
      </c>
      <c r="AK135" s="228">
        <v>12.3</v>
      </c>
      <c r="AL135" s="228">
        <v>13.3</v>
      </c>
      <c r="AM135" s="228">
        <v>-1</v>
      </c>
      <c r="AN135" s="229">
        <v>1.29E-2</v>
      </c>
      <c r="AO135" s="228">
        <v>950.85</v>
      </c>
      <c r="AP135" s="228">
        <v>952.37</v>
      </c>
      <c r="AQ135" s="228">
        <v>0</v>
      </c>
      <c r="AR135" s="230">
        <v>1077750</v>
      </c>
      <c r="AS135" s="230">
        <v>961875</v>
      </c>
      <c r="AT135" s="230">
        <v>115875</v>
      </c>
      <c r="AU135" s="229">
        <v>0.1205</v>
      </c>
      <c r="AV135" s="230">
        <v>992250</v>
      </c>
      <c r="AW135" s="230">
        <v>890250</v>
      </c>
      <c r="AX135" s="230">
        <v>102000</v>
      </c>
      <c r="AY135" s="229">
        <v>0.11459999999999999</v>
      </c>
      <c r="AZ135" s="230">
        <v>70500</v>
      </c>
      <c r="BA135" s="230">
        <v>62250</v>
      </c>
      <c r="BB135" s="230">
        <v>8250</v>
      </c>
      <c r="BC135" s="229">
        <v>0.13250000000000001</v>
      </c>
      <c r="BD135" s="230">
        <v>15000</v>
      </c>
      <c r="BE135" s="230">
        <v>9375</v>
      </c>
      <c r="BF135" s="230">
        <v>5625</v>
      </c>
      <c r="BG135" s="229">
        <v>0.6</v>
      </c>
      <c r="BH135" s="230">
        <v>2933625</v>
      </c>
      <c r="BI135" s="230">
        <v>2502375</v>
      </c>
      <c r="BJ135" s="230">
        <v>431250</v>
      </c>
      <c r="BK135" s="229">
        <v>0.17230000000000001</v>
      </c>
      <c r="BL135" s="230">
        <v>1071375</v>
      </c>
      <c r="BM135" s="230">
        <v>1416375</v>
      </c>
      <c r="BN135" s="230">
        <v>-345000</v>
      </c>
      <c r="BO135" s="229">
        <v>-0.24360000000000001</v>
      </c>
      <c r="BP135" s="230">
        <v>5082750</v>
      </c>
      <c r="BQ135" s="230">
        <v>4880625</v>
      </c>
      <c r="BR135" s="230">
        <v>202125</v>
      </c>
      <c r="BS135" s="229">
        <v>4.1399999999999999E-2</v>
      </c>
      <c r="BT135" s="230">
        <v>2977166</v>
      </c>
      <c r="BU135" s="230">
        <v>840202</v>
      </c>
      <c r="BV135" s="230">
        <v>2136964</v>
      </c>
      <c r="BW135" s="229">
        <v>2.5434000000000001</v>
      </c>
      <c r="BX135" s="230">
        <v>11184750</v>
      </c>
      <c r="BY135" s="230">
        <v>11114250</v>
      </c>
      <c r="BZ135" s="230">
        <v>70500</v>
      </c>
      <c r="CA135" s="229">
        <v>6.3E-3</v>
      </c>
      <c r="CB135" s="230">
        <v>10881375</v>
      </c>
      <c r="CC135" s="230">
        <v>10828500</v>
      </c>
      <c r="CD135" s="230">
        <v>52875</v>
      </c>
      <c r="CE135" s="229">
        <v>4.8999999999999998E-3</v>
      </c>
      <c r="CF135" s="230">
        <v>279000</v>
      </c>
      <c r="CG135" s="230">
        <v>262125</v>
      </c>
      <c r="CH135" s="230">
        <v>16875</v>
      </c>
      <c r="CI135" s="229">
        <v>6.4399999999999999E-2</v>
      </c>
      <c r="CJ135" s="230">
        <v>24375</v>
      </c>
      <c r="CK135" s="230">
        <v>23625</v>
      </c>
      <c r="CL135" s="228">
        <v>750</v>
      </c>
      <c r="CM135" s="229">
        <v>3.1699999999999999E-2</v>
      </c>
      <c r="CN135" s="230">
        <v>3849750</v>
      </c>
      <c r="CO135" s="230">
        <v>3695250</v>
      </c>
      <c r="CP135" s="230">
        <v>154500</v>
      </c>
      <c r="CQ135" s="229">
        <v>4.1799999999999997E-2</v>
      </c>
      <c r="CR135" s="230">
        <v>1860375</v>
      </c>
      <c r="CS135" s="230">
        <v>1845000</v>
      </c>
      <c r="CT135" s="230">
        <v>15375</v>
      </c>
      <c r="CU135" s="229">
        <v>8.3000000000000001E-3</v>
      </c>
      <c r="CV135" s="230">
        <v>16894875</v>
      </c>
      <c r="CW135" s="230">
        <v>16654500</v>
      </c>
      <c r="CX135" s="230">
        <v>240375</v>
      </c>
      <c r="CY135" s="229">
        <v>1.44E-2</v>
      </c>
      <c r="CZ135" s="228">
        <v>35.74</v>
      </c>
      <c r="DA135" s="228">
        <v>35.32</v>
      </c>
      <c r="DB135" s="228">
        <v>0.42</v>
      </c>
      <c r="DC135" s="228">
        <v>0.42</v>
      </c>
      <c r="DD135" s="228">
        <v>36.299999999999997</v>
      </c>
      <c r="DE135" s="228">
        <v>36.39</v>
      </c>
      <c r="DF135" s="228">
        <v>-0.56000000000000005</v>
      </c>
      <c r="DG135" s="228">
        <v>-0.09</v>
      </c>
      <c r="DH135" s="228">
        <v>35.76</v>
      </c>
      <c r="DI135" s="228">
        <v>35.43</v>
      </c>
      <c r="DJ135" s="228">
        <v>0.33</v>
      </c>
      <c r="DK135" s="228">
        <v>0.33</v>
      </c>
      <c r="DL135" s="228">
        <v>35.69</v>
      </c>
      <c r="DM135" s="228">
        <v>35.130000000000003</v>
      </c>
      <c r="DN135" s="228">
        <v>0.56000000000000005</v>
      </c>
      <c r="DO135" s="228">
        <v>0.56000000000000005</v>
      </c>
      <c r="DP135" s="228">
        <v>0.48</v>
      </c>
      <c r="DQ135" s="228">
        <v>0.5</v>
      </c>
      <c r="DR135" s="228">
        <v>-0.02</v>
      </c>
      <c r="DS135" s="229">
        <v>-0.04</v>
      </c>
      <c r="DT135" s="231">
        <v>1100</v>
      </c>
      <c r="DU135" s="231">
        <v>1000</v>
      </c>
      <c r="DV135" s="228">
        <v>0.37</v>
      </c>
      <c r="DW135" s="228">
        <v>0.56999999999999995</v>
      </c>
      <c r="DX135" s="228">
        <v>-0.2</v>
      </c>
      <c r="DY135" s="229">
        <v>-0.35089999999999999</v>
      </c>
      <c r="DZ135" s="229">
        <v>2.7099999999999999E-2</v>
      </c>
      <c r="EA135" s="230">
        <v>285750</v>
      </c>
      <c r="EB135" s="229">
        <v>4.1999999999999997E-3</v>
      </c>
      <c r="EC135" s="229">
        <v>2.7099999999999999E-2</v>
      </c>
      <c r="ED135" s="228">
        <v>1.52</v>
      </c>
      <c r="EE135" s="229">
        <v>1.6000000000000001E-3</v>
      </c>
      <c r="EF135" s="230">
        <v>2055376</v>
      </c>
      <c r="EG135" s="230">
        <v>412673</v>
      </c>
      <c r="EH135" s="229">
        <v>3.9805999999999999</v>
      </c>
      <c r="EI135" s="229">
        <v>0.69040000000000001</v>
      </c>
      <c r="EJ135" s="231">
        <v>30297.27</v>
      </c>
      <c r="EK135" s="231">
        <v>10140.68</v>
      </c>
      <c r="EL135" s="231">
        <v>10249.75</v>
      </c>
      <c r="EM135" s="231">
        <v>3717</v>
      </c>
      <c r="EN135" s="231">
        <v>50687.7</v>
      </c>
      <c r="EO135" s="231">
        <v>48983.040000000001</v>
      </c>
      <c r="EP135" s="231">
        <v>1704.66</v>
      </c>
      <c r="EQ135" s="229">
        <v>3.4799999999999998E-2</v>
      </c>
      <c r="ER135" s="231">
        <v>42312</v>
      </c>
      <c r="ES135" s="231">
        <v>18645</v>
      </c>
      <c r="ET135" s="231">
        <v>107041</v>
      </c>
      <c r="EU135" s="231">
        <v>45110207</v>
      </c>
      <c r="EV135" s="231">
        <v>167997</v>
      </c>
      <c r="EW135" s="231">
        <v>165922</v>
      </c>
      <c r="EX135" s="231">
        <v>2075</v>
      </c>
      <c r="EY135" s="229">
        <v>1.2500000000000001E-2</v>
      </c>
      <c r="EZ135" s="229">
        <v>0.3745</v>
      </c>
      <c r="FA135" s="227" t="s">
        <v>567</v>
      </c>
      <c r="FB135" s="161">
        <f t="shared" si="2"/>
        <v>303375</v>
      </c>
    </row>
    <row r="136" spans="1:158" ht="17.25" thickBot="1" x14ac:dyDescent="0.3">
      <c r="A136" s="226">
        <v>46093</v>
      </c>
      <c r="B136" s="227" t="s">
        <v>206</v>
      </c>
      <c r="C136" s="227" t="s">
        <v>550</v>
      </c>
      <c r="D136" s="228">
        <v>6500</v>
      </c>
      <c r="E136" s="228">
        <v>86.79</v>
      </c>
      <c r="F136" s="228">
        <v>86.44</v>
      </c>
      <c r="G136" s="228">
        <v>0.35</v>
      </c>
      <c r="H136" s="229">
        <v>4.0000000000000001E-3</v>
      </c>
      <c r="I136" s="228">
        <v>86.58</v>
      </c>
      <c r="J136" s="228">
        <v>86.16</v>
      </c>
      <c r="K136" s="228">
        <v>0.42</v>
      </c>
      <c r="L136" s="229">
        <v>4.8999999999999998E-3</v>
      </c>
      <c r="M136" s="228">
        <v>86.79</v>
      </c>
      <c r="N136" s="228">
        <v>86.44</v>
      </c>
      <c r="O136" s="228">
        <v>0.35</v>
      </c>
      <c r="P136" s="229">
        <v>4.0000000000000001E-3</v>
      </c>
      <c r="Q136" s="228">
        <v>87.34</v>
      </c>
      <c r="R136" s="228">
        <v>87.09</v>
      </c>
      <c r="S136" s="228">
        <v>0.25</v>
      </c>
      <c r="T136" s="229">
        <v>2.8999999999999998E-3</v>
      </c>
      <c r="U136" s="228">
        <v>87.61</v>
      </c>
      <c r="V136" s="228">
        <v>87.66</v>
      </c>
      <c r="W136" s="228">
        <v>-0.05</v>
      </c>
      <c r="X136" s="229">
        <v>-5.9999999999999995E-4</v>
      </c>
      <c r="Y136" s="228">
        <v>0.21</v>
      </c>
      <c r="Z136" s="228">
        <v>0.28000000000000003</v>
      </c>
      <c r="AA136" s="228">
        <v>-7.0000000000000007E-2</v>
      </c>
      <c r="AB136" s="229">
        <v>2.3999999999999998E-3</v>
      </c>
      <c r="AC136" s="228">
        <v>0.21</v>
      </c>
      <c r="AD136" s="228">
        <v>0.28000000000000003</v>
      </c>
      <c r="AE136" s="228">
        <v>-7.0000000000000007E-2</v>
      </c>
      <c r="AF136" s="229">
        <v>2.3999999999999998E-3</v>
      </c>
      <c r="AG136" s="228">
        <v>0.76</v>
      </c>
      <c r="AH136" s="228">
        <v>0.93</v>
      </c>
      <c r="AI136" s="228">
        <v>-0.17</v>
      </c>
      <c r="AJ136" s="229">
        <v>8.8000000000000005E-3</v>
      </c>
      <c r="AK136" s="228">
        <v>1.03</v>
      </c>
      <c r="AL136" s="228">
        <v>1.5</v>
      </c>
      <c r="AM136" s="228">
        <v>-0.47</v>
      </c>
      <c r="AN136" s="229">
        <v>1.1900000000000001E-2</v>
      </c>
      <c r="AO136" s="228">
        <v>86.71</v>
      </c>
      <c r="AP136" s="228">
        <v>87.09</v>
      </c>
      <c r="AQ136" s="228">
        <v>0</v>
      </c>
      <c r="AR136" s="230">
        <v>9750000</v>
      </c>
      <c r="AS136" s="230">
        <v>9522500</v>
      </c>
      <c r="AT136" s="230">
        <v>227500</v>
      </c>
      <c r="AU136" s="229">
        <v>2.3900000000000001E-2</v>
      </c>
      <c r="AV136" s="230">
        <v>8833500</v>
      </c>
      <c r="AW136" s="230">
        <v>8008000</v>
      </c>
      <c r="AX136" s="230">
        <v>825500</v>
      </c>
      <c r="AY136" s="229">
        <v>0.1031</v>
      </c>
      <c r="AZ136" s="230">
        <v>689000</v>
      </c>
      <c r="BA136" s="230">
        <v>981500</v>
      </c>
      <c r="BB136" s="230">
        <v>-292500</v>
      </c>
      <c r="BC136" s="229">
        <v>-0.29799999999999999</v>
      </c>
      <c r="BD136" s="230">
        <v>227500</v>
      </c>
      <c r="BE136" s="230">
        <v>533000</v>
      </c>
      <c r="BF136" s="230">
        <v>-305500</v>
      </c>
      <c r="BG136" s="229">
        <v>-0.57320000000000004</v>
      </c>
      <c r="BH136" s="230">
        <v>13604500</v>
      </c>
      <c r="BI136" s="230">
        <v>9802000</v>
      </c>
      <c r="BJ136" s="230">
        <v>3802500</v>
      </c>
      <c r="BK136" s="229">
        <v>0.38790000000000002</v>
      </c>
      <c r="BL136" s="230">
        <v>7065500</v>
      </c>
      <c r="BM136" s="230">
        <v>5785000</v>
      </c>
      <c r="BN136" s="230">
        <v>1280500</v>
      </c>
      <c r="BO136" s="229">
        <v>0.2213</v>
      </c>
      <c r="BP136" s="230">
        <v>30420000</v>
      </c>
      <c r="BQ136" s="230">
        <v>25109500</v>
      </c>
      <c r="BR136" s="230">
        <v>5310500</v>
      </c>
      <c r="BS136" s="229">
        <v>0.21149999999999999</v>
      </c>
      <c r="BT136" s="230">
        <v>10163341</v>
      </c>
      <c r="BU136" s="230">
        <v>8454264</v>
      </c>
      <c r="BV136" s="230">
        <v>1709077</v>
      </c>
      <c r="BW136" s="229">
        <v>0.20219999999999999</v>
      </c>
      <c r="BX136" s="230">
        <v>86879000</v>
      </c>
      <c r="BY136" s="230">
        <v>86131500</v>
      </c>
      <c r="BZ136" s="230">
        <v>747500</v>
      </c>
      <c r="CA136" s="229">
        <v>8.6999999999999994E-3</v>
      </c>
      <c r="CB136" s="230">
        <v>83213000</v>
      </c>
      <c r="CC136" s="230">
        <v>82660500</v>
      </c>
      <c r="CD136" s="230">
        <v>552500</v>
      </c>
      <c r="CE136" s="229">
        <v>6.7000000000000002E-3</v>
      </c>
      <c r="CF136" s="230">
        <v>3003000</v>
      </c>
      <c r="CG136" s="230">
        <v>2938000</v>
      </c>
      <c r="CH136" s="230">
        <v>65000</v>
      </c>
      <c r="CI136" s="229">
        <v>2.2100000000000002E-2</v>
      </c>
      <c r="CJ136" s="230">
        <v>663000</v>
      </c>
      <c r="CK136" s="230">
        <v>533000</v>
      </c>
      <c r="CL136" s="230">
        <v>130000</v>
      </c>
      <c r="CM136" s="229">
        <v>0.24390000000000001</v>
      </c>
      <c r="CN136" s="230">
        <v>33137000</v>
      </c>
      <c r="CO136" s="230">
        <v>32578000</v>
      </c>
      <c r="CP136" s="230">
        <v>559000</v>
      </c>
      <c r="CQ136" s="229">
        <v>1.72E-2</v>
      </c>
      <c r="CR136" s="230">
        <v>21567000</v>
      </c>
      <c r="CS136" s="230">
        <v>21294000</v>
      </c>
      <c r="CT136" s="230">
        <v>273000</v>
      </c>
      <c r="CU136" s="229">
        <v>1.2800000000000001E-2</v>
      </c>
      <c r="CV136" s="230">
        <v>141583000</v>
      </c>
      <c r="CW136" s="230">
        <v>140003500</v>
      </c>
      <c r="CX136" s="230">
        <v>1579500</v>
      </c>
      <c r="CY136" s="229">
        <v>1.1299999999999999E-2</v>
      </c>
      <c r="CZ136" s="228">
        <v>46.38</v>
      </c>
      <c r="DA136" s="228">
        <v>45.72</v>
      </c>
      <c r="DB136" s="228">
        <v>0.66</v>
      </c>
      <c r="DC136" s="228">
        <v>0.66</v>
      </c>
      <c r="DD136" s="228">
        <v>49.57</v>
      </c>
      <c r="DE136" s="228">
        <v>49.69</v>
      </c>
      <c r="DF136" s="228">
        <v>-3.19</v>
      </c>
      <c r="DG136" s="228">
        <v>-0.12</v>
      </c>
      <c r="DH136" s="228">
        <v>46.1</v>
      </c>
      <c r="DI136" s="228">
        <v>46.42</v>
      </c>
      <c r="DJ136" s="228">
        <v>-0.32</v>
      </c>
      <c r="DK136" s="228">
        <v>-0.32</v>
      </c>
      <c r="DL136" s="228">
        <v>46.91</v>
      </c>
      <c r="DM136" s="228">
        <v>44.53</v>
      </c>
      <c r="DN136" s="228">
        <v>2.38</v>
      </c>
      <c r="DO136" s="228">
        <v>2.38</v>
      </c>
      <c r="DP136" s="228">
        <v>0.65</v>
      </c>
      <c r="DQ136" s="228">
        <v>0.65</v>
      </c>
      <c r="DR136" s="228">
        <v>0</v>
      </c>
      <c r="DS136" s="229">
        <v>0</v>
      </c>
      <c r="DT136" s="228">
        <v>100</v>
      </c>
      <c r="DU136" s="228">
        <v>87</v>
      </c>
      <c r="DV136" s="228">
        <v>0.52</v>
      </c>
      <c r="DW136" s="228">
        <v>0.59</v>
      </c>
      <c r="DX136" s="228">
        <v>-7.0000000000000007E-2</v>
      </c>
      <c r="DY136" s="229">
        <v>-0.1186</v>
      </c>
      <c r="DZ136" s="229">
        <v>4.2200000000000001E-2</v>
      </c>
      <c r="EA136" s="230">
        <v>3471000</v>
      </c>
      <c r="EB136" s="229">
        <v>6.3E-3</v>
      </c>
      <c r="EC136" s="229">
        <v>4.2200000000000001E-2</v>
      </c>
      <c r="ED136" s="228">
        <v>0.38</v>
      </c>
      <c r="EE136" s="229">
        <v>4.4000000000000003E-3</v>
      </c>
      <c r="EF136" s="230">
        <v>3156800</v>
      </c>
      <c r="EG136" s="230">
        <v>2449544</v>
      </c>
      <c r="EH136" s="229">
        <v>0.28870000000000001</v>
      </c>
      <c r="EI136" s="229">
        <v>0.31059999999999999</v>
      </c>
      <c r="EJ136" s="231">
        <v>12892.85</v>
      </c>
      <c r="EK136" s="231">
        <v>6116.43</v>
      </c>
      <c r="EL136" s="231">
        <v>8455.7999999999993</v>
      </c>
      <c r="EM136" s="231">
        <v>1815</v>
      </c>
      <c r="EN136" s="231">
        <v>27465.08</v>
      </c>
      <c r="EO136" s="231">
        <v>22770.01</v>
      </c>
      <c r="EP136" s="231">
        <v>4695.07</v>
      </c>
      <c r="EQ136" s="229">
        <v>0.20619999999999999</v>
      </c>
      <c r="ER136" s="231">
        <v>32136</v>
      </c>
      <c r="ES136" s="231">
        <v>19640</v>
      </c>
      <c r="ET136" s="231">
        <v>75424</v>
      </c>
      <c r="EU136" s="231">
        <v>154894704</v>
      </c>
      <c r="EV136" s="231">
        <v>127200</v>
      </c>
      <c r="EW136" s="231">
        <v>125569</v>
      </c>
      <c r="EX136" s="231">
        <v>1631</v>
      </c>
      <c r="EY136" s="229">
        <v>1.2999999999999999E-2</v>
      </c>
      <c r="EZ136" s="229">
        <v>0.91410000000000002</v>
      </c>
      <c r="FA136" s="227" t="s">
        <v>555</v>
      </c>
      <c r="FB136" s="161">
        <f t="shared" si="2"/>
        <v>3666000</v>
      </c>
    </row>
    <row r="137" spans="1:158" ht="17.25" thickBot="1" x14ac:dyDescent="0.3">
      <c r="A137" s="226">
        <v>46093</v>
      </c>
      <c r="B137" s="227" t="s">
        <v>168</v>
      </c>
      <c r="C137" s="227" t="s">
        <v>265</v>
      </c>
      <c r="D137" s="228">
        <v>500</v>
      </c>
      <c r="E137" s="231">
        <v>1223.0999999999999</v>
      </c>
      <c r="F137" s="231">
        <v>1234</v>
      </c>
      <c r="G137" s="228">
        <v>-10.9</v>
      </c>
      <c r="H137" s="229">
        <v>-8.8000000000000005E-3</v>
      </c>
      <c r="I137" s="231">
        <v>1220.8</v>
      </c>
      <c r="J137" s="231">
        <v>1233.7</v>
      </c>
      <c r="K137" s="228">
        <v>-12.9</v>
      </c>
      <c r="L137" s="229">
        <v>-1.0500000000000001E-2</v>
      </c>
      <c r="M137" s="231">
        <v>1223.0999999999999</v>
      </c>
      <c r="N137" s="231">
        <v>1234</v>
      </c>
      <c r="O137" s="228">
        <v>-10.9</v>
      </c>
      <c r="P137" s="229">
        <v>-8.8000000000000005E-3</v>
      </c>
      <c r="Q137" s="231">
        <v>1231.0999999999999</v>
      </c>
      <c r="R137" s="231">
        <v>1241.8</v>
      </c>
      <c r="S137" s="228">
        <v>-10.7</v>
      </c>
      <c r="T137" s="229">
        <v>-8.6E-3</v>
      </c>
      <c r="U137" s="231">
        <v>1228.2</v>
      </c>
      <c r="V137" s="231">
        <v>1245.9000000000001</v>
      </c>
      <c r="W137" s="228">
        <v>-17.7</v>
      </c>
      <c r="X137" s="229">
        <v>-1.4200000000000001E-2</v>
      </c>
      <c r="Y137" s="228">
        <v>2.2999999999999998</v>
      </c>
      <c r="Z137" s="228">
        <v>0.3</v>
      </c>
      <c r="AA137" s="228">
        <v>2</v>
      </c>
      <c r="AB137" s="229">
        <v>1.9E-3</v>
      </c>
      <c r="AC137" s="228">
        <v>2.2999999999999998</v>
      </c>
      <c r="AD137" s="228">
        <v>0.3</v>
      </c>
      <c r="AE137" s="228">
        <v>2</v>
      </c>
      <c r="AF137" s="229">
        <v>1.9E-3</v>
      </c>
      <c r="AG137" s="228">
        <v>10.3</v>
      </c>
      <c r="AH137" s="228">
        <v>8.1</v>
      </c>
      <c r="AI137" s="228">
        <v>2.2000000000000002</v>
      </c>
      <c r="AJ137" s="229">
        <v>8.3999999999999995E-3</v>
      </c>
      <c r="AK137" s="228">
        <v>7.4</v>
      </c>
      <c r="AL137" s="228">
        <v>12.2</v>
      </c>
      <c r="AM137" s="228">
        <v>-4.8</v>
      </c>
      <c r="AN137" s="229">
        <v>6.1000000000000004E-3</v>
      </c>
      <c r="AO137" s="231">
        <v>1222.17</v>
      </c>
      <c r="AP137" s="231">
        <v>1230.6400000000001</v>
      </c>
      <c r="AQ137" s="228">
        <v>0</v>
      </c>
      <c r="AR137" s="230">
        <v>1525500</v>
      </c>
      <c r="AS137" s="230">
        <v>1349500</v>
      </c>
      <c r="AT137" s="230">
        <v>176000</v>
      </c>
      <c r="AU137" s="229">
        <v>0.13039999999999999</v>
      </c>
      <c r="AV137" s="230">
        <v>1467000</v>
      </c>
      <c r="AW137" s="230">
        <v>1278000</v>
      </c>
      <c r="AX137" s="230">
        <v>189000</v>
      </c>
      <c r="AY137" s="229">
        <v>0.1479</v>
      </c>
      <c r="AZ137" s="230">
        <v>56500</v>
      </c>
      <c r="BA137" s="230">
        <v>68000</v>
      </c>
      <c r="BB137" s="230">
        <v>-11500</v>
      </c>
      <c r="BC137" s="229">
        <v>-0.1691</v>
      </c>
      <c r="BD137" s="230">
        <v>2000</v>
      </c>
      <c r="BE137" s="230">
        <v>3500</v>
      </c>
      <c r="BF137" s="230">
        <v>-1500</v>
      </c>
      <c r="BG137" s="229">
        <v>-0.42859999999999998</v>
      </c>
      <c r="BH137" s="230">
        <v>1670000</v>
      </c>
      <c r="BI137" s="230">
        <v>1649000</v>
      </c>
      <c r="BJ137" s="230">
        <v>21000</v>
      </c>
      <c r="BK137" s="229">
        <v>1.2699999999999999E-2</v>
      </c>
      <c r="BL137" s="230">
        <v>1312500</v>
      </c>
      <c r="BM137" s="230">
        <v>1100000</v>
      </c>
      <c r="BN137" s="230">
        <v>212500</v>
      </c>
      <c r="BO137" s="229">
        <v>0.19320000000000001</v>
      </c>
      <c r="BP137" s="230">
        <v>4508000</v>
      </c>
      <c r="BQ137" s="230">
        <v>4098500</v>
      </c>
      <c r="BR137" s="230">
        <v>409500</v>
      </c>
      <c r="BS137" s="229">
        <v>9.9900000000000003E-2</v>
      </c>
      <c r="BT137" s="230">
        <v>1371900</v>
      </c>
      <c r="BU137" s="230">
        <v>1531212</v>
      </c>
      <c r="BV137" s="230">
        <v>-159312</v>
      </c>
      <c r="BW137" s="229">
        <v>-0.104</v>
      </c>
      <c r="BX137" s="230">
        <v>16435500</v>
      </c>
      <c r="BY137" s="230">
        <v>16550500</v>
      </c>
      <c r="BZ137" s="230">
        <v>-115000</v>
      </c>
      <c r="CA137" s="229">
        <v>-6.8999999999999999E-3</v>
      </c>
      <c r="CB137" s="230">
        <v>15740000</v>
      </c>
      <c r="CC137" s="230">
        <v>15867000</v>
      </c>
      <c r="CD137" s="230">
        <v>-127000</v>
      </c>
      <c r="CE137" s="229">
        <v>-8.0000000000000002E-3</v>
      </c>
      <c r="CF137" s="230">
        <v>671000</v>
      </c>
      <c r="CG137" s="230">
        <v>658500</v>
      </c>
      <c r="CH137" s="230">
        <v>12500</v>
      </c>
      <c r="CI137" s="229">
        <v>1.9E-2</v>
      </c>
      <c r="CJ137" s="230">
        <v>24500</v>
      </c>
      <c r="CK137" s="230">
        <v>25000</v>
      </c>
      <c r="CL137" s="228">
        <v>-500</v>
      </c>
      <c r="CM137" s="229">
        <v>-0.02</v>
      </c>
      <c r="CN137" s="230">
        <v>3700500</v>
      </c>
      <c r="CO137" s="230">
        <v>3681000</v>
      </c>
      <c r="CP137" s="230">
        <v>19500</v>
      </c>
      <c r="CQ137" s="229">
        <v>5.3E-3</v>
      </c>
      <c r="CR137" s="230">
        <v>1736000</v>
      </c>
      <c r="CS137" s="230">
        <v>1587500</v>
      </c>
      <c r="CT137" s="230">
        <v>148500</v>
      </c>
      <c r="CU137" s="229">
        <v>9.35E-2</v>
      </c>
      <c r="CV137" s="230">
        <v>21872000</v>
      </c>
      <c r="CW137" s="230">
        <v>21819000</v>
      </c>
      <c r="CX137" s="230">
        <v>53000</v>
      </c>
      <c r="CY137" s="229">
        <v>2.3999999999999998E-3</v>
      </c>
      <c r="CZ137" s="228">
        <v>24.29</v>
      </c>
      <c r="DA137" s="228">
        <v>23.85</v>
      </c>
      <c r="DB137" s="228">
        <v>0.44</v>
      </c>
      <c r="DC137" s="228">
        <v>0.44</v>
      </c>
      <c r="DD137" s="228">
        <v>23.21</v>
      </c>
      <c r="DE137" s="228">
        <v>23.23</v>
      </c>
      <c r="DF137" s="228">
        <v>1.08</v>
      </c>
      <c r="DG137" s="228">
        <v>-0.02</v>
      </c>
      <c r="DH137" s="228">
        <v>22.98</v>
      </c>
      <c r="DI137" s="228">
        <v>23.14</v>
      </c>
      <c r="DJ137" s="228">
        <v>-0.16</v>
      </c>
      <c r="DK137" s="228">
        <v>-0.16</v>
      </c>
      <c r="DL137" s="228">
        <v>25.97</v>
      </c>
      <c r="DM137" s="228">
        <v>24.92</v>
      </c>
      <c r="DN137" s="228">
        <v>1.05</v>
      </c>
      <c r="DO137" s="228">
        <v>1.05</v>
      </c>
      <c r="DP137" s="228">
        <v>0.47</v>
      </c>
      <c r="DQ137" s="228">
        <v>0.43</v>
      </c>
      <c r="DR137" s="228">
        <v>0.04</v>
      </c>
      <c r="DS137" s="229">
        <v>9.2999999999999999E-2</v>
      </c>
      <c r="DT137" s="231">
        <v>1260</v>
      </c>
      <c r="DU137" s="231">
        <v>1200</v>
      </c>
      <c r="DV137" s="228">
        <v>0.79</v>
      </c>
      <c r="DW137" s="228">
        <v>0.67</v>
      </c>
      <c r="DX137" s="228">
        <v>0.12</v>
      </c>
      <c r="DY137" s="229">
        <v>0.17910000000000001</v>
      </c>
      <c r="DZ137" s="229">
        <v>4.2299999999999997E-2</v>
      </c>
      <c r="EA137" s="230">
        <v>683500</v>
      </c>
      <c r="EB137" s="229">
        <v>6.4999999999999997E-3</v>
      </c>
      <c r="EC137" s="229">
        <v>4.2299999999999997E-2</v>
      </c>
      <c r="ED137" s="228">
        <v>8.4700000000000006</v>
      </c>
      <c r="EE137" s="229">
        <v>6.8999999999999999E-3</v>
      </c>
      <c r="EF137" s="230">
        <v>847836</v>
      </c>
      <c r="EG137" s="230">
        <v>993053</v>
      </c>
      <c r="EH137" s="229">
        <v>-0.1462</v>
      </c>
      <c r="EI137" s="229">
        <v>0.61799999999999999</v>
      </c>
      <c r="EJ137" s="231">
        <v>21536.31</v>
      </c>
      <c r="EK137" s="231">
        <v>15717.52</v>
      </c>
      <c r="EL137" s="231">
        <v>18649.240000000002</v>
      </c>
      <c r="EM137" s="231">
        <v>3142</v>
      </c>
      <c r="EN137" s="231">
        <v>55903.07</v>
      </c>
      <c r="EO137" s="231">
        <v>51345.45</v>
      </c>
      <c r="EP137" s="231">
        <v>4557.62</v>
      </c>
      <c r="EQ137" s="229">
        <v>8.8800000000000004E-2</v>
      </c>
      <c r="ER137" s="231">
        <v>48625</v>
      </c>
      <c r="ES137" s="231">
        <v>21146</v>
      </c>
      <c r="ET137" s="231">
        <v>201078</v>
      </c>
      <c r="EU137" s="231">
        <v>71801274</v>
      </c>
      <c r="EV137" s="231">
        <v>270849</v>
      </c>
      <c r="EW137" s="231">
        <v>272172</v>
      </c>
      <c r="EX137" s="231">
        <v>-1323</v>
      </c>
      <c r="EY137" s="229">
        <v>-4.8999999999999998E-3</v>
      </c>
      <c r="EZ137" s="229">
        <v>0.30459999999999998</v>
      </c>
      <c r="FA137" s="227" t="s">
        <v>568</v>
      </c>
      <c r="FB137" s="161">
        <f t="shared" si="2"/>
        <v>695500</v>
      </c>
    </row>
    <row r="138" spans="1:158" ht="17.25" thickBot="1" x14ac:dyDescent="0.3">
      <c r="A138" s="226">
        <v>46093</v>
      </c>
      <c r="B138" s="227" t="s">
        <v>161</v>
      </c>
      <c r="C138" s="227" t="s">
        <v>585</v>
      </c>
      <c r="D138" s="228">
        <v>6400</v>
      </c>
      <c r="E138" s="228">
        <v>75.010000000000005</v>
      </c>
      <c r="F138" s="228">
        <v>73.680000000000007</v>
      </c>
      <c r="G138" s="228">
        <v>1.33</v>
      </c>
      <c r="H138" s="229">
        <v>1.8100000000000002E-2</v>
      </c>
      <c r="I138" s="228">
        <v>74.78</v>
      </c>
      <c r="J138" s="228">
        <v>73.459999999999994</v>
      </c>
      <c r="K138" s="228">
        <v>1.32</v>
      </c>
      <c r="L138" s="229">
        <v>1.7999999999999999E-2</v>
      </c>
      <c r="M138" s="228">
        <v>75.010000000000005</v>
      </c>
      <c r="N138" s="228">
        <v>73.680000000000007</v>
      </c>
      <c r="O138" s="228">
        <v>1.33</v>
      </c>
      <c r="P138" s="229">
        <v>1.8100000000000002E-2</v>
      </c>
      <c r="Q138" s="228">
        <v>75.510000000000005</v>
      </c>
      <c r="R138" s="228">
        <v>74.17</v>
      </c>
      <c r="S138" s="228">
        <v>1.34</v>
      </c>
      <c r="T138" s="229">
        <v>1.8100000000000002E-2</v>
      </c>
      <c r="U138" s="228">
        <v>76</v>
      </c>
      <c r="V138" s="228">
        <v>74.53</v>
      </c>
      <c r="W138" s="228">
        <v>1.47</v>
      </c>
      <c r="X138" s="229">
        <v>1.9699999999999999E-2</v>
      </c>
      <c r="Y138" s="228">
        <v>0.23</v>
      </c>
      <c r="Z138" s="228">
        <v>0.22</v>
      </c>
      <c r="AA138" s="228">
        <v>0.01</v>
      </c>
      <c r="AB138" s="229">
        <v>3.0999999999999999E-3</v>
      </c>
      <c r="AC138" s="228">
        <v>0.23</v>
      </c>
      <c r="AD138" s="228">
        <v>0.22</v>
      </c>
      <c r="AE138" s="228">
        <v>0.01</v>
      </c>
      <c r="AF138" s="229">
        <v>3.0999999999999999E-3</v>
      </c>
      <c r="AG138" s="228">
        <v>0.73</v>
      </c>
      <c r="AH138" s="228">
        <v>0.71</v>
      </c>
      <c r="AI138" s="228">
        <v>0.02</v>
      </c>
      <c r="AJ138" s="229">
        <v>9.7999999999999997E-3</v>
      </c>
      <c r="AK138" s="228">
        <v>1.22</v>
      </c>
      <c r="AL138" s="228">
        <v>1.07</v>
      </c>
      <c r="AM138" s="228">
        <v>0.15</v>
      </c>
      <c r="AN138" s="229">
        <v>1.6299999999999999E-2</v>
      </c>
      <c r="AO138" s="228">
        <v>75.19</v>
      </c>
      <c r="AP138" s="228">
        <v>75.84</v>
      </c>
      <c r="AQ138" s="228">
        <v>0</v>
      </c>
      <c r="AR138" s="230">
        <v>20806400</v>
      </c>
      <c r="AS138" s="230">
        <v>15052800</v>
      </c>
      <c r="AT138" s="230">
        <v>5753600</v>
      </c>
      <c r="AU138" s="229">
        <v>0.38219999999999998</v>
      </c>
      <c r="AV138" s="230">
        <v>18521600</v>
      </c>
      <c r="AW138" s="230">
        <v>13216000</v>
      </c>
      <c r="AX138" s="230">
        <v>5305600</v>
      </c>
      <c r="AY138" s="229">
        <v>0.40150000000000002</v>
      </c>
      <c r="AZ138" s="230">
        <v>2131200</v>
      </c>
      <c r="BA138" s="230">
        <v>1753600</v>
      </c>
      <c r="BB138" s="230">
        <v>377600</v>
      </c>
      <c r="BC138" s="229">
        <v>0.21529999999999999</v>
      </c>
      <c r="BD138" s="230">
        <v>153600</v>
      </c>
      <c r="BE138" s="230">
        <v>83200</v>
      </c>
      <c r="BF138" s="230">
        <v>70400</v>
      </c>
      <c r="BG138" s="229">
        <v>0.84619999999999995</v>
      </c>
      <c r="BH138" s="230">
        <v>69536000</v>
      </c>
      <c r="BI138" s="230">
        <v>42892800</v>
      </c>
      <c r="BJ138" s="230">
        <v>26643200</v>
      </c>
      <c r="BK138" s="229">
        <v>0.62119999999999997</v>
      </c>
      <c r="BL138" s="230">
        <v>21612800</v>
      </c>
      <c r="BM138" s="230">
        <v>15468800</v>
      </c>
      <c r="BN138" s="230">
        <v>6144000</v>
      </c>
      <c r="BO138" s="229">
        <v>0.3972</v>
      </c>
      <c r="BP138" s="230">
        <v>111955200</v>
      </c>
      <c r="BQ138" s="230">
        <v>73414400</v>
      </c>
      <c r="BR138" s="230">
        <v>38540800</v>
      </c>
      <c r="BS138" s="229">
        <v>0.52500000000000002</v>
      </c>
      <c r="BT138" s="230">
        <v>17314965</v>
      </c>
      <c r="BU138" s="230">
        <v>13347528</v>
      </c>
      <c r="BV138" s="230">
        <v>3967437</v>
      </c>
      <c r="BW138" s="229">
        <v>0.29720000000000002</v>
      </c>
      <c r="BX138" s="230">
        <v>76780800</v>
      </c>
      <c r="BY138" s="230">
        <v>75641600</v>
      </c>
      <c r="BZ138" s="230">
        <v>1139200</v>
      </c>
      <c r="CA138" s="229">
        <v>1.5100000000000001E-2</v>
      </c>
      <c r="CB138" s="230">
        <v>72108800</v>
      </c>
      <c r="CC138" s="230">
        <v>71494400</v>
      </c>
      <c r="CD138" s="230">
        <v>614400</v>
      </c>
      <c r="CE138" s="229">
        <v>8.6E-3</v>
      </c>
      <c r="CF138" s="230">
        <v>4396800</v>
      </c>
      <c r="CG138" s="230">
        <v>3878400</v>
      </c>
      <c r="CH138" s="230">
        <v>518400</v>
      </c>
      <c r="CI138" s="229">
        <v>0.13370000000000001</v>
      </c>
      <c r="CJ138" s="230">
        <v>275200</v>
      </c>
      <c r="CK138" s="230">
        <v>268800</v>
      </c>
      <c r="CL138" s="230">
        <v>6400</v>
      </c>
      <c r="CM138" s="229">
        <v>2.3800000000000002E-2</v>
      </c>
      <c r="CN138" s="230">
        <v>38028800</v>
      </c>
      <c r="CO138" s="230">
        <v>42515200</v>
      </c>
      <c r="CP138" s="230">
        <v>-4486400</v>
      </c>
      <c r="CQ138" s="229">
        <v>-0.1055</v>
      </c>
      <c r="CR138" s="230">
        <v>20697600</v>
      </c>
      <c r="CS138" s="230">
        <v>21107200</v>
      </c>
      <c r="CT138" s="230">
        <v>-409600</v>
      </c>
      <c r="CU138" s="229">
        <v>-1.9400000000000001E-2</v>
      </c>
      <c r="CV138" s="230">
        <v>135507200</v>
      </c>
      <c r="CW138" s="230">
        <v>139264000</v>
      </c>
      <c r="CX138" s="230">
        <v>-3756800</v>
      </c>
      <c r="CY138" s="229">
        <v>-2.7E-2</v>
      </c>
      <c r="CZ138" s="228">
        <v>33.28</v>
      </c>
      <c r="DA138" s="228">
        <v>30.97</v>
      </c>
      <c r="DB138" s="228">
        <v>2.31</v>
      </c>
      <c r="DC138" s="228">
        <v>2.31</v>
      </c>
      <c r="DD138" s="228">
        <v>35.24</v>
      </c>
      <c r="DE138" s="228">
        <v>35.24</v>
      </c>
      <c r="DF138" s="228">
        <v>-1.96</v>
      </c>
      <c r="DG138" s="228">
        <v>0</v>
      </c>
      <c r="DH138" s="228">
        <v>33.18</v>
      </c>
      <c r="DI138" s="228">
        <v>30.62</v>
      </c>
      <c r="DJ138" s="228">
        <v>2.56</v>
      </c>
      <c r="DK138" s="228">
        <v>2.56</v>
      </c>
      <c r="DL138" s="228">
        <v>33.630000000000003</v>
      </c>
      <c r="DM138" s="228">
        <v>31.91</v>
      </c>
      <c r="DN138" s="228">
        <v>1.72</v>
      </c>
      <c r="DO138" s="228">
        <v>1.72</v>
      </c>
      <c r="DP138" s="228">
        <v>0.54</v>
      </c>
      <c r="DQ138" s="228">
        <v>0.5</v>
      </c>
      <c r="DR138" s="228">
        <v>0.04</v>
      </c>
      <c r="DS138" s="229">
        <v>0.08</v>
      </c>
      <c r="DT138" s="228">
        <v>80</v>
      </c>
      <c r="DU138" s="228">
        <v>75</v>
      </c>
      <c r="DV138" s="228">
        <v>0.31</v>
      </c>
      <c r="DW138" s="228">
        <v>0.36</v>
      </c>
      <c r="DX138" s="228">
        <v>-0.05</v>
      </c>
      <c r="DY138" s="229">
        <v>-0.1389</v>
      </c>
      <c r="DZ138" s="229">
        <v>6.08E-2</v>
      </c>
      <c r="EA138" s="230">
        <v>4147200</v>
      </c>
      <c r="EB138" s="229">
        <v>6.7000000000000002E-3</v>
      </c>
      <c r="EC138" s="229">
        <v>6.08E-2</v>
      </c>
      <c r="ED138" s="228">
        <v>0.65</v>
      </c>
      <c r="EE138" s="229">
        <v>8.6E-3</v>
      </c>
      <c r="EF138" s="230">
        <v>5965824</v>
      </c>
      <c r="EG138" s="230">
        <v>6306687</v>
      </c>
      <c r="EH138" s="229">
        <v>-5.3999999999999999E-2</v>
      </c>
      <c r="EI138" s="229">
        <v>0.34449999999999997</v>
      </c>
      <c r="EJ138" s="231">
        <v>55171.19</v>
      </c>
      <c r="EK138" s="231">
        <v>15830.49</v>
      </c>
      <c r="EL138" s="231">
        <v>15659.72</v>
      </c>
      <c r="EM138" s="231">
        <v>2010</v>
      </c>
      <c r="EN138" s="231">
        <v>86661.4</v>
      </c>
      <c r="EO138" s="231">
        <v>55796.84</v>
      </c>
      <c r="EP138" s="231">
        <v>30864.560000000001</v>
      </c>
      <c r="EQ138" s="229">
        <v>0.55320000000000003</v>
      </c>
      <c r="ER138" s="231">
        <v>30275</v>
      </c>
      <c r="ES138" s="231">
        <v>15118</v>
      </c>
      <c r="ET138" s="231">
        <v>57618</v>
      </c>
      <c r="EU138" s="231">
        <v>491233252</v>
      </c>
      <c r="EV138" s="231">
        <v>103010</v>
      </c>
      <c r="EW138" s="231">
        <v>104848</v>
      </c>
      <c r="EX138" s="231">
        <v>-1838</v>
      </c>
      <c r="EY138" s="229">
        <v>-1.7500000000000002E-2</v>
      </c>
      <c r="EZ138" s="229">
        <v>0.27589999999999998</v>
      </c>
      <c r="FA138" s="227" t="s">
        <v>555</v>
      </c>
      <c r="FB138" s="161">
        <f t="shared" si="2"/>
        <v>4672000</v>
      </c>
    </row>
    <row r="139" spans="1:158" ht="17.25" thickBot="1" x14ac:dyDescent="0.3">
      <c r="A139" s="226">
        <v>46093</v>
      </c>
      <c r="B139" s="227" t="s">
        <v>181</v>
      </c>
      <c r="C139" s="227" t="s">
        <v>266</v>
      </c>
      <c r="D139" s="228">
        <v>65</v>
      </c>
      <c r="E139" s="231">
        <v>23728.5</v>
      </c>
      <c r="F139" s="231">
        <v>23939.1</v>
      </c>
      <c r="G139" s="228">
        <v>-210.6</v>
      </c>
      <c r="H139" s="229">
        <v>-8.8000000000000005E-3</v>
      </c>
      <c r="I139" s="231">
        <v>23639.15</v>
      </c>
      <c r="J139" s="231">
        <v>23866.85</v>
      </c>
      <c r="K139" s="228">
        <v>-227.7</v>
      </c>
      <c r="L139" s="229">
        <v>-9.4999999999999998E-3</v>
      </c>
      <c r="M139" s="231">
        <v>23728.5</v>
      </c>
      <c r="N139" s="231">
        <v>23939.1</v>
      </c>
      <c r="O139" s="228">
        <v>-210.6</v>
      </c>
      <c r="P139" s="229">
        <v>-8.8000000000000005E-3</v>
      </c>
      <c r="Q139" s="231">
        <v>23882.400000000001</v>
      </c>
      <c r="R139" s="231">
        <v>24102.1</v>
      </c>
      <c r="S139" s="228">
        <v>-219.7</v>
      </c>
      <c r="T139" s="229">
        <v>-9.1000000000000004E-3</v>
      </c>
      <c r="U139" s="231">
        <v>24010.3</v>
      </c>
      <c r="V139" s="231">
        <v>24231.200000000001</v>
      </c>
      <c r="W139" s="228">
        <v>-220.9</v>
      </c>
      <c r="X139" s="229">
        <v>-9.1000000000000004E-3</v>
      </c>
      <c r="Y139" s="228">
        <v>89.35</v>
      </c>
      <c r="Z139" s="228">
        <v>72.25</v>
      </c>
      <c r="AA139" s="228">
        <v>17.100000000000001</v>
      </c>
      <c r="AB139" s="229">
        <v>3.8E-3</v>
      </c>
      <c r="AC139" s="228">
        <v>89.35</v>
      </c>
      <c r="AD139" s="228">
        <v>72.25</v>
      </c>
      <c r="AE139" s="228">
        <v>17.100000000000001</v>
      </c>
      <c r="AF139" s="229">
        <v>3.8E-3</v>
      </c>
      <c r="AG139" s="228">
        <v>243.25</v>
      </c>
      <c r="AH139" s="228">
        <v>235.25</v>
      </c>
      <c r="AI139" s="228">
        <v>8</v>
      </c>
      <c r="AJ139" s="229">
        <v>1.03E-2</v>
      </c>
      <c r="AK139" s="228">
        <v>371.15</v>
      </c>
      <c r="AL139" s="228">
        <v>364.35</v>
      </c>
      <c r="AM139" s="228">
        <v>6.8</v>
      </c>
      <c r="AN139" s="229">
        <v>1.5699999999999999E-2</v>
      </c>
      <c r="AO139" s="231">
        <v>23758.15</v>
      </c>
      <c r="AP139" s="231">
        <v>23906.92</v>
      </c>
      <c r="AQ139" s="228">
        <v>0</v>
      </c>
      <c r="AR139" s="230">
        <v>10172370</v>
      </c>
      <c r="AS139" s="230">
        <v>9483890</v>
      </c>
      <c r="AT139" s="230">
        <v>688480</v>
      </c>
      <c r="AU139" s="229">
        <v>7.2599999999999998E-2</v>
      </c>
      <c r="AV139" s="230">
        <v>8812115</v>
      </c>
      <c r="AW139" s="230">
        <v>7955350</v>
      </c>
      <c r="AX139" s="230">
        <v>856765</v>
      </c>
      <c r="AY139" s="229">
        <v>0.1077</v>
      </c>
      <c r="AZ139" s="230">
        <v>863720</v>
      </c>
      <c r="BA139" s="230">
        <v>936455</v>
      </c>
      <c r="BB139" s="230">
        <v>-72735</v>
      </c>
      <c r="BC139" s="229">
        <v>-7.7700000000000005E-2</v>
      </c>
      <c r="BD139" s="230">
        <v>496535</v>
      </c>
      <c r="BE139" s="230">
        <v>592085</v>
      </c>
      <c r="BF139" s="230">
        <v>-95550</v>
      </c>
      <c r="BG139" s="229">
        <v>-0.16139999999999999</v>
      </c>
      <c r="BH139" s="230">
        <v>1737300695</v>
      </c>
      <c r="BI139" s="230">
        <v>1501733415</v>
      </c>
      <c r="BJ139" s="230">
        <v>235567280</v>
      </c>
      <c r="BK139" s="229">
        <v>0.15690000000000001</v>
      </c>
      <c r="BL139" s="230">
        <v>1454381955</v>
      </c>
      <c r="BM139" s="230">
        <v>1692176850</v>
      </c>
      <c r="BN139" s="230">
        <v>-237794895</v>
      </c>
      <c r="BO139" s="229">
        <v>-0.14050000000000001</v>
      </c>
      <c r="BP139" s="230">
        <v>3201855020</v>
      </c>
      <c r="BQ139" s="230">
        <v>3203394155</v>
      </c>
      <c r="BR139" s="230">
        <v>-1539135</v>
      </c>
      <c r="BS139" s="229">
        <v>-5.0000000000000001E-4</v>
      </c>
      <c r="BT139" s="228">
        <v>0</v>
      </c>
      <c r="BU139" s="228">
        <v>0</v>
      </c>
      <c r="BV139" s="228">
        <v>0</v>
      </c>
      <c r="BW139" s="229">
        <v>0</v>
      </c>
      <c r="BX139" s="230">
        <v>21744125</v>
      </c>
      <c r="BY139" s="230">
        <v>21392800</v>
      </c>
      <c r="BZ139" s="230">
        <v>351325</v>
      </c>
      <c r="CA139" s="229">
        <v>1.6400000000000001E-2</v>
      </c>
      <c r="CB139" s="230">
        <v>18280860</v>
      </c>
      <c r="CC139" s="230">
        <v>18077345</v>
      </c>
      <c r="CD139" s="230">
        <v>203515</v>
      </c>
      <c r="CE139" s="229">
        <v>1.1299999999999999E-2</v>
      </c>
      <c r="CF139" s="230">
        <v>2377115</v>
      </c>
      <c r="CG139" s="230">
        <v>2264535</v>
      </c>
      <c r="CH139" s="230">
        <v>112580</v>
      </c>
      <c r="CI139" s="229">
        <v>4.9700000000000001E-2</v>
      </c>
      <c r="CJ139" s="230">
        <v>1086150</v>
      </c>
      <c r="CK139" s="230">
        <v>1050920</v>
      </c>
      <c r="CL139" s="230">
        <v>35230</v>
      </c>
      <c r="CM139" s="229">
        <v>3.3500000000000002E-2</v>
      </c>
      <c r="CN139" s="230">
        <v>240860925</v>
      </c>
      <c r="CO139" s="230">
        <v>223110775</v>
      </c>
      <c r="CP139" s="230">
        <v>17750150</v>
      </c>
      <c r="CQ139" s="229">
        <v>7.9600000000000004E-2</v>
      </c>
      <c r="CR139" s="230">
        <v>206756845</v>
      </c>
      <c r="CS139" s="230">
        <v>186172460</v>
      </c>
      <c r="CT139" s="230">
        <v>20584385</v>
      </c>
      <c r="CU139" s="229">
        <v>0.1106</v>
      </c>
      <c r="CV139" s="230">
        <v>469361895</v>
      </c>
      <c r="CW139" s="230">
        <v>430676035</v>
      </c>
      <c r="CX139" s="230">
        <v>38685860</v>
      </c>
      <c r="CY139" s="229">
        <v>8.9800000000000005E-2</v>
      </c>
      <c r="CZ139" s="228">
        <v>21.15</v>
      </c>
      <c r="DA139" s="228">
        <v>23.24</v>
      </c>
      <c r="DB139" s="228">
        <v>-2.09</v>
      </c>
      <c r="DC139" s="228">
        <v>-2.09</v>
      </c>
      <c r="DD139" s="228">
        <v>15.05</v>
      </c>
      <c r="DE139" s="228">
        <v>15.04</v>
      </c>
      <c r="DF139" s="228">
        <v>6.1</v>
      </c>
      <c r="DG139" s="228">
        <v>0.01</v>
      </c>
      <c r="DH139" s="228">
        <v>19.91</v>
      </c>
      <c r="DI139" s="228">
        <v>22.02</v>
      </c>
      <c r="DJ139" s="228">
        <v>-2.11</v>
      </c>
      <c r="DK139" s="228">
        <v>-2.11</v>
      </c>
      <c r="DL139" s="228">
        <v>22.75</v>
      </c>
      <c r="DM139" s="228">
        <v>24.33</v>
      </c>
      <c r="DN139" s="228">
        <v>-1.58</v>
      </c>
      <c r="DO139" s="228">
        <v>-1.58</v>
      </c>
      <c r="DP139" s="228">
        <v>0.86</v>
      </c>
      <c r="DQ139" s="228">
        <v>0.83</v>
      </c>
      <c r="DR139" s="228">
        <v>0.03</v>
      </c>
      <c r="DS139" s="229">
        <v>3.61E-2</v>
      </c>
      <c r="DT139" s="231">
        <v>25000</v>
      </c>
      <c r="DU139" s="231">
        <v>21500</v>
      </c>
      <c r="DV139" s="228">
        <v>0.84</v>
      </c>
      <c r="DW139" s="228">
        <v>1.1299999999999999</v>
      </c>
      <c r="DX139" s="228">
        <v>-0.28999999999999998</v>
      </c>
      <c r="DY139" s="229">
        <v>-0.25659999999999999</v>
      </c>
      <c r="DZ139" s="229">
        <v>0.1593</v>
      </c>
      <c r="EA139" s="230">
        <v>3315455</v>
      </c>
      <c r="EB139" s="229">
        <v>6.4999999999999997E-3</v>
      </c>
      <c r="EC139" s="229">
        <v>0.1593</v>
      </c>
      <c r="ED139" s="228">
        <v>148.77000000000001</v>
      </c>
      <c r="EE139" s="229">
        <v>6.3E-3</v>
      </c>
      <c r="EF139" s="228">
        <v>0</v>
      </c>
      <c r="EG139" s="228">
        <v>0</v>
      </c>
      <c r="EH139" s="229">
        <v>0</v>
      </c>
      <c r="EI139" s="229">
        <v>0</v>
      </c>
      <c r="EJ139" s="231">
        <v>427807383.56999999</v>
      </c>
      <c r="EK139" s="231">
        <v>339309091.47000003</v>
      </c>
      <c r="EL139" s="231">
        <v>2419457.17</v>
      </c>
      <c r="EM139" s="231">
        <v>140367</v>
      </c>
      <c r="EN139" s="231">
        <v>769535932.21000004</v>
      </c>
      <c r="EO139" s="231">
        <v>776965398.65999997</v>
      </c>
      <c r="EP139" s="231">
        <v>-7429466.4500000002</v>
      </c>
      <c r="EQ139" s="229">
        <v>-9.5999999999999992E-3</v>
      </c>
      <c r="ER139" s="231">
        <v>60697153</v>
      </c>
      <c r="ES139" s="231">
        <v>48707256</v>
      </c>
      <c r="ET139" s="231">
        <v>5166274</v>
      </c>
      <c r="EU139" s="228">
        <v>0</v>
      </c>
      <c r="EV139" s="231">
        <v>114570683</v>
      </c>
      <c r="EW139" s="231">
        <v>105914303</v>
      </c>
      <c r="EX139" s="231">
        <v>8656380</v>
      </c>
      <c r="EY139" s="229">
        <v>8.1699999999999995E-2</v>
      </c>
      <c r="EZ139" s="229">
        <v>0</v>
      </c>
      <c r="FA139" s="227" t="s">
        <v>567</v>
      </c>
      <c r="FB139" s="161">
        <f>BX139-CB139</f>
        <v>3463265</v>
      </c>
    </row>
    <row r="140" spans="1:158" ht="17.25" thickBot="1" x14ac:dyDescent="0.3">
      <c r="A140" s="226">
        <v>46093</v>
      </c>
      <c r="B140" s="227" t="s">
        <v>181</v>
      </c>
      <c r="C140" s="227" t="s">
        <v>566</v>
      </c>
      <c r="D140" s="228">
        <v>25</v>
      </c>
      <c r="E140" s="231">
        <v>66510.2</v>
      </c>
      <c r="F140" s="231">
        <v>66507.8</v>
      </c>
      <c r="G140" s="228">
        <v>2.4</v>
      </c>
      <c r="H140" s="229">
        <v>0</v>
      </c>
      <c r="I140" s="231">
        <v>66424.55</v>
      </c>
      <c r="J140" s="231">
        <v>66498.649999999994</v>
      </c>
      <c r="K140" s="228">
        <v>-74.099999999999994</v>
      </c>
      <c r="L140" s="229">
        <v>-1.1000000000000001E-3</v>
      </c>
      <c r="M140" s="231">
        <v>66510.2</v>
      </c>
      <c r="N140" s="231">
        <v>66507.8</v>
      </c>
      <c r="O140" s="228">
        <v>2.4</v>
      </c>
      <c r="P140" s="229">
        <v>0</v>
      </c>
      <c r="Q140" s="231">
        <v>66901.600000000006</v>
      </c>
      <c r="R140" s="231">
        <v>66864.399999999994</v>
      </c>
      <c r="S140" s="228">
        <v>37.200000000000003</v>
      </c>
      <c r="T140" s="229">
        <v>5.9999999999999995E-4</v>
      </c>
      <c r="U140" s="231">
        <v>70946.8</v>
      </c>
      <c r="V140" s="231">
        <v>70946.8</v>
      </c>
      <c r="W140" s="228">
        <v>0</v>
      </c>
      <c r="X140" s="229">
        <v>0</v>
      </c>
      <c r="Y140" s="228">
        <v>85.65</v>
      </c>
      <c r="Z140" s="228">
        <v>9.15</v>
      </c>
      <c r="AA140" s="228">
        <v>76.5</v>
      </c>
      <c r="AB140" s="229">
        <v>1.2999999999999999E-3</v>
      </c>
      <c r="AC140" s="228">
        <v>85.65</v>
      </c>
      <c r="AD140" s="228">
        <v>9.15</v>
      </c>
      <c r="AE140" s="228">
        <v>76.5</v>
      </c>
      <c r="AF140" s="229">
        <v>1.2999999999999999E-3</v>
      </c>
      <c r="AG140" s="228">
        <v>477.05</v>
      </c>
      <c r="AH140" s="228">
        <v>365.75</v>
      </c>
      <c r="AI140" s="228">
        <v>111.3</v>
      </c>
      <c r="AJ140" s="229">
        <v>7.1999999999999998E-3</v>
      </c>
      <c r="AK140" s="231">
        <v>4522.25</v>
      </c>
      <c r="AL140" s="231">
        <v>4448.1499999999996</v>
      </c>
      <c r="AM140" s="228">
        <v>74.099999999999994</v>
      </c>
      <c r="AN140" s="229">
        <v>6.8099999999999994E-2</v>
      </c>
      <c r="AO140" s="231">
        <v>66201.240000000005</v>
      </c>
      <c r="AP140" s="231">
        <v>66568.33</v>
      </c>
      <c r="AQ140" s="228">
        <v>0</v>
      </c>
      <c r="AR140" s="230">
        <v>7875</v>
      </c>
      <c r="AS140" s="230">
        <v>7650</v>
      </c>
      <c r="AT140" s="228">
        <v>225</v>
      </c>
      <c r="AU140" s="229">
        <v>2.9399999999999999E-2</v>
      </c>
      <c r="AV140" s="230">
        <v>7275</v>
      </c>
      <c r="AW140" s="230">
        <v>7050</v>
      </c>
      <c r="AX140" s="228">
        <v>225</v>
      </c>
      <c r="AY140" s="229">
        <v>3.1899999999999998E-2</v>
      </c>
      <c r="AZ140" s="228">
        <v>600</v>
      </c>
      <c r="BA140" s="228">
        <v>600</v>
      </c>
      <c r="BB140" s="228">
        <v>0</v>
      </c>
      <c r="BC140" s="229">
        <v>0</v>
      </c>
      <c r="BD140" s="228">
        <v>0</v>
      </c>
      <c r="BE140" s="228">
        <v>0</v>
      </c>
      <c r="BF140" s="228">
        <v>0</v>
      </c>
      <c r="BG140" s="229">
        <v>0</v>
      </c>
      <c r="BH140" s="230">
        <v>3525</v>
      </c>
      <c r="BI140" s="230">
        <v>10550</v>
      </c>
      <c r="BJ140" s="230">
        <v>-7025</v>
      </c>
      <c r="BK140" s="229">
        <v>-0.66590000000000005</v>
      </c>
      <c r="BL140" s="230">
        <v>1925</v>
      </c>
      <c r="BM140" s="230">
        <v>6425</v>
      </c>
      <c r="BN140" s="230">
        <v>-4500</v>
      </c>
      <c r="BO140" s="229">
        <v>-0.70040000000000002</v>
      </c>
      <c r="BP140" s="230">
        <v>13325</v>
      </c>
      <c r="BQ140" s="230">
        <v>24625</v>
      </c>
      <c r="BR140" s="230">
        <v>-11300</v>
      </c>
      <c r="BS140" s="229">
        <v>-0.45889999999999997</v>
      </c>
      <c r="BT140" s="228">
        <v>0</v>
      </c>
      <c r="BU140" s="228">
        <v>0</v>
      </c>
      <c r="BV140" s="228">
        <v>0</v>
      </c>
      <c r="BW140" s="229">
        <v>0</v>
      </c>
      <c r="BX140" s="230">
        <v>18300</v>
      </c>
      <c r="BY140" s="230">
        <v>17950</v>
      </c>
      <c r="BZ140" s="228">
        <v>350</v>
      </c>
      <c r="CA140" s="229">
        <v>1.95E-2</v>
      </c>
      <c r="CB140" s="230">
        <v>15950</v>
      </c>
      <c r="CC140" s="230">
        <v>15775</v>
      </c>
      <c r="CD140" s="228">
        <v>175</v>
      </c>
      <c r="CE140" s="229">
        <v>1.11E-2</v>
      </c>
      <c r="CF140" s="230">
        <v>2325</v>
      </c>
      <c r="CG140" s="230">
        <v>2150</v>
      </c>
      <c r="CH140" s="228">
        <v>175</v>
      </c>
      <c r="CI140" s="229">
        <v>8.14E-2</v>
      </c>
      <c r="CJ140" s="228">
        <v>25</v>
      </c>
      <c r="CK140" s="228">
        <v>25</v>
      </c>
      <c r="CL140" s="228">
        <v>0</v>
      </c>
      <c r="CM140" s="229">
        <v>0</v>
      </c>
      <c r="CN140" s="230">
        <v>11750</v>
      </c>
      <c r="CO140" s="230">
        <v>10850</v>
      </c>
      <c r="CP140" s="228">
        <v>900</v>
      </c>
      <c r="CQ140" s="229">
        <v>8.2900000000000001E-2</v>
      </c>
      <c r="CR140" s="230">
        <v>4925</v>
      </c>
      <c r="CS140" s="230">
        <v>4575</v>
      </c>
      <c r="CT140" s="228">
        <v>350</v>
      </c>
      <c r="CU140" s="229">
        <v>7.6499999999999999E-2</v>
      </c>
      <c r="CV140" s="230">
        <v>34975</v>
      </c>
      <c r="CW140" s="230">
        <v>33375</v>
      </c>
      <c r="CX140" s="230">
        <v>1600</v>
      </c>
      <c r="CY140" s="229">
        <v>4.7899999999999998E-2</v>
      </c>
      <c r="CZ140" s="228">
        <v>21.72</v>
      </c>
      <c r="DA140" s="228">
        <v>21.81</v>
      </c>
      <c r="DB140" s="228">
        <v>-0.09</v>
      </c>
      <c r="DC140" s="228">
        <v>-0.09</v>
      </c>
      <c r="DD140" s="228">
        <v>20.41</v>
      </c>
      <c r="DE140" s="228">
        <v>20.46</v>
      </c>
      <c r="DF140" s="228">
        <v>1.31</v>
      </c>
      <c r="DG140" s="228">
        <v>-0.05</v>
      </c>
      <c r="DH140" s="228">
        <v>21.53</v>
      </c>
      <c r="DI140" s="228">
        <v>22.39</v>
      </c>
      <c r="DJ140" s="228">
        <v>-0.86</v>
      </c>
      <c r="DK140" s="228">
        <v>-0.86</v>
      </c>
      <c r="DL140" s="228">
        <v>22.08</v>
      </c>
      <c r="DM140" s="228">
        <v>20.87</v>
      </c>
      <c r="DN140" s="228">
        <v>1.21</v>
      </c>
      <c r="DO140" s="228">
        <v>1.21</v>
      </c>
      <c r="DP140" s="228">
        <v>0.42</v>
      </c>
      <c r="DQ140" s="228">
        <v>0.42</v>
      </c>
      <c r="DR140" s="228">
        <v>0</v>
      </c>
      <c r="DS140" s="229">
        <v>0</v>
      </c>
      <c r="DT140" s="231">
        <v>71000</v>
      </c>
      <c r="DU140" s="231">
        <v>66000</v>
      </c>
      <c r="DV140" s="228">
        <v>0.55000000000000004</v>
      </c>
      <c r="DW140" s="228">
        <v>0.61</v>
      </c>
      <c r="DX140" s="228">
        <v>-0.06</v>
      </c>
      <c r="DY140" s="229">
        <v>-9.8400000000000001E-2</v>
      </c>
      <c r="DZ140" s="229">
        <v>0.12839999999999999</v>
      </c>
      <c r="EA140" s="230">
        <v>2175</v>
      </c>
      <c r="EB140" s="229">
        <v>5.8999999999999999E-3</v>
      </c>
      <c r="EC140" s="229">
        <v>0.12839999999999999</v>
      </c>
      <c r="ED140" s="228">
        <v>367.09</v>
      </c>
      <c r="EE140" s="229">
        <v>5.4999999999999997E-3</v>
      </c>
      <c r="EF140" s="228">
        <v>0</v>
      </c>
      <c r="EG140" s="228">
        <v>0</v>
      </c>
      <c r="EH140" s="229">
        <v>0</v>
      </c>
      <c r="EI140" s="229">
        <v>0</v>
      </c>
      <c r="EJ140" s="231">
        <v>2410.9899999999998</v>
      </c>
      <c r="EK140" s="231">
        <v>1290.1099999999999</v>
      </c>
      <c r="EL140" s="231">
        <v>5215.55</v>
      </c>
      <c r="EM140" s="228">
        <v>0</v>
      </c>
      <c r="EN140" s="231">
        <v>8916.65</v>
      </c>
      <c r="EO140" s="231">
        <v>16787.009999999998</v>
      </c>
      <c r="EP140" s="231">
        <v>-7870.36</v>
      </c>
      <c r="EQ140" s="229">
        <v>-0.46879999999999999</v>
      </c>
      <c r="ER140" s="231">
        <v>8072</v>
      </c>
      <c r="ES140" s="231">
        <v>3287</v>
      </c>
      <c r="ET140" s="231">
        <v>12182</v>
      </c>
      <c r="EU140" s="228">
        <v>0</v>
      </c>
      <c r="EV140" s="231">
        <v>23541</v>
      </c>
      <c r="EW140" s="231">
        <v>22475</v>
      </c>
      <c r="EX140" s="231">
        <v>1066</v>
      </c>
      <c r="EY140" s="229">
        <v>4.7399999999999998E-2</v>
      </c>
      <c r="EZ140" s="229">
        <v>0</v>
      </c>
      <c r="FA140" s="227" t="s">
        <v>237</v>
      </c>
      <c r="FB140" s="161">
        <f>BX140-CB140</f>
        <v>2350</v>
      </c>
    </row>
    <row r="141" spans="1:158" ht="17.25" thickBot="1" x14ac:dyDescent="0.3">
      <c r="A141" s="226">
        <v>46093</v>
      </c>
      <c r="B141" s="227" t="s">
        <v>227</v>
      </c>
      <c r="C141" s="227" t="s">
        <v>267</v>
      </c>
      <c r="D141" s="228">
        <v>6750</v>
      </c>
      <c r="E141" s="228">
        <v>81.2</v>
      </c>
      <c r="F141" s="228">
        <v>79.83</v>
      </c>
      <c r="G141" s="228">
        <v>1.37</v>
      </c>
      <c r="H141" s="229">
        <v>1.72E-2</v>
      </c>
      <c r="I141" s="228">
        <v>80.87</v>
      </c>
      <c r="J141" s="228">
        <v>79.73</v>
      </c>
      <c r="K141" s="228">
        <v>1.1399999999999999</v>
      </c>
      <c r="L141" s="229">
        <v>1.43E-2</v>
      </c>
      <c r="M141" s="228">
        <v>81.2</v>
      </c>
      <c r="N141" s="228">
        <v>79.83</v>
      </c>
      <c r="O141" s="228">
        <v>1.37</v>
      </c>
      <c r="P141" s="229">
        <v>1.72E-2</v>
      </c>
      <c r="Q141" s="228">
        <v>81.599999999999994</v>
      </c>
      <c r="R141" s="228">
        <v>80.23</v>
      </c>
      <c r="S141" s="228">
        <v>1.37</v>
      </c>
      <c r="T141" s="229">
        <v>1.7100000000000001E-2</v>
      </c>
      <c r="U141" s="228">
        <v>82.37</v>
      </c>
      <c r="V141" s="228">
        <v>80.510000000000005</v>
      </c>
      <c r="W141" s="228">
        <v>1.86</v>
      </c>
      <c r="X141" s="229">
        <v>2.3099999999999999E-2</v>
      </c>
      <c r="Y141" s="228">
        <v>0.33</v>
      </c>
      <c r="Z141" s="228">
        <v>0.1</v>
      </c>
      <c r="AA141" s="228">
        <v>0.23</v>
      </c>
      <c r="AB141" s="229">
        <v>4.1000000000000003E-3</v>
      </c>
      <c r="AC141" s="228">
        <v>0.33</v>
      </c>
      <c r="AD141" s="228">
        <v>0.1</v>
      </c>
      <c r="AE141" s="228">
        <v>0.23</v>
      </c>
      <c r="AF141" s="229">
        <v>4.1000000000000003E-3</v>
      </c>
      <c r="AG141" s="228">
        <v>0.73</v>
      </c>
      <c r="AH141" s="228">
        <v>0.5</v>
      </c>
      <c r="AI141" s="228">
        <v>0.23</v>
      </c>
      <c r="AJ141" s="229">
        <v>8.9999999999999993E-3</v>
      </c>
      <c r="AK141" s="228">
        <v>1.5</v>
      </c>
      <c r="AL141" s="228">
        <v>0.78</v>
      </c>
      <c r="AM141" s="228">
        <v>0.72</v>
      </c>
      <c r="AN141" s="229">
        <v>1.8499999999999999E-2</v>
      </c>
      <c r="AO141" s="228">
        <v>80</v>
      </c>
      <c r="AP141" s="228">
        <v>79.75</v>
      </c>
      <c r="AQ141" s="228">
        <v>0</v>
      </c>
      <c r="AR141" s="230">
        <v>33257250</v>
      </c>
      <c r="AS141" s="230">
        <v>20614500</v>
      </c>
      <c r="AT141" s="230">
        <v>12642750</v>
      </c>
      <c r="AU141" s="229">
        <v>0.61329999999999996</v>
      </c>
      <c r="AV141" s="230">
        <v>28383750</v>
      </c>
      <c r="AW141" s="230">
        <v>19217250</v>
      </c>
      <c r="AX141" s="230">
        <v>9166500</v>
      </c>
      <c r="AY141" s="229">
        <v>0.47699999999999998</v>
      </c>
      <c r="AZ141" s="230">
        <v>4623750</v>
      </c>
      <c r="BA141" s="230">
        <v>1296000</v>
      </c>
      <c r="BB141" s="230">
        <v>3327750</v>
      </c>
      <c r="BC141" s="229">
        <v>2.5676999999999999</v>
      </c>
      <c r="BD141" s="230">
        <v>249750</v>
      </c>
      <c r="BE141" s="230">
        <v>101250</v>
      </c>
      <c r="BF141" s="230">
        <v>148500</v>
      </c>
      <c r="BG141" s="229">
        <v>1.4666999999999999</v>
      </c>
      <c r="BH141" s="230">
        <v>68472000</v>
      </c>
      <c r="BI141" s="230">
        <v>50625000</v>
      </c>
      <c r="BJ141" s="230">
        <v>17847000</v>
      </c>
      <c r="BK141" s="229">
        <v>0.35249999999999998</v>
      </c>
      <c r="BL141" s="230">
        <v>23861250</v>
      </c>
      <c r="BM141" s="230">
        <v>19710000</v>
      </c>
      <c r="BN141" s="230">
        <v>4151250</v>
      </c>
      <c r="BO141" s="229">
        <v>0.21060000000000001</v>
      </c>
      <c r="BP141" s="230">
        <v>125590500</v>
      </c>
      <c r="BQ141" s="230">
        <v>90949500</v>
      </c>
      <c r="BR141" s="230">
        <v>34641000</v>
      </c>
      <c r="BS141" s="229">
        <v>0.38090000000000002</v>
      </c>
      <c r="BT141" s="230">
        <v>21769394</v>
      </c>
      <c r="BU141" s="230">
        <v>14500054</v>
      </c>
      <c r="BV141" s="230">
        <v>7269340</v>
      </c>
      <c r="BW141" s="229">
        <v>0.50129999999999997</v>
      </c>
      <c r="BX141" s="230">
        <v>338829750</v>
      </c>
      <c r="BY141" s="230">
        <v>341874000</v>
      </c>
      <c r="BZ141" s="230">
        <v>-3044250</v>
      </c>
      <c r="CA141" s="229">
        <v>-8.8999999999999999E-3</v>
      </c>
      <c r="CB141" s="230">
        <v>323554500</v>
      </c>
      <c r="CC141" s="230">
        <v>328583250</v>
      </c>
      <c r="CD141" s="230">
        <v>-5028750</v>
      </c>
      <c r="CE141" s="229">
        <v>-1.5299999999999999E-2</v>
      </c>
      <c r="CF141" s="230">
        <v>12123000</v>
      </c>
      <c r="CG141" s="230">
        <v>10219500</v>
      </c>
      <c r="CH141" s="230">
        <v>1903500</v>
      </c>
      <c r="CI141" s="229">
        <v>0.18629999999999999</v>
      </c>
      <c r="CJ141" s="230">
        <v>3152250</v>
      </c>
      <c r="CK141" s="230">
        <v>3071250</v>
      </c>
      <c r="CL141" s="230">
        <v>81000</v>
      </c>
      <c r="CM141" s="229">
        <v>2.64E-2</v>
      </c>
      <c r="CN141" s="230">
        <v>86096250</v>
      </c>
      <c r="CO141" s="230">
        <v>81965250</v>
      </c>
      <c r="CP141" s="230">
        <v>4131000</v>
      </c>
      <c r="CQ141" s="229">
        <v>5.04E-2</v>
      </c>
      <c r="CR141" s="230">
        <v>47817000</v>
      </c>
      <c r="CS141" s="230">
        <v>46710000</v>
      </c>
      <c r="CT141" s="230">
        <v>1107000</v>
      </c>
      <c r="CU141" s="229">
        <v>2.3699999999999999E-2</v>
      </c>
      <c r="CV141" s="230">
        <v>472743000</v>
      </c>
      <c r="CW141" s="230">
        <v>470549250</v>
      </c>
      <c r="CX141" s="230">
        <v>2193750</v>
      </c>
      <c r="CY141" s="229">
        <v>4.7000000000000002E-3</v>
      </c>
      <c r="CZ141" s="228">
        <v>36.590000000000003</v>
      </c>
      <c r="DA141" s="228">
        <v>37.49</v>
      </c>
      <c r="DB141" s="228">
        <v>-0.9</v>
      </c>
      <c r="DC141" s="228">
        <v>-0.9</v>
      </c>
      <c r="DD141" s="228">
        <v>38.61</v>
      </c>
      <c r="DE141" s="228">
        <v>38.630000000000003</v>
      </c>
      <c r="DF141" s="228">
        <v>-2.02</v>
      </c>
      <c r="DG141" s="228">
        <v>-0.02</v>
      </c>
      <c r="DH141" s="228">
        <v>35.83</v>
      </c>
      <c r="DI141" s="228">
        <v>37.1</v>
      </c>
      <c r="DJ141" s="228">
        <v>-1.27</v>
      </c>
      <c r="DK141" s="228">
        <v>-1.27</v>
      </c>
      <c r="DL141" s="228">
        <v>38.76</v>
      </c>
      <c r="DM141" s="228">
        <v>38.5</v>
      </c>
      <c r="DN141" s="228">
        <v>0.26</v>
      </c>
      <c r="DO141" s="228">
        <v>0.26</v>
      </c>
      <c r="DP141" s="228">
        <v>0.56000000000000005</v>
      </c>
      <c r="DQ141" s="228">
        <v>0.56999999999999995</v>
      </c>
      <c r="DR141" s="228">
        <v>-0.01</v>
      </c>
      <c r="DS141" s="229">
        <v>-1.7500000000000002E-2</v>
      </c>
      <c r="DT141" s="228">
        <v>85</v>
      </c>
      <c r="DU141" s="228">
        <v>70</v>
      </c>
      <c r="DV141" s="228">
        <v>0.35</v>
      </c>
      <c r="DW141" s="228">
        <v>0.39</v>
      </c>
      <c r="DX141" s="228">
        <v>-0.04</v>
      </c>
      <c r="DY141" s="229">
        <v>-0.1026</v>
      </c>
      <c r="DZ141" s="229">
        <v>4.5100000000000001E-2</v>
      </c>
      <c r="EA141" s="230">
        <v>13290750</v>
      </c>
      <c r="EB141" s="229">
        <v>4.8999999999999998E-3</v>
      </c>
      <c r="EC141" s="229">
        <v>4.5100000000000001E-2</v>
      </c>
      <c r="ED141" s="228">
        <v>-0.25</v>
      </c>
      <c r="EE141" s="229">
        <v>-3.0999999999999999E-3</v>
      </c>
      <c r="EF141" s="230">
        <v>7355088</v>
      </c>
      <c r="EG141" s="230">
        <v>5540219</v>
      </c>
      <c r="EH141" s="229">
        <v>0.3276</v>
      </c>
      <c r="EI141" s="229">
        <v>0.33789999999999998</v>
      </c>
      <c r="EJ141" s="231">
        <v>58560.01</v>
      </c>
      <c r="EK141" s="231">
        <v>18628.57</v>
      </c>
      <c r="EL141" s="231">
        <v>26597.78</v>
      </c>
      <c r="EM141" s="231">
        <v>4575</v>
      </c>
      <c r="EN141" s="231">
        <v>103786.36</v>
      </c>
      <c r="EO141" s="231">
        <v>75503.28</v>
      </c>
      <c r="EP141" s="231">
        <v>28283.08</v>
      </c>
      <c r="EQ141" s="229">
        <v>0.37459999999999999</v>
      </c>
      <c r="ER141" s="231">
        <v>73000</v>
      </c>
      <c r="ES141" s="231">
        <v>37055</v>
      </c>
      <c r="ET141" s="231">
        <v>275215</v>
      </c>
      <c r="EU141" s="231">
        <v>517037525</v>
      </c>
      <c r="EV141" s="231">
        <v>385270</v>
      </c>
      <c r="EW141" s="231">
        <v>378567</v>
      </c>
      <c r="EX141" s="231">
        <v>6703</v>
      </c>
      <c r="EY141" s="229">
        <v>1.77E-2</v>
      </c>
      <c r="EZ141" s="229">
        <v>0.9143</v>
      </c>
      <c r="FA141" s="227" t="s">
        <v>556</v>
      </c>
      <c r="FB141" s="161">
        <f>BX213-CB213</f>
        <v>319500</v>
      </c>
    </row>
    <row r="142" spans="1:158" ht="17.25" thickBot="1" x14ac:dyDescent="0.3">
      <c r="A142" s="226">
        <v>46093</v>
      </c>
      <c r="B142" s="227" t="s">
        <v>161</v>
      </c>
      <c r="C142" s="227" t="s">
        <v>268</v>
      </c>
      <c r="D142" s="228">
        <v>1500</v>
      </c>
      <c r="E142" s="228">
        <v>390.9</v>
      </c>
      <c r="F142" s="228">
        <v>380.25</v>
      </c>
      <c r="G142" s="228">
        <v>10.65</v>
      </c>
      <c r="H142" s="229">
        <v>2.8000000000000001E-2</v>
      </c>
      <c r="I142" s="228">
        <v>390.55</v>
      </c>
      <c r="J142" s="228">
        <v>379.9</v>
      </c>
      <c r="K142" s="228">
        <v>10.65</v>
      </c>
      <c r="L142" s="229">
        <v>2.8000000000000001E-2</v>
      </c>
      <c r="M142" s="228">
        <v>390.9</v>
      </c>
      <c r="N142" s="228">
        <v>380.25</v>
      </c>
      <c r="O142" s="228">
        <v>10.65</v>
      </c>
      <c r="P142" s="229">
        <v>2.8000000000000001E-2</v>
      </c>
      <c r="Q142" s="228">
        <v>393.45</v>
      </c>
      <c r="R142" s="228">
        <v>382.65</v>
      </c>
      <c r="S142" s="228">
        <v>10.8</v>
      </c>
      <c r="T142" s="229">
        <v>2.8199999999999999E-2</v>
      </c>
      <c r="U142" s="228">
        <v>395.6</v>
      </c>
      <c r="V142" s="228">
        <v>384.55</v>
      </c>
      <c r="W142" s="228">
        <v>11.05</v>
      </c>
      <c r="X142" s="229">
        <v>2.87E-2</v>
      </c>
      <c r="Y142" s="228">
        <v>0.35</v>
      </c>
      <c r="Z142" s="228">
        <v>0.35</v>
      </c>
      <c r="AA142" s="228">
        <v>0</v>
      </c>
      <c r="AB142" s="229">
        <v>8.9999999999999998E-4</v>
      </c>
      <c r="AC142" s="228">
        <v>0.35</v>
      </c>
      <c r="AD142" s="228">
        <v>0.35</v>
      </c>
      <c r="AE142" s="228">
        <v>0</v>
      </c>
      <c r="AF142" s="229">
        <v>8.9999999999999998E-4</v>
      </c>
      <c r="AG142" s="228">
        <v>2.9</v>
      </c>
      <c r="AH142" s="228">
        <v>2.75</v>
      </c>
      <c r="AI142" s="228">
        <v>0.15</v>
      </c>
      <c r="AJ142" s="229">
        <v>7.4000000000000003E-3</v>
      </c>
      <c r="AK142" s="228">
        <v>5.05</v>
      </c>
      <c r="AL142" s="228">
        <v>4.6500000000000004</v>
      </c>
      <c r="AM142" s="228">
        <v>0.4</v>
      </c>
      <c r="AN142" s="229">
        <v>1.29E-2</v>
      </c>
      <c r="AO142" s="228">
        <v>387.79</v>
      </c>
      <c r="AP142" s="228">
        <v>389.7</v>
      </c>
      <c r="AQ142" s="228">
        <v>0</v>
      </c>
      <c r="AR142" s="230">
        <v>28668000</v>
      </c>
      <c r="AS142" s="230">
        <v>12295500</v>
      </c>
      <c r="AT142" s="230">
        <v>16372500</v>
      </c>
      <c r="AU142" s="229">
        <v>1.3315999999999999</v>
      </c>
      <c r="AV142" s="230">
        <v>26628000</v>
      </c>
      <c r="AW142" s="230">
        <v>11646000</v>
      </c>
      <c r="AX142" s="230">
        <v>14982000</v>
      </c>
      <c r="AY142" s="229">
        <v>1.2865</v>
      </c>
      <c r="AZ142" s="230">
        <v>1843500</v>
      </c>
      <c r="BA142" s="230">
        <v>597000</v>
      </c>
      <c r="BB142" s="230">
        <v>1246500</v>
      </c>
      <c r="BC142" s="229">
        <v>2.0878999999999999</v>
      </c>
      <c r="BD142" s="230">
        <v>196500</v>
      </c>
      <c r="BE142" s="230">
        <v>52500</v>
      </c>
      <c r="BF142" s="230">
        <v>144000</v>
      </c>
      <c r="BG142" s="229">
        <v>2.7429000000000001</v>
      </c>
      <c r="BH142" s="230">
        <v>255328500</v>
      </c>
      <c r="BI142" s="230">
        <v>68754000</v>
      </c>
      <c r="BJ142" s="230">
        <v>186574500</v>
      </c>
      <c r="BK142" s="229">
        <v>2.7136999999999998</v>
      </c>
      <c r="BL142" s="230">
        <v>60550500</v>
      </c>
      <c r="BM142" s="230">
        <v>24750000</v>
      </c>
      <c r="BN142" s="230">
        <v>35800500</v>
      </c>
      <c r="BO142" s="229">
        <v>1.4464999999999999</v>
      </c>
      <c r="BP142" s="230">
        <v>344547000</v>
      </c>
      <c r="BQ142" s="230">
        <v>105799500</v>
      </c>
      <c r="BR142" s="230">
        <v>238747500</v>
      </c>
      <c r="BS142" s="229">
        <v>2.2566000000000002</v>
      </c>
      <c r="BT142" s="230">
        <v>24964310</v>
      </c>
      <c r="BU142" s="230">
        <v>10384574</v>
      </c>
      <c r="BV142" s="230">
        <v>14579736</v>
      </c>
      <c r="BW142" s="229">
        <v>1.4039999999999999</v>
      </c>
      <c r="BX142" s="230">
        <v>107530500</v>
      </c>
      <c r="BY142" s="230">
        <v>100842000</v>
      </c>
      <c r="BZ142" s="230">
        <v>6688500</v>
      </c>
      <c r="CA142" s="229">
        <v>6.6299999999999998E-2</v>
      </c>
      <c r="CB142" s="230">
        <v>104949000</v>
      </c>
      <c r="CC142" s="230">
        <v>98806500</v>
      </c>
      <c r="CD142" s="230">
        <v>6142500</v>
      </c>
      <c r="CE142" s="229">
        <v>6.2199999999999998E-2</v>
      </c>
      <c r="CF142" s="230">
        <v>2176500</v>
      </c>
      <c r="CG142" s="230">
        <v>1678500</v>
      </c>
      <c r="CH142" s="230">
        <v>498000</v>
      </c>
      <c r="CI142" s="229">
        <v>0.29670000000000002</v>
      </c>
      <c r="CJ142" s="230">
        <v>405000</v>
      </c>
      <c r="CK142" s="230">
        <v>357000</v>
      </c>
      <c r="CL142" s="230">
        <v>48000</v>
      </c>
      <c r="CM142" s="229">
        <v>0.13450000000000001</v>
      </c>
      <c r="CN142" s="230">
        <v>83953500</v>
      </c>
      <c r="CO142" s="230">
        <v>70087500</v>
      </c>
      <c r="CP142" s="230">
        <v>13866000</v>
      </c>
      <c r="CQ142" s="229">
        <v>0.1978</v>
      </c>
      <c r="CR142" s="230">
        <v>36841500</v>
      </c>
      <c r="CS142" s="230">
        <v>27142500</v>
      </c>
      <c r="CT142" s="230">
        <v>9699000</v>
      </c>
      <c r="CU142" s="229">
        <v>0.35730000000000001</v>
      </c>
      <c r="CV142" s="230">
        <v>228325500</v>
      </c>
      <c r="CW142" s="230">
        <v>198072000</v>
      </c>
      <c r="CX142" s="230">
        <v>30253500</v>
      </c>
      <c r="CY142" s="229">
        <v>0.1527</v>
      </c>
      <c r="CZ142" s="228">
        <v>23.9</v>
      </c>
      <c r="DA142" s="228">
        <v>22.67</v>
      </c>
      <c r="DB142" s="228">
        <v>1.23</v>
      </c>
      <c r="DC142" s="228">
        <v>1.23</v>
      </c>
      <c r="DD142" s="228">
        <v>27.76</v>
      </c>
      <c r="DE142" s="228">
        <v>27.58</v>
      </c>
      <c r="DF142" s="228">
        <v>-3.86</v>
      </c>
      <c r="DG142" s="228">
        <v>0.18</v>
      </c>
      <c r="DH142" s="228">
        <v>23.2</v>
      </c>
      <c r="DI142" s="228">
        <v>22.03</v>
      </c>
      <c r="DJ142" s="228">
        <v>1.17</v>
      </c>
      <c r="DK142" s="228">
        <v>1.17</v>
      </c>
      <c r="DL142" s="228">
        <v>26.84</v>
      </c>
      <c r="DM142" s="228">
        <v>24.43</v>
      </c>
      <c r="DN142" s="228">
        <v>2.41</v>
      </c>
      <c r="DO142" s="228">
        <v>2.41</v>
      </c>
      <c r="DP142" s="228">
        <v>0.44</v>
      </c>
      <c r="DQ142" s="228">
        <v>0.39</v>
      </c>
      <c r="DR142" s="228">
        <v>0.05</v>
      </c>
      <c r="DS142" s="229">
        <v>0.12820000000000001</v>
      </c>
      <c r="DT142" s="228">
        <v>400</v>
      </c>
      <c r="DU142" s="228">
        <v>380</v>
      </c>
      <c r="DV142" s="228">
        <v>0.24</v>
      </c>
      <c r="DW142" s="228">
        <v>0.36</v>
      </c>
      <c r="DX142" s="228">
        <v>-0.12</v>
      </c>
      <c r="DY142" s="229">
        <v>-0.33329999999999999</v>
      </c>
      <c r="DZ142" s="229">
        <v>2.4E-2</v>
      </c>
      <c r="EA142" s="230">
        <v>2035500</v>
      </c>
      <c r="EB142" s="229">
        <v>6.4999999999999997E-3</v>
      </c>
      <c r="EC142" s="229">
        <v>2.4E-2</v>
      </c>
      <c r="ED142" s="228">
        <v>1.91</v>
      </c>
      <c r="EE142" s="229">
        <v>4.8999999999999998E-3</v>
      </c>
      <c r="EF142" s="230">
        <v>14720259</v>
      </c>
      <c r="EG142" s="230">
        <v>6366592</v>
      </c>
      <c r="EH142" s="229">
        <v>1.3121</v>
      </c>
      <c r="EI142" s="229">
        <v>0.5897</v>
      </c>
      <c r="EJ142" s="231">
        <v>1024814.04</v>
      </c>
      <c r="EK142" s="231">
        <v>230144.8</v>
      </c>
      <c r="EL142" s="231">
        <v>111213.72</v>
      </c>
      <c r="EM142" s="231">
        <v>10419</v>
      </c>
      <c r="EN142" s="231">
        <v>1366172.56</v>
      </c>
      <c r="EO142" s="231">
        <v>412869.66</v>
      </c>
      <c r="EP142" s="231">
        <v>953302.9</v>
      </c>
      <c r="EQ142" s="229">
        <v>2.3090000000000002</v>
      </c>
      <c r="ER142" s="231">
        <v>328805</v>
      </c>
      <c r="ES142" s="231">
        <v>136678</v>
      </c>
      <c r="ET142" s="231">
        <v>420411</v>
      </c>
      <c r="EU142" s="231">
        <v>474131988</v>
      </c>
      <c r="EV142" s="231">
        <v>885895</v>
      </c>
      <c r="EW142" s="231">
        <v>756523</v>
      </c>
      <c r="EX142" s="231">
        <v>129372</v>
      </c>
      <c r="EY142" s="229">
        <v>0.17100000000000001</v>
      </c>
      <c r="EZ142" s="229">
        <v>0.48159999999999997</v>
      </c>
      <c r="FA142" s="227" t="s">
        <v>555</v>
      </c>
      <c r="FB142" s="161">
        <f t="shared" ref="FB142:FB161" si="3">BX214-CB214</f>
        <v>0</v>
      </c>
    </row>
    <row r="143" spans="1:158" ht="17.25" thickBot="1" x14ac:dyDescent="0.3">
      <c r="A143" s="226">
        <v>46093</v>
      </c>
      <c r="B143" s="227" t="s">
        <v>175</v>
      </c>
      <c r="C143" s="227" t="s">
        <v>684</v>
      </c>
      <c r="D143" s="228">
        <v>500</v>
      </c>
      <c r="E143" s="231">
        <v>1188.4000000000001</v>
      </c>
      <c r="F143" s="231">
        <v>1211.0999999999999</v>
      </c>
      <c r="G143" s="228">
        <v>-22.7</v>
      </c>
      <c r="H143" s="229">
        <v>-1.8700000000000001E-2</v>
      </c>
      <c r="I143" s="231">
        <v>1183.8</v>
      </c>
      <c r="J143" s="231">
        <v>1212.5</v>
      </c>
      <c r="K143" s="228">
        <v>-28.7</v>
      </c>
      <c r="L143" s="229">
        <v>-2.3699999999999999E-2</v>
      </c>
      <c r="M143" s="231">
        <v>1188.4000000000001</v>
      </c>
      <c r="N143" s="231">
        <v>1211.0999999999999</v>
      </c>
      <c r="O143" s="228">
        <v>-22.7</v>
      </c>
      <c r="P143" s="229">
        <v>-1.8700000000000001E-2</v>
      </c>
      <c r="Q143" s="231">
        <v>1181.4000000000001</v>
      </c>
      <c r="R143" s="231">
        <v>1203.0999999999999</v>
      </c>
      <c r="S143" s="228">
        <v>-21.7</v>
      </c>
      <c r="T143" s="229">
        <v>-1.7999999999999999E-2</v>
      </c>
      <c r="U143" s="231">
        <v>1178.0999999999999</v>
      </c>
      <c r="V143" s="231">
        <v>1205</v>
      </c>
      <c r="W143" s="228">
        <v>-26.9</v>
      </c>
      <c r="X143" s="229">
        <v>-2.23E-2</v>
      </c>
      <c r="Y143" s="228">
        <v>4.5999999999999996</v>
      </c>
      <c r="Z143" s="228">
        <v>-1.4</v>
      </c>
      <c r="AA143" s="228">
        <v>6</v>
      </c>
      <c r="AB143" s="229">
        <v>3.8999999999999998E-3</v>
      </c>
      <c r="AC143" s="228">
        <v>4.5999999999999996</v>
      </c>
      <c r="AD143" s="228">
        <v>-1.4</v>
      </c>
      <c r="AE143" s="228">
        <v>6</v>
      </c>
      <c r="AF143" s="229">
        <v>3.8999999999999998E-3</v>
      </c>
      <c r="AG143" s="228">
        <v>-2.4</v>
      </c>
      <c r="AH143" s="228">
        <v>-9.4</v>
      </c>
      <c r="AI143" s="228">
        <v>7</v>
      </c>
      <c r="AJ143" s="229">
        <v>-2E-3</v>
      </c>
      <c r="AK143" s="228">
        <v>-5.7</v>
      </c>
      <c r="AL143" s="228">
        <v>-7.5</v>
      </c>
      <c r="AM143" s="228">
        <v>1.8</v>
      </c>
      <c r="AN143" s="229">
        <v>-4.7999999999999996E-3</v>
      </c>
      <c r="AO143" s="231">
        <v>1191.6199999999999</v>
      </c>
      <c r="AP143" s="231">
        <v>1183.67</v>
      </c>
      <c r="AQ143" s="228">
        <v>0</v>
      </c>
      <c r="AR143" s="230">
        <v>594000</v>
      </c>
      <c r="AS143" s="230">
        <v>484500</v>
      </c>
      <c r="AT143" s="230">
        <v>109500</v>
      </c>
      <c r="AU143" s="229">
        <v>0.22600000000000001</v>
      </c>
      <c r="AV143" s="230">
        <v>568000</v>
      </c>
      <c r="AW143" s="230">
        <v>439000</v>
      </c>
      <c r="AX143" s="230">
        <v>129000</v>
      </c>
      <c r="AY143" s="229">
        <v>0.29380000000000001</v>
      </c>
      <c r="AZ143" s="230">
        <v>24000</v>
      </c>
      <c r="BA143" s="230">
        <v>43000</v>
      </c>
      <c r="BB143" s="230">
        <v>-19000</v>
      </c>
      <c r="BC143" s="229">
        <v>-0.44190000000000002</v>
      </c>
      <c r="BD143" s="230">
        <v>2000</v>
      </c>
      <c r="BE143" s="230">
        <v>2500</v>
      </c>
      <c r="BF143" s="228">
        <v>-500</v>
      </c>
      <c r="BG143" s="229">
        <v>-0.2</v>
      </c>
      <c r="BH143" s="230">
        <v>600500</v>
      </c>
      <c r="BI143" s="230">
        <v>719000</v>
      </c>
      <c r="BJ143" s="230">
        <v>-118500</v>
      </c>
      <c r="BK143" s="229">
        <v>-0.1648</v>
      </c>
      <c r="BL143" s="230">
        <v>175500</v>
      </c>
      <c r="BM143" s="230">
        <v>179000</v>
      </c>
      <c r="BN143" s="230">
        <v>-3500</v>
      </c>
      <c r="BO143" s="229">
        <v>-1.9599999999999999E-2</v>
      </c>
      <c r="BP143" s="230">
        <v>1370000</v>
      </c>
      <c r="BQ143" s="230">
        <v>1382500</v>
      </c>
      <c r="BR143" s="230">
        <v>-12500</v>
      </c>
      <c r="BS143" s="229">
        <v>-8.9999999999999993E-3</v>
      </c>
      <c r="BT143" s="230">
        <v>339304</v>
      </c>
      <c r="BU143" s="230">
        <v>184573</v>
      </c>
      <c r="BV143" s="230">
        <v>154731</v>
      </c>
      <c r="BW143" s="229">
        <v>0.83830000000000005</v>
      </c>
      <c r="BX143" s="230">
        <v>2244500</v>
      </c>
      <c r="BY143" s="230">
        <v>2212000</v>
      </c>
      <c r="BZ143" s="230">
        <v>32500</v>
      </c>
      <c r="CA143" s="229">
        <v>1.47E-2</v>
      </c>
      <c r="CB143" s="230">
        <v>2052500</v>
      </c>
      <c r="CC143" s="230">
        <v>2026000</v>
      </c>
      <c r="CD143" s="230">
        <v>26500</v>
      </c>
      <c r="CE143" s="229">
        <v>1.3100000000000001E-2</v>
      </c>
      <c r="CF143" s="230">
        <v>185000</v>
      </c>
      <c r="CG143" s="230">
        <v>179500</v>
      </c>
      <c r="CH143" s="230">
        <v>5500</v>
      </c>
      <c r="CI143" s="229">
        <v>3.0599999999999999E-2</v>
      </c>
      <c r="CJ143" s="230">
        <v>7000</v>
      </c>
      <c r="CK143" s="230">
        <v>6500</v>
      </c>
      <c r="CL143" s="228">
        <v>500</v>
      </c>
      <c r="CM143" s="229">
        <v>7.6899999999999996E-2</v>
      </c>
      <c r="CN143" s="230">
        <v>854500</v>
      </c>
      <c r="CO143" s="230">
        <v>854500</v>
      </c>
      <c r="CP143" s="228">
        <v>0</v>
      </c>
      <c r="CQ143" s="229">
        <v>0</v>
      </c>
      <c r="CR143" s="230">
        <v>561500</v>
      </c>
      <c r="CS143" s="230">
        <v>573500</v>
      </c>
      <c r="CT143" s="230">
        <v>-12000</v>
      </c>
      <c r="CU143" s="229">
        <v>-2.0899999999999998E-2</v>
      </c>
      <c r="CV143" s="230">
        <v>3660500</v>
      </c>
      <c r="CW143" s="230">
        <v>3640000</v>
      </c>
      <c r="CX143" s="230">
        <v>20500</v>
      </c>
      <c r="CY143" s="229">
        <v>5.5999999999999999E-3</v>
      </c>
      <c r="CZ143" s="228">
        <v>41.23</v>
      </c>
      <c r="DA143" s="228">
        <v>40.39</v>
      </c>
      <c r="DB143" s="228">
        <v>0.84</v>
      </c>
      <c r="DC143" s="228">
        <v>0.84</v>
      </c>
      <c r="DD143" s="228">
        <v>48.7</v>
      </c>
      <c r="DE143" s="228">
        <v>48.75</v>
      </c>
      <c r="DF143" s="228">
        <v>-7.47</v>
      </c>
      <c r="DG143" s="228">
        <v>-0.05</v>
      </c>
      <c r="DH143" s="228">
        <v>41.05</v>
      </c>
      <c r="DI143" s="228">
        <v>40.25</v>
      </c>
      <c r="DJ143" s="228">
        <v>0.8</v>
      </c>
      <c r="DK143" s="228">
        <v>0.8</v>
      </c>
      <c r="DL143" s="228">
        <v>41.87</v>
      </c>
      <c r="DM143" s="228">
        <v>40.98</v>
      </c>
      <c r="DN143" s="228">
        <v>0.89</v>
      </c>
      <c r="DO143" s="228">
        <v>0.89</v>
      </c>
      <c r="DP143" s="228">
        <v>0.66</v>
      </c>
      <c r="DQ143" s="228">
        <v>0.67</v>
      </c>
      <c r="DR143" s="228">
        <v>-0.01</v>
      </c>
      <c r="DS143" s="229">
        <v>-1.49E-2</v>
      </c>
      <c r="DT143" s="231">
        <v>1300</v>
      </c>
      <c r="DU143" s="231">
        <v>1200</v>
      </c>
      <c r="DV143" s="228">
        <v>0.28999999999999998</v>
      </c>
      <c r="DW143" s="228">
        <v>0.25</v>
      </c>
      <c r="DX143" s="228">
        <v>0.04</v>
      </c>
      <c r="DY143" s="229">
        <v>0.16</v>
      </c>
      <c r="DZ143" s="229">
        <v>8.5500000000000007E-2</v>
      </c>
      <c r="EA143" s="230">
        <v>186000</v>
      </c>
      <c r="EB143" s="229">
        <v>-5.8999999999999999E-3</v>
      </c>
      <c r="EC143" s="229">
        <v>8.5500000000000007E-2</v>
      </c>
      <c r="ED143" s="228">
        <v>-7.95</v>
      </c>
      <c r="EE143" s="229">
        <v>-6.7000000000000002E-3</v>
      </c>
      <c r="EF143" s="230">
        <v>135457</v>
      </c>
      <c r="EG143" s="230">
        <v>78006</v>
      </c>
      <c r="EH143" s="229">
        <v>0.73650000000000004</v>
      </c>
      <c r="EI143" s="229">
        <v>0.3992</v>
      </c>
      <c r="EJ143" s="231">
        <v>8011.43</v>
      </c>
      <c r="EK143" s="231">
        <v>2122.65</v>
      </c>
      <c r="EL143" s="231">
        <v>7076.07</v>
      </c>
      <c r="EM143" s="231">
        <v>1232</v>
      </c>
      <c r="EN143" s="231">
        <v>17210.150000000001</v>
      </c>
      <c r="EO143" s="231">
        <v>17782.25</v>
      </c>
      <c r="EP143" s="228">
        <v>-572.1</v>
      </c>
      <c r="EQ143" s="229">
        <v>-3.2199999999999999E-2</v>
      </c>
      <c r="ER143" s="231">
        <v>11276</v>
      </c>
      <c r="ES143" s="231">
        <v>6810</v>
      </c>
      <c r="ET143" s="231">
        <v>26660</v>
      </c>
      <c r="EU143" s="231">
        <v>12267678</v>
      </c>
      <c r="EV143" s="231">
        <v>44746</v>
      </c>
      <c r="EW143" s="231">
        <v>45023</v>
      </c>
      <c r="EX143" s="228">
        <v>-277</v>
      </c>
      <c r="EY143" s="229">
        <v>-6.1999999999999998E-3</v>
      </c>
      <c r="EZ143" s="229">
        <v>0.2984</v>
      </c>
      <c r="FA143" s="227" t="s">
        <v>567</v>
      </c>
      <c r="FB143" s="161">
        <f t="shared" si="3"/>
        <v>0</v>
      </c>
    </row>
    <row r="144" spans="1:158" ht="17.25" thickBot="1" x14ac:dyDescent="0.3">
      <c r="A144" s="226">
        <v>46093</v>
      </c>
      <c r="B144" s="227" t="s">
        <v>615</v>
      </c>
      <c r="C144" s="227" t="s">
        <v>613</v>
      </c>
      <c r="D144" s="228">
        <v>3125</v>
      </c>
      <c r="E144" s="228">
        <v>245.85</v>
      </c>
      <c r="F144" s="228">
        <v>252.85</v>
      </c>
      <c r="G144" s="228">
        <v>-7</v>
      </c>
      <c r="H144" s="229">
        <v>-2.7699999999999999E-2</v>
      </c>
      <c r="I144" s="228">
        <v>244.95</v>
      </c>
      <c r="J144" s="228">
        <v>251.7</v>
      </c>
      <c r="K144" s="228">
        <v>-6.75</v>
      </c>
      <c r="L144" s="229">
        <v>-2.6800000000000001E-2</v>
      </c>
      <c r="M144" s="228">
        <v>245.85</v>
      </c>
      <c r="N144" s="228">
        <v>252.85</v>
      </c>
      <c r="O144" s="228">
        <v>-7</v>
      </c>
      <c r="P144" s="229">
        <v>-2.7699999999999999E-2</v>
      </c>
      <c r="Q144" s="228">
        <v>246.6</v>
      </c>
      <c r="R144" s="228">
        <v>253.5</v>
      </c>
      <c r="S144" s="228">
        <v>-6.9</v>
      </c>
      <c r="T144" s="229">
        <v>-2.7199999999999998E-2</v>
      </c>
      <c r="U144" s="228">
        <v>247.45</v>
      </c>
      <c r="V144" s="228">
        <v>257</v>
      </c>
      <c r="W144" s="228">
        <v>-9.5500000000000007</v>
      </c>
      <c r="X144" s="229">
        <v>-3.7199999999999997E-2</v>
      </c>
      <c r="Y144" s="228">
        <v>0.9</v>
      </c>
      <c r="Z144" s="228">
        <v>1.1499999999999999</v>
      </c>
      <c r="AA144" s="228">
        <v>-0.25</v>
      </c>
      <c r="AB144" s="229">
        <v>3.7000000000000002E-3</v>
      </c>
      <c r="AC144" s="228">
        <v>0.9</v>
      </c>
      <c r="AD144" s="228">
        <v>1.1499999999999999</v>
      </c>
      <c r="AE144" s="228">
        <v>-0.25</v>
      </c>
      <c r="AF144" s="229">
        <v>3.7000000000000002E-3</v>
      </c>
      <c r="AG144" s="228">
        <v>1.65</v>
      </c>
      <c r="AH144" s="228">
        <v>1.8</v>
      </c>
      <c r="AI144" s="228">
        <v>-0.15</v>
      </c>
      <c r="AJ144" s="229">
        <v>6.7000000000000002E-3</v>
      </c>
      <c r="AK144" s="228">
        <v>2.5</v>
      </c>
      <c r="AL144" s="228">
        <v>5.3</v>
      </c>
      <c r="AM144" s="228">
        <v>-2.8</v>
      </c>
      <c r="AN144" s="229">
        <v>1.0200000000000001E-2</v>
      </c>
      <c r="AO144" s="228">
        <v>246.43</v>
      </c>
      <c r="AP144" s="228">
        <v>247.54</v>
      </c>
      <c r="AQ144" s="228">
        <v>0</v>
      </c>
      <c r="AR144" s="230">
        <v>3856250</v>
      </c>
      <c r="AS144" s="230">
        <v>5503125</v>
      </c>
      <c r="AT144" s="230">
        <v>-1646875</v>
      </c>
      <c r="AU144" s="229">
        <v>-0.29930000000000001</v>
      </c>
      <c r="AV144" s="230">
        <v>3615625</v>
      </c>
      <c r="AW144" s="230">
        <v>5084375</v>
      </c>
      <c r="AX144" s="230">
        <v>-1468750</v>
      </c>
      <c r="AY144" s="229">
        <v>-0.28889999999999999</v>
      </c>
      <c r="AZ144" s="230">
        <v>215625</v>
      </c>
      <c r="BA144" s="230">
        <v>415625</v>
      </c>
      <c r="BB144" s="230">
        <v>-200000</v>
      </c>
      <c r="BC144" s="229">
        <v>-0.48120000000000002</v>
      </c>
      <c r="BD144" s="230">
        <v>25000</v>
      </c>
      <c r="BE144" s="230">
        <v>3125</v>
      </c>
      <c r="BF144" s="230">
        <v>21875</v>
      </c>
      <c r="BG144" s="229">
        <v>7</v>
      </c>
      <c r="BH144" s="230">
        <v>5121875</v>
      </c>
      <c r="BI144" s="230">
        <v>4078125</v>
      </c>
      <c r="BJ144" s="230">
        <v>1043750</v>
      </c>
      <c r="BK144" s="229">
        <v>0.25590000000000002</v>
      </c>
      <c r="BL144" s="230">
        <v>2475000</v>
      </c>
      <c r="BM144" s="230">
        <v>2209375</v>
      </c>
      <c r="BN144" s="230">
        <v>265625</v>
      </c>
      <c r="BO144" s="229">
        <v>0.1202</v>
      </c>
      <c r="BP144" s="230">
        <v>11453125</v>
      </c>
      <c r="BQ144" s="230">
        <v>11790625</v>
      </c>
      <c r="BR144" s="230">
        <v>-337500</v>
      </c>
      <c r="BS144" s="229">
        <v>-2.86E-2</v>
      </c>
      <c r="BT144" s="230">
        <v>3768081</v>
      </c>
      <c r="BU144" s="230">
        <v>4924920</v>
      </c>
      <c r="BV144" s="230">
        <v>-1156839</v>
      </c>
      <c r="BW144" s="229">
        <v>-0.2349</v>
      </c>
      <c r="BX144" s="230">
        <v>43843750</v>
      </c>
      <c r="BY144" s="230">
        <v>43971875</v>
      </c>
      <c r="BZ144" s="230">
        <v>-128125</v>
      </c>
      <c r="CA144" s="229">
        <v>-2.8999999999999998E-3</v>
      </c>
      <c r="CB144" s="230">
        <v>42881250</v>
      </c>
      <c r="CC144" s="230">
        <v>43040625</v>
      </c>
      <c r="CD144" s="230">
        <v>-159375</v>
      </c>
      <c r="CE144" s="229">
        <v>-3.7000000000000002E-3</v>
      </c>
      <c r="CF144" s="230">
        <v>928125</v>
      </c>
      <c r="CG144" s="230">
        <v>900000</v>
      </c>
      <c r="CH144" s="230">
        <v>28125</v>
      </c>
      <c r="CI144" s="229">
        <v>3.1300000000000001E-2</v>
      </c>
      <c r="CJ144" s="230">
        <v>34375</v>
      </c>
      <c r="CK144" s="230">
        <v>31250</v>
      </c>
      <c r="CL144" s="230">
        <v>3125</v>
      </c>
      <c r="CM144" s="229">
        <v>0.1</v>
      </c>
      <c r="CN144" s="230">
        <v>8728125</v>
      </c>
      <c r="CO144" s="230">
        <v>8181250</v>
      </c>
      <c r="CP144" s="230">
        <v>546875</v>
      </c>
      <c r="CQ144" s="229">
        <v>6.6799999999999998E-2</v>
      </c>
      <c r="CR144" s="230">
        <v>4496875</v>
      </c>
      <c r="CS144" s="230">
        <v>4612500</v>
      </c>
      <c r="CT144" s="230">
        <v>-115625</v>
      </c>
      <c r="CU144" s="229">
        <v>-2.5100000000000001E-2</v>
      </c>
      <c r="CV144" s="230">
        <v>57068750</v>
      </c>
      <c r="CW144" s="230">
        <v>56765625</v>
      </c>
      <c r="CX144" s="230">
        <v>303125</v>
      </c>
      <c r="CY144" s="229">
        <v>5.3E-3</v>
      </c>
      <c r="CZ144" s="228">
        <v>36.119999999999997</v>
      </c>
      <c r="DA144" s="228">
        <v>34.85</v>
      </c>
      <c r="DB144" s="228">
        <v>1.27</v>
      </c>
      <c r="DC144" s="228">
        <v>1.27</v>
      </c>
      <c r="DD144" s="228">
        <v>36.03</v>
      </c>
      <c r="DE144" s="228">
        <v>35.93</v>
      </c>
      <c r="DF144" s="228">
        <v>0.09</v>
      </c>
      <c r="DG144" s="228">
        <v>0.1</v>
      </c>
      <c r="DH144" s="228">
        <v>35.4</v>
      </c>
      <c r="DI144" s="228">
        <v>34.53</v>
      </c>
      <c r="DJ144" s="228">
        <v>0.87</v>
      </c>
      <c r="DK144" s="228">
        <v>0.87</v>
      </c>
      <c r="DL144" s="228">
        <v>37.6</v>
      </c>
      <c r="DM144" s="228">
        <v>35.46</v>
      </c>
      <c r="DN144" s="228">
        <v>2.14</v>
      </c>
      <c r="DO144" s="228">
        <v>2.14</v>
      </c>
      <c r="DP144" s="228">
        <v>0.52</v>
      </c>
      <c r="DQ144" s="228">
        <v>0.56000000000000005</v>
      </c>
      <c r="DR144" s="228">
        <v>-0.04</v>
      </c>
      <c r="DS144" s="229">
        <v>-7.1400000000000005E-2</v>
      </c>
      <c r="DT144" s="228">
        <v>280</v>
      </c>
      <c r="DU144" s="228">
        <v>260</v>
      </c>
      <c r="DV144" s="228">
        <v>0.48</v>
      </c>
      <c r="DW144" s="228">
        <v>0.54</v>
      </c>
      <c r="DX144" s="228">
        <v>-0.06</v>
      </c>
      <c r="DY144" s="229">
        <v>-0.1111</v>
      </c>
      <c r="DZ144" s="229">
        <v>2.1999999999999999E-2</v>
      </c>
      <c r="EA144" s="230">
        <v>931250</v>
      </c>
      <c r="EB144" s="229">
        <v>3.0999999999999999E-3</v>
      </c>
      <c r="EC144" s="229">
        <v>2.1999999999999999E-2</v>
      </c>
      <c r="ED144" s="228">
        <v>1.1100000000000001</v>
      </c>
      <c r="EE144" s="229">
        <v>4.4999999999999997E-3</v>
      </c>
      <c r="EF144" s="230">
        <v>1633717</v>
      </c>
      <c r="EG144" s="230">
        <v>2941959</v>
      </c>
      <c r="EH144" s="229">
        <v>-0.44469999999999998</v>
      </c>
      <c r="EI144" s="229">
        <v>0.43359999999999999</v>
      </c>
      <c r="EJ144" s="231">
        <v>13593.25</v>
      </c>
      <c r="EK144" s="231">
        <v>6192.25</v>
      </c>
      <c r="EL144" s="231">
        <v>9505.61</v>
      </c>
      <c r="EM144" s="231">
        <v>1565</v>
      </c>
      <c r="EN144" s="231">
        <v>29291.11</v>
      </c>
      <c r="EO144" s="231">
        <v>30751.29</v>
      </c>
      <c r="EP144" s="231">
        <v>-1460.18</v>
      </c>
      <c r="EQ144" s="229">
        <v>-4.7500000000000001E-2</v>
      </c>
      <c r="ER144" s="231">
        <v>23834</v>
      </c>
      <c r="ES144" s="231">
        <v>11415</v>
      </c>
      <c r="ET144" s="231">
        <v>107797</v>
      </c>
      <c r="EU144" s="231">
        <v>205483040</v>
      </c>
      <c r="EV144" s="231">
        <v>143046</v>
      </c>
      <c r="EW144" s="231">
        <v>145360</v>
      </c>
      <c r="EX144" s="231">
        <v>-2314</v>
      </c>
      <c r="EY144" s="229">
        <v>-1.5900000000000001E-2</v>
      </c>
      <c r="EZ144" s="229">
        <v>0.2777</v>
      </c>
      <c r="FA144" s="227" t="s">
        <v>568</v>
      </c>
      <c r="FB144" s="161">
        <f t="shared" si="3"/>
        <v>0</v>
      </c>
    </row>
    <row r="145" spans="1:158" ht="17.25" thickBot="1" x14ac:dyDescent="0.3">
      <c r="A145" s="226">
        <v>46093</v>
      </c>
      <c r="B145" s="227" t="s">
        <v>206</v>
      </c>
      <c r="C145" s="227" t="s">
        <v>528</v>
      </c>
      <c r="D145" s="228">
        <v>350</v>
      </c>
      <c r="E145" s="231">
        <v>1456.6</v>
      </c>
      <c r="F145" s="231">
        <v>1474.3</v>
      </c>
      <c r="G145" s="228">
        <v>-17.7</v>
      </c>
      <c r="H145" s="229">
        <v>-1.2E-2</v>
      </c>
      <c r="I145" s="231">
        <v>1470.3</v>
      </c>
      <c r="J145" s="231">
        <v>1488.8</v>
      </c>
      <c r="K145" s="228">
        <v>-18.5</v>
      </c>
      <c r="L145" s="229">
        <v>-1.24E-2</v>
      </c>
      <c r="M145" s="231">
        <v>1456.6</v>
      </c>
      <c r="N145" s="231">
        <v>1474.3</v>
      </c>
      <c r="O145" s="228">
        <v>-17.7</v>
      </c>
      <c r="P145" s="229">
        <v>-1.2E-2</v>
      </c>
      <c r="Q145" s="231">
        <v>1435.9</v>
      </c>
      <c r="R145" s="231">
        <v>1455</v>
      </c>
      <c r="S145" s="228">
        <v>-19.100000000000001</v>
      </c>
      <c r="T145" s="229">
        <v>-1.3100000000000001E-2</v>
      </c>
      <c r="U145" s="231">
        <v>1426.2</v>
      </c>
      <c r="V145" s="231">
        <v>1451.9</v>
      </c>
      <c r="W145" s="228">
        <v>-25.7</v>
      </c>
      <c r="X145" s="229">
        <v>-1.77E-2</v>
      </c>
      <c r="Y145" s="228">
        <v>-13.7</v>
      </c>
      <c r="Z145" s="228">
        <v>-14.5</v>
      </c>
      <c r="AA145" s="228">
        <v>0.8</v>
      </c>
      <c r="AB145" s="229">
        <v>-9.2999999999999992E-3</v>
      </c>
      <c r="AC145" s="228">
        <v>-13.7</v>
      </c>
      <c r="AD145" s="228">
        <v>-14.5</v>
      </c>
      <c r="AE145" s="228">
        <v>0.8</v>
      </c>
      <c r="AF145" s="229">
        <v>-9.2999999999999992E-3</v>
      </c>
      <c r="AG145" s="228">
        <v>-34.4</v>
      </c>
      <c r="AH145" s="228">
        <v>-33.799999999999997</v>
      </c>
      <c r="AI145" s="228">
        <v>-0.6</v>
      </c>
      <c r="AJ145" s="229">
        <v>-2.3400000000000001E-2</v>
      </c>
      <c r="AK145" s="228">
        <v>-44.1</v>
      </c>
      <c r="AL145" s="228">
        <v>-36.9</v>
      </c>
      <c r="AM145" s="228">
        <v>-7.2</v>
      </c>
      <c r="AN145" s="229">
        <v>-0.03</v>
      </c>
      <c r="AO145" s="231">
        <v>1464.36</v>
      </c>
      <c r="AP145" s="231">
        <v>1442.94</v>
      </c>
      <c r="AQ145" s="228">
        <v>0</v>
      </c>
      <c r="AR145" s="230">
        <v>1112650</v>
      </c>
      <c r="AS145" s="230">
        <v>1205050</v>
      </c>
      <c r="AT145" s="230">
        <v>-92400</v>
      </c>
      <c r="AU145" s="229">
        <v>-7.6700000000000004E-2</v>
      </c>
      <c r="AV145" s="230">
        <v>1041250</v>
      </c>
      <c r="AW145" s="230">
        <v>991200</v>
      </c>
      <c r="AX145" s="230">
        <v>50050</v>
      </c>
      <c r="AY145" s="229">
        <v>5.0500000000000003E-2</v>
      </c>
      <c r="AZ145" s="230">
        <v>69650</v>
      </c>
      <c r="BA145" s="230">
        <v>212450</v>
      </c>
      <c r="BB145" s="230">
        <v>-142800</v>
      </c>
      <c r="BC145" s="229">
        <v>-0.67220000000000002</v>
      </c>
      <c r="BD145" s="230">
        <v>1750</v>
      </c>
      <c r="BE145" s="230">
        <v>1400</v>
      </c>
      <c r="BF145" s="228">
        <v>350</v>
      </c>
      <c r="BG145" s="229">
        <v>0.25</v>
      </c>
      <c r="BH145" s="230">
        <v>715050</v>
      </c>
      <c r="BI145" s="230">
        <v>949900</v>
      </c>
      <c r="BJ145" s="230">
        <v>-234850</v>
      </c>
      <c r="BK145" s="229">
        <v>-0.2472</v>
      </c>
      <c r="BL145" s="230">
        <v>467950</v>
      </c>
      <c r="BM145" s="230">
        <v>935900</v>
      </c>
      <c r="BN145" s="230">
        <v>-467950</v>
      </c>
      <c r="BO145" s="229">
        <v>-0.5</v>
      </c>
      <c r="BP145" s="230">
        <v>2295650</v>
      </c>
      <c r="BQ145" s="230">
        <v>3090850</v>
      </c>
      <c r="BR145" s="230">
        <v>-795200</v>
      </c>
      <c r="BS145" s="229">
        <v>-0.25729999999999997</v>
      </c>
      <c r="BT145" s="230">
        <v>486317</v>
      </c>
      <c r="BU145" s="230">
        <v>521052</v>
      </c>
      <c r="BV145" s="230">
        <v>-34735</v>
      </c>
      <c r="BW145" s="229">
        <v>-6.6699999999999995E-2</v>
      </c>
      <c r="BX145" s="230">
        <v>7263900</v>
      </c>
      <c r="BY145" s="230">
        <v>7198450</v>
      </c>
      <c r="BZ145" s="230">
        <v>65450</v>
      </c>
      <c r="CA145" s="229">
        <v>9.1000000000000004E-3</v>
      </c>
      <c r="CB145" s="230">
        <v>6931050</v>
      </c>
      <c r="CC145" s="230">
        <v>6882750</v>
      </c>
      <c r="CD145" s="230">
        <v>48300</v>
      </c>
      <c r="CE145" s="229">
        <v>7.0000000000000001E-3</v>
      </c>
      <c r="CF145" s="230">
        <v>313600</v>
      </c>
      <c r="CG145" s="230">
        <v>296800</v>
      </c>
      <c r="CH145" s="230">
        <v>16800</v>
      </c>
      <c r="CI145" s="229">
        <v>5.6599999999999998E-2</v>
      </c>
      <c r="CJ145" s="230">
        <v>19250</v>
      </c>
      <c r="CK145" s="230">
        <v>18900</v>
      </c>
      <c r="CL145" s="228">
        <v>350</v>
      </c>
      <c r="CM145" s="229">
        <v>1.8499999999999999E-2</v>
      </c>
      <c r="CN145" s="230">
        <v>1351350</v>
      </c>
      <c r="CO145" s="230">
        <v>1414350</v>
      </c>
      <c r="CP145" s="230">
        <v>-63000</v>
      </c>
      <c r="CQ145" s="229">
        <v>-4.4499999999999998E-2</v>
      </c>
      <c r="CR145" s="230">
        <v>1258250</v>
      </c>
      <c r="CS145" s="230">
        <v>1278550</v>
      </c>
      <c r="CT145" s="230">
        <v>-20300</v>
      </c>
      <c r="CU145" s="229">
        <v>-1.5900000000000001E-2</v>
      </c>
      <c r="CV145" s="230">
        <v>9873500</v>
      </c>
      <c r="CW145" s="230">
        <v>9891350</v>
      </c>
      <c r="CX145" s="230">
        <v>-17850</v>
      </c>
      <c r="CY145" s="229">
        <v>-1.8E-3</v>
      </c>
      <c r="CZ145" s="228">
        <v>32.47</v>
      </c>
      <c r="DA145" s="228">
        <v>33.57</v>
      </c>
      <c r="DB145" s="228">
        <v>-1.1000000000000001</v>
      </c>
      <c r="DC145" s="228">
        <v>-1.1000000000000001</v>
      </c>
      <c r="DD145" s="228">
        <v>36.200000000000003</v>
      </c>
      <c r="DE145" s="228">
        <v>36.25</v>
      </c>
      <c r="DF145" s="228">
        <v>-3.73</v>
      </c>
      <c r="DG145" s="228">
        <v>-0.05</v>
      </c>
      <c r="DH145" s="228">
        <v>31.74</v>
      </c>
      <c r="DI145" s="228">
        <v>32.549999999999997</v>
      </c>
      <c r="DJ145" s="228">
        <v>-0.81</v>
      </c>
      <c r="DK145" s="228">
        <v>-0.81</v>
      </c>
      <c r="DL145" s="228">
        <v>33.590000000000003</v>
      </c>
      <c r="DM145" s="228">
        <v>34.61</v>
      </c>
      <c r="DN145" s="228">
        <v>-1.02</v>
      </c>
      <c r="DO145" s="228">
        <v>-1.02</v>
      </c>
      <c r="DP145" s="228">
        <v>0.93</v>
      </c>
      <c r="DQ145" s="228">
        <v>0.9</v>
      </c>
      <c r="DR145" s="228">
        <v>0.03</v>
      </c>
      <c r="DS145" s="229">
        <v>3.3300000000000003E-2</v>
      </c>
      <c r="DT145" s="231">
        <v>1600</v>
      </c>
      <c r="DU145" s="231">
        <v>1400</v>
      </c>
      <c r="DV145" s="228">
        <v>0.65</v>
      </c>
      <c r="DW145" s="228">
        <v>0.99</v>
      </c>
      <c r="DX145" s="228">
        <v>-0.34</v>
      </c>
      <c r="DY145" s="229">
        <v>-0.34339999999999998</v>
      </c>
      <c r="DZ145" s="229">
        <v>4.58E-2</v>
      </c>
      <c r="EA145" s="230">
        <v>315700</v>
      </c>
      <c r="EB145" s="229">
        <v>-1.4200000000000001E-2</v>
      </c>
      <c r="EC145" s="229">
        <v>4.58E-2</v>
      </c>
      <c r="ED145" s="228">
        <v>-21.42</v>
      </c>
      <c r="EE145" s="229">
        <v>-1.46E-2</v>
      </c>
      <c r="EF145" s="230">
        <v>254683</v>
      </c>
      <c r="EG145" s="230">
        <v>282649</v>
      </c>
      <c r="EH145" s="229">
        <v>-9.8900000000000002E-2</v>
      </c>
      <c r="EI145" s="229">
        <v>0.52370000000000005</v>
      </c>
      <c r="EJ145" s="231">
        <v>11144.22</v>
      </c>
      <c r="EK145" s="231">
        <v>6890.04</v>
      </c>
      <c r="EL145" s="231">
        <v>16277.86</v>
      </c>
      <c r="EM145" s="231">
        <v>3049</v>
      </c>
      <c r="EN145" s="231">
        <v>34312.120000000003</v>
      </c>
      <c r="EO145" s="231">
        <v>46824.52</v>
      </c>
      <c r="EP145" s="231">
        <v>-12512.4</v>
      </c>
      <c r="EQ145" s="229">
        <v>-0.26719999999999999</v>
      </c>
      <c r="ER145" s="231">
        <v>21026</v>
      </c>
      <c r="ES145" s="231">
        <v>18069</v>
      </c>
      <c r="ET145" s="231">
        <v>105735</v>
      </c>
      <c r="EU145" s="231">
        <v>17614093</v>
      </c>
      <c r="EV145" s="231">
        <v>144830</v>
      </c>
      <c r="EW145" s="231">
        <v>146424</v>
      </c>
      <c r="EX145" s="231">
        <v>-1594</v>
      </c>
      <c r="EY145" s="229">
        <v>-1.09E-2</v>
      </c>
      <c r="EZ145" s="229">
        <v>0.5605</v>
      </c>
      <c r="FA145" s="227" t="s">
        <v>567</v>
      </c>
      <c r="FB145" s="161">
        <f t="shared" si="3"/>
        <v>0</v>
      </c>
    </row>
    <row r="146" spans="1:158" ht="17.25" thickBot="1" x14ac:dyDescent="0.3">
      <c r="A146" s="226">
        <v>46093</v>
      </c>
      <c r="B146" s="227" t="s">
        <v>221</v>
      </c>
      <c r="C146" s="227" t="s">
        <v>518</v>
      </c>
      <c r="D146" s="228">
        <v>75</v>
      </c>
      <c r="E146" s="231">
        <v>6679</v>
      </c>
      <c r="F146" s="231">
        <v>6769</v>
      </c>
      <c r="G146" s="228">
        <v>-90</v>
      </c>
      <c r="H146" s="229">
        <v>-1.3299999999999999E-2</v>
      </c>
      <c r="I146" s="231">
        <v>6694.5</v>
      </c>
      <c r="J146" s="231">
        <v>6792</v>
      </c>
      <c r="K146" s="228">
        <v>-97.5</v>
      </c>
      <c r="L146" s="229">
        <v>-1.44E-2</v>
      </c>
      <c r="M146" s="231">
        <v>6679</v>
      </c>
      <c r="N146" s="231">
        <v>6769</v>
      </c>
      <c r="O146" s="228">
        <v>-90</v>
      </c>
      <c r="P146" s="229">
        <v>-1.3299999999999999E-2</v>
      </c>
      <c r="Q146" s="231">
        <v>6668</v>
      </c>
      <c r="R146" s="231">
        <v>6754.5</v>
      </c>
      <c r="S146" s="228">
        <v>-86.5</v>
      </c>
      <c r="T146" s="229">
        <v>-1.2800000000000001E-2</v>
      </c>
      <c r="U146" s="231">
        <v>6651</v>
      </c>
      <c r="V146" s="231">
        <v>6770</v>
      </c>
      <c r="W146" s="228">
        <v>-119</v>
      </c>
      <c r="X146" s="229">
        <v>-1.7600000000000001E-2</v>
      </c>
      <c r="Y146" s="228">
        <v>-15.5</v>
      </c>
      <c r="Z146" s="228">
        <v>-23</v>
      </c>
      <c r="AA146" s="228">
        <v>7.5</v>
      </c>
      <c r="AB146" s="229">
        <v>-2.3E-3</v>
      </c>
      <c r="AC146" s="228">
        <v>-15.5</v>
      </c>
      <c r="AD146" s="228">
        <v>-23</v>
      </c>
      <c r="AE146" s="228">
        <v>7.5</v>
      </c>
      <c r="AF146" s="229">
        <v>-2.3E-3</v>
      </c>
      <c r="AG146" s="228">
        <v>-26.5</v>
      </c>
      <c r="AH146" s="228">
        <v>-37.5</v>
      </c>
      <c r="AI146" s="228">
        <v>11</v>
      </c>
      <c r="AJ146" s="229">
        <v>-4.0000000000000001E-3</v>
      </c>
      <c r="AK146" s="228">
        <v>-43.5</v>
      </c>
      <c r="AL146" s="228">
        <v>-22</v>
      </c>
      <c r="AM146" s="228">
        <v>-21.5</v>
      </c>
      <c r="AN146" s="229">
        <v>-6.4999999999999997E-3</v>
      </c>
      <c r="AO146" s="231">
        <v>6698.96</v>
      </c>
      <c r="AP146" s="231">
        <v>6690.59</v>
      </c>
      <c r="AQ146" s="228">
        <v>0</v>
      </c>
      <c r="AR146" s="230">
        <v>156450</v>
      </c>
      <c r="AS146" s="230">
        <v>338850</v>
      </c>
      <c r="AT146" s="230">
        <v>-182400</v>
      </c>
      <c r="AU146" s="229">
        <v>-0.5383</v>
      </c>
      <c r="AV146" s="230">
        <v>136200</v>
      </c>
      <c r="AW146" s="230">
        <v>308775</v>
      </c>
      <c r="AX146" s="230">
        <v>-172575</v>
      </c>
      <c r="AY146" s="229">
        <v>-0.55889999999999995</v>
      </c>
      <c r="AZ146" s="230">
        <v>18975</v>
      </c>
      <c r="BA146" s="230">
        <v>27450</v>
      </c>
      <c r="BB146" s="230">
        <v>-8475</v>
      </c>
      <c r="BC146" s="229">
        <v>-0.30869999999999997</v>
      </c>
      <c r="BD146" s="230">
        <v>1275</v>
      </c>
      <c r="BE146" s="230">
        <v>2625</v>
      </c>
      <c r="BF146" s="230">
        <v>-1350</v>
      </c>
      <c r="BG146" s="229">
        <v>-0.51429999999999998</v>
      </c>
      <c r="BH146" s="230">
        <v>557850</v>
      </c>
      <c r="BI146" s="230">
        <v>1704300</v>
      </c>
      <c r="BJ146" s="230">
        <v>-1146450</v>
      </c>
      <c r="BK146" s="229">
        <v>-0.67269999999999996</v>
      </c>
      <c r="BL146" s="230">
        <v>630825</v>
      </c>
      <c r="BM146" s="230">
        <v>643725</v>
      </c>
      <c r="BN146" s="230">
        <v>-12900</v>
      </c>
      <c r="BO146" s="229">
        <v>-0.02</v>
      </c>
      <c r="BP146" s="230">
        <v>1345125</v>
      </c>
      <c r="BQ146" s="230">
        <v>2686875</v>
      </c>
      <c r="BR146" s="230">
        <v>-1341750</v>
      </c>
      <c r="BS146" s="229">
        <v>-0.49940000000000001</v>
      </c>
      <c r="BT146" s="230">
        <v>84723</v>
      </c>
      <c r="BU146" s="230">
        <v>189636</v>
      </c>
      <c r="BV146" s="230">
        <v>-104913</v>
      </c>
      <c r="BW146" s="229">
        <v>-0.55320000000000003</v>
      </c>
      <c r="BX146" s="230">
        <v>1566900</v>
      </c>
      <c r="BY146" s="230">
        <v>1562625</v>
      </c>
      <c r="BZ146" s="230">
        <v>4275</v>
      </c>
      <c r="CA146" s="229">
        <v>2.7000000000000001E-3</v>
      </c>
      <c r="CB146" s="230">
        <v>1499475</v>
      </c>
      <c r="CC146" s="230">
        <v>1499925</v>
      </c>
      <c r="CD146" s="228">
        <v>-450</v>
      </c>
      <c r="CE146" s="229">
        <v>-2.9999999999999997E-4</v>
      </c>
      <c r="CF146" s="230">
        <v>60675</v>
      </c>
      <c r="CG146" s="230">
        <v>56250</v>
      </c>
      <c r="CH146" s="230">
        <v>4425</v>
      </c>
      <c r="CI146" s="229">
        <v>7.8700000000000006E-2</v>
      </c>
      <c r="CJ146" s="230">
        <v>6750</v>
      </c>
      <c r="CK146" s="230">
        <v>6450</v>
      </c>
      <c r="CL146" s="228">
        <v>300</v>
      </c>
      <c r="CM146" s="229">
        <v>4.65E-2</v>
      </c>
      <c r="CN146" s="230">
        <v>549750</v>
      </c>
      <c r="CO146" s="230">
        <v>583950</v>
      </c>
      <c r="CP146" s="230">
        <v>-34200</v>
      </c>
      <c r="CQ146" s="229">
        <v>-5.8599999999999999E-2</v>
      </c>
      <c r="CR146" s="230">
        <v>338700</v>
      </c>
      <c r="CS146" s="230">
        <v>318975</v>
      </c>
      <c r="CT146" s="230">
        <v>19725</v>
      </c>
      <c r="CU146" s="229">
        <v>6.1800000000000001E-2</v>
      </c>
      <c r="CV146" s="230">
        <v>2455350</v>
      </c>
      <c r="CW146" s="230">
        <v>2465550</v>
      </c>
      <c r="CX146" s="230">
        <v>-10200</v>
      </c>
      <c r="CY146" s="229">
        <v>-4.1000000000000003E-3</v>
      </c>
      <c r="CZ146" s="228">
        <v>45.15</v>
      </c>
      <c r="DA146" s="228">
        <v>41.75</v>
      </c>
      <c r="DB146" s="228">
        <v>3.4</v>
      </c>
      <c r="DC146" s="228">
        <v>3.4</v>
      </c>
      <c r="DD146" s="228">
        <v>38.65</v>
      </c>
      <c r="DE146" s="228">
        <v>38.700000000000003</v>
      </c>
      <c r="DF146" s="228">
        <v>6.5</v>
      </c>
      <c r="DG146" s="228">
        <v>-0.05</v>
      </c>
      <c r="DH146" s="228">
        <v>40.11</v>
      </c>
      <c r="DI146" s="228">
        <v>41.01</v>
      </c>
      <c r="DJ146" s="228">
        <v>-0.9</v>
      </c>
      <c r="DK146" s="228">
        <v>-0.9</v>
      </c>
      <c r="DL146" s="228">
        <v>49.6</v>
      </c>
      <c r="DM146" s="228">
        <v>43.69</v>
      </c>
      <c r="DN146" s="228">
        <v>5.91</v>
      </c>
      <c r="DO146" s="228">
        <v>5.91</v>
      </c>
      <c r="DP146" s="228">
        <v>0.62</v>
      </c>
      <c r="DQ146" s="228">
        <v>0.55000000000000004</v>
      </c>
      <c r="DR146" s="228">
        <v>7.0000000000000007E-2</v>
      </c>
      <c r="DS146" s="229">
        <v>0.1273</v>
      </c>
      <c r="DT146" s="231">
        <v>7000</v>
      </c>
      <c r="DU146" s="231">
        <v>6500</v>
      </c>
      <c r="DV146" s="228">
        <v>1.1299999999999999</v>
      </c>
      <c r="DW146" s="228">
        <v>0.38</v>
      </c>
      <c r="DX146" s="228">
        <v>0.75</v>
      </c>
      <c r="DY146" s="229">
        <v>1.9737</v>
      </c>
      <c r="DZ146" s="229">
        <v>4.2999999999999997E-2</v>
      </c>
      <c r="EA146" s="230">
        <v>62700</v>
      </c>
      <c r="EB146" s="229">
        <v>-1.6000000000000001E-3</v>
      </c>
      <c r="EC146" s="229">
        <v>4.2999999999999997E-2</v>
      </c>
      <c r="ED146" s="228">
        <v>-8.3699999999999992</v>
      </c>
      <c r="EE146" s="229">
        <v>-1.1999999999999999E-3</v>
      </c>
      <c r="EF146" s="230">
        <v>26682</v>
      </c>
      <c r="EG146" s="230">
        <v>41681</v>
      </c>
      <c r="EH146" s="229">
        <v>-0.3599</v>
      </c>
      <c r="EI146" s="229">
        <v>0.31490000000000001</v>
      </c>
      <c r="EJ146" s="231">
        <v>41279.599999999999</v>
      </c>
      <c r="EK146" s="231">
        <v>37141.5</v>
      </c>
      <c r="EL146" s="231">
        <v>10478.69</v>
      </c>
      <c r="EM146" s="231">
        <v>2977</v>
      </c>
      <c r="EN146" s="231">
        <v>88899.79</v>
      </c>
      <c r="EO146" s="231">
        <v>191589.54</v>
      </c>
      <c r="EP146" s="231">
        <v>-102689.75</v>
      </c>
      <c r="EQ146" s="229">
        <v>-0.53600000000000003</v>
      </c>
      <c r="ER146" s="231">
        <v>39518</v>
      </c>
      <c r="ES146" s="231">
        <v>22320</v>
      </c>
      <c r="ET146" s="231">
        <v>104645</v>
      </c>
      <c r="EU146" s="231">
        <v>3582756</v>
      </c>
      <c r="EV146" s="231">
        <v>166483</v>
      </c>
      <c r="EW146" s="231">
        <v>168888</v>
      </c>
      <c r="EX146" s="231">
        <v>-2405</v>
      </c>
      <c r="EY146" s="229">
        <v>-1.4200000000000001E-2</v>
      </c>
      <c r="EZ146" s="229">
        <v>0.68530000000000002</v>
      </c>
      <c r="FA146" s="227" t="s">
        <v>567</v>
      </c>
      <c r="FB146" s="161">
        <f t="shared" si="3"/>
        <v>0</v>
      </c>
    </row>
    <row r="147" spans="1:158" ht="17.25" thickBot="1" x14ac:dyDescent="0.3">
      <c r="A147" s="226">
        <v>46093</v>
      </c>
      <c r="B147" s="227" t="s">
        <v>193</v>
      </c>
      <c r="C147" s="227" t="s">
        <v>587</v>
      </c>
      <c r="D147" s="228">
        <v>1400</v>
      </c>
      <c r="E147" s="228">
        <v>478.1</v>
      </c>
      <c r="F147" s="228">
        <v>481.1</v>
      </c>
      <c r="G147" s="228">
        <v>-3</v>
      </c>
      <c r="H147" s="229">
        <v>-6.1999999999999998E-3</v>
      </c>
      <c r="I147" s="228">
        <v>479.3</v>
      </c>
      <c r="J147" s="228">
        <v>482.7</v>
      </c>
      <c r="K147" s="228">
        <v>-3.4</v>
      </c>
      <c r="L147" s="229">
        <v>-7.0000000000000001E-3</v>
      </c>
      <c r="M147" s="228">
        <v>478.1</v>
      </c>
      <c r="N147" s="228">
        <v>481.1</v>
      </c>
      <c r="O147" s="228">
        <v>-3</v>
      </c>
      <c r="P147" s="229">
        <v>-6.1999999999999998E-3</v>
      </c>
      <c r="Q147" s="228">
        <v>477.5</v>
      </c>
      <c r="R147" s="228">
        <v>479.5</v>
      </c>
      <c r="S147" s="228">
        <v>-2</v>
      </c>
      <c r="T147" s="229">
        <v>-4.1999999999999997E-3</v>
      </c>
      <c r="U147" s="228">
        <v>478.6</v>
      </c>
      <c r="V147" s="228">
        <v>480.2</v>
      </c>
      <c r="W147" s="228">
        <v>-1.6</v>
      </c>
      <c r="X147" s="229">
        <v>-3.3E-3</v>
      </c>
      <c r="Y147" s="228">
        <v>-1.2</v>
      </c>
      <c r="Z147" s="228">
        <v>-1.6</v>
      </c>
      <c r="AA147" s="228">
        <v>0.4</v>
      </c>
      <c r="AB147" s="229">
        <v>-2.5000000000000001E-3</v>
      </c>
      <c r="AC147" s="228">
        <v>-1.2</v>
      </c>
      <c r="AD147" s="228">
        <v>-1.6</v>
      </c>
      <c r="AE147" s="228">
        <v>0.4</v>
      </c>
      <c r="AF147" s="229">
        <v>-2.5000000000000001E-3</v>
      </c>
      <c r="AG147" s="228">
        <v>-1.8</v>
      </c>
      <c r="AH147" s="228">
        <v>-3.2</v>
      </c>
      <c r="AI147" s="228">
        <v>1.4</v>
      </c>
      <c r="AJ147" s="229">
        <v>-3.8E-3</v>
      </c>
      <c r="AK147" s="228">
        <v>-0.7</v>
      </c>
      <c r="AL147" s="228">
        <v>-2.5</v>
      </c>
      <c r="AM147" s="228">
        <v>1.8</v>
      </c>
      <c r="AN147" s="229">
        <v>-1.5E-3</v>
      </c>
      <c r="AO147" s="228">
        <v>480.89</v>
      </c>
      <c r="AP147" s="228">
        <v>479.01</v>
      </c>
      <c r="AQ147" s="228">
        <v>0</v>
      </c>
      <c r="AR147" s="230">
        <v>6906200</v>
      </c>
      <c r="AS147" s="230">
        <v>5906600</v>
      </c>
      <c r="AT147" s="230">
        <v>999600</v>
      </c>
      <c r="AU147" s="229">
        <v>0.16919999999999999</v>
      </c>
      <c r="AV147" s="230">
        <v>6052200</v>
      </c>
      <c r="AW147" s="230">
        <v>5301800</v>
      </c>
      <c r="AX147" s="230">
        <v>750400</v>
      </c>
      <c r="AY147" s="229">
        <v>0.14149999999999999</v>
      </c>
      <c r="AZ147" s="230">
        <v>796600</v>
      </c>
      <c r="BA147" s="230">
        <v>539000</v>
      </c>
      <c r="BB147" s="230">
        <v>257600</v>
      </c>
      <c r="BC147" s="229">
        <v>0.47789999999999999</v>
      </c>
      <c r="BD147" s="230">
        <v>57400</v>
      </c>
      <c r="BE147" s="230">
        <v>65800</v>
      </c>
      <c r="BF147" s="230">
        <v>-8400</v>
      </c>
      <c r="BG147" s="229">
        <v>-0.12770000000000001</v>
      </c>
      <c r="BH147" s="230">
        <v>28371000</v>
      </c>
      <c r="BI147" s="230">
        <v>30434600</v>
      </c>
      <c r="BJ147" s="230">
        <v>-2063600</v>
      </c>
      <c r="BK147" s="229">
        <v>-6.7799999999999999E-2</v>
      </c>
      <c r="BL147" s="230">
        <v>8254400</v>
      </c>
      <c r="BM147" s="230">
        <v>10773000</v>
      </c>
      <c r="BN147" s="230">
        <v>-2518600</v>
      </c>
      <c r="BO147" s="229">
        <v>-0.23380000000000001</v>
      </c>
      <c r="BP147" s="230">
        <v>43531600</v>
      </c>
      <c r="BQ147" s="230">
        <v>47114200</v>
      </c>
      <c r="BR147" s="230">
        <v>-3582600</v>
      </c>
      <c r="BS147" s="229">
        <v>-7.5999999999999998E-2</v>
      </c>
      <c r="BT147" s="230">
        <v>6103973</v>
      </c>
      <c r="BU147" s="230">
        <v>7022182</v>
      </c>
      <c r="BV147" s="230">
        <v>-918209</v>
      </c>
      <c r="BW147" s="229">
        <v>-0.1308</v>
      </c>
      <c r="BX147" s="230">
        <v>24470600</v>
      </c>
      <c r="BY147" s="230">
        <v>23727200</v>
      </c>
      <c r="BZ147" s="230">
        <v>743400</v>
      </c>
      <c r="CA147" s="229">
        <v>3.1300000000000001E-2</v>
      </c>
      <c r="CB147" s="230">
        <v>23077600</v>
      </c>
      <c r="CC147" s="230">
        <v>22524600</v>
      </c>
      <c r="CD147" s="230">
        <v>553000</v>
      </c>
      <c r="CE147" s="229">
        <v>2.46E-2</v>
      </c>
      <c r="CF147" s="230">
        <v>1297800</v>
      </c>
      <c r="CG147" s="230">
        <v>1106000</v>
      </c>
      <c r="CH147" s="230">
        <v>191800</v>
      </c>
      <c r="CI147" s="229">
        <v>0.1734</v>
      </c>
      <c r="CJ147" s="230">
        <v>95200</v>
      </c>
      <c r="CK147" s="230">
        <v>96600</v>
      </c>
      <c r="CL147" s="230">
        <v>-1400</v>
      </c>
      <c r="CM147" s="229">
        <v>-1.4500000000000001E-2</v>
      </c>
      <c r="CN147" s="230">
        <v>19735800</v>
      </c>
      <c r="CO147" s="230">
        <v>20825000</v>
      </c>
      <c r="CP147" s="230">
        <v>-1089200</v>
      </c>
      <c r="CQ147" s="229">
        <v>-5.2299999999999999E-2</v>
      </c>
      <c r="CR147" s="230">
        <v>10838800</v>
      </c>
      <c r="CS147" s="230">
        <v>10866800</v>
      </c>
      <c r="CT147" s="230">
        <v>-28000</v>
      </c>
      <c r="CU147" s="229">
        <v>-2.5999999999999999E-3</v>
      </c>
      <c r="CV147" s="230">
        <v>55045200</v>
      </c>
      <c r="CW147" s="230">
        <v>55419000</v>
      </c>
      <c r="CX147" s="230">
        <v>-373800</v>
      </c>
      <c r="CY147" s="229">
        <v>-6.7000000000000002E-3</v>
      </c>
      <c r="CZ147" s="228">
        <v>41.71</v>
      </c>
      <c r="DA147" s="228">
        <v>43.49</v>
      </c>
      <c r="DB147" s="228">
        <v>-1.78</v>
      </c>
      <c r="DC147" s="228">
        <v>-1.78</v>
      </c>
      <c r="DD147" s="228">
        <v>42.09</v>
      </c>
      <c r="DE147" s="228">
        <v>42.19</v>
      </c>
      <c r="DF147" s="228">
        <v>-0.38</v>
      </c>
      <c r="DG147" s="228">
        <v>-0.1</v>
      </c>
      <c r="DH147" s="228">
        <v>41.82</v>
      </c>
      <c r="DI147" s="228">
        <v>43.71</v>
      </c>
      <c r="DJ147" s="228">
        <v>-1.89</v>
      </c>
      <c r="DK147" s="228">
        <v>-1.89</v>
      </c>
      <c r="DL147" s="228">
        <v>41.35</v>
      </c>
      <c r="DM147" s="228">
        <v>42.84</v>
      </c>
      <c r="DN147" s="228">
        <v>-1.49</v>
      </c>
      <c r="DO147" s="228">
        <v>-1.49</v>
      </c>
      <c r="DP147" s="228">
        <v>0.55000000000000004</v>
      </c>
      <c r="DQ147" s="228">
        <v>0.52</v>
      </c>
      <c r="DR147" s="228">
        <v>0.03</v>
      </c>
      <c r="DS147" s="229">
        <v>5.7700000000000001E-2</v>
      </c>
      <c r="DT147" s="228">
        <v>500</v>
      </c>
      <c r="DU147" s="228">
        <v>480</v>
      </c>
      <c r="DV147" s="228">
        <v>0.28999999999999998</v>
      </c>
      <c r="DW147" s="228">
        <v>0.35</v>
      </c>
      <c r="DX147" s="228">
        <v>-0.06</v>
      </c>
      <c r="DY147" s="229">
        <v>-0.1714</v>
      </c>
      <c r="DZ147" s="229">
        <v>5.6899999999999999E-2</v>
      </c>
      <c r="EA147" s="230">
        <v>1202600</v>
      </c>
      <c r="EB147" s="229">
        <v>-1.2999999999999999E-3</v>
      </c>
      <c r="EC147" s="229">
        <v>5.6899999999999999E-2</v>
      </c>
      <c r="ED147" s="228">
        <v>-1.88</v>
      </c>
      <c r="EE147" s="229">
        <v>-3.8999999999999998E-3</v>
      </c>
      <c r="EF147" s="230">
        <v>1411443</v>
      </c>
      <c r="EG147" s="230">
        <v>3014764</v>
      </c>
      <c r="EH147" s="229">
        <v>-0.53180000000000005</v>
      </c>
      <c r="EI147" s="229">
        <v>0.23119999999999999</v>
      </c>
      <c r="EJ147" s="231">
        <v>146162.56</v>
      </c>
      <c r="EK147" s="231">
        <v>38869.07</v>
      </c>
      <c r="EL147" s="231">
        <v>33196.480000000003</v>
      </c>
      <c r="EM147" s="231">
        <v>6059</v>
      </c>
      <c r="EN147" s="231">
        <v>218228.11</v>
      </c>
      <c r="EO147" s="231">
        <v>235412.44</v>
      </c>
      <c r="EP147" s="231">
        <v>-17184.330000000002</v>
      </c>
      <c r="EQ147" s="229">
        <v>-7.2999999999999995E-2</v>
      </c>
      <c r="ER147" s="231">
        <v>101539</v>
      </c>
      <c r="ES147" s="231">
        <v>50480</v>
      </c>
      <c r="ET147" s="231">
        <v>116987</v>
      </c>
      <c r="EU147" s="231">
        <v>102006452</v>
      </c>
      <c r="EV147" s="231">
        <v>269006</v>
      </c>
      <c r="EW147" s="231">
        <v>271827</v>
      </c>
      <c r="EX147" s="231">
        <v>-2821</v>
      </c>
      <c r="EY147" s="229">
        <v>-1.04E-2</v>
      </c>
      <c r="EZ147" s="229">
        <v>0.53959999999999997</v>
      </c>
      <c r="FA147" s="227" t="s">
        <v>567</v>
      </c>
      <c r="FB147" s="161">
        <f t="shared" si="3"/>
        <v>0</v>
      </c>
    </row>
    <row r="148" spans="1:158" ht="17.25" thickBot="1" x14ac:dyDescent="0.3">
      <c r="A148" s="226">
        <v>46093</v>
      </c>
      <c r="B148" s="227" t="s">
        <v>193</v>
      </c>
      <c r="C148" s="227" t="s">
        <v>269</v>
      </c>
      <c r="D148" s="228">
        <v>2250</v>
      </c>
      <c r="E148" s="228">
        <v>271.5</v>
      </c>
      <c r="F148" s="228">
        <v>270.95</v>
      </c>
      <c r="G148" s="228">
        <v>0.55000000000000004</v>
      </c>
      <c r="H148" s="229">
        <v>2E-3</v>
      </c>
      <c r="I148" s="228">
        <v>270.55</v>
      </c>
      <c r="J148" s="228">
        <v>270.75</v>
      </c>
      <c r="K148" s="228">
        <v>-0.2</v>
      </c>
      <c r="L148" s="229">
        <v>-6.9999999999999999E-4</v>
      </c>
      <c r="M148" s="228">
        <v>271.5</v>
      </c>
      <c r="N148" s="228">
        <v>270.95</v>
      </c>
      <c r="O148" s="228">
        <v>0.55000000000000004</v>
      </c>
      <c r="P148" s="229">
        <v>2E-3</v>
      </c>
      <c r="Q148" s="228">
        <v>273.14999999999998</v>
      </c>
      <c r="R148" s="228">
        <v>272.64999999999998</v>
      </c>
      <c r="S148" s="228">
        <v>0.5</v>
      </c>
      <c r="T148" s="229">
        <v>1.8E-3</v>
      </c>
      <c r="U148" s="228">
        <v>274.35000000000002</v>
      </c>
      <c r="V148" s="228">
        <v>273.85000000000002</v>
      </c>
      <c r="W148" s="228">
        <v>0.5</v>
      </c>
      <c r="X148" s="229">
        <v>1.8E-3</v>
      </c>
      <c r="Y148" s="228">
        <v>0.95</v>
      </c>
      <c r="Z148" s="228">
        <v>0.2</v>
      </c>
      <c r="AA148" s="228">
        <v>0.75</v>
      </c>
      <c r="AB148" s="229">
        <v>3.5000000000000001E-3</v>
      </c>
      <c r="AC148" s="228">
        <v>0.95</v>
      </c>
      <c r="AD148" s="228">
        <v>0.2</v>
      </c>
      <c r="AE148" s="228">
        <v>0.75</v>
      </c>
      <c r="AF148" s="229">
        <v>3.5000000000000001E-3</v>
      </c>
      <c r="AG148" s="228">
        <v>2.6</v>
      </c>
      <c r="AH148" s="228">
        <v>1.9</v>
      </c>
      <c r="AI148" s="228">
        <v>0.7</v>
      </c>
      <c r="AJ148" s="229">
        <v>9.5999999999999992E-3</v>
      </c>
      <c r="AK148" s="228">
        <v>3.8</v>
      </c>
      <c r="AL148" s="228">
        <v>3.1</v>
      </c>
      <c r="AM148" s="228">
        <v>0.7</v>
      </c>
      <c r="AN148" s="229">
        <v>1.4E-2</v>
      </c>
      <c r="AO148" s="228">
        <v>271.64999999999998</v>
      </c>
      <c r="AP148" s="228">
        <v>273.14</v>
      </c>
      <c r="AQ148" s="228">
        <v>0</v>
      </c>
      <c r="AR148" s="230">
        <v>21159000</v>
      </c>
      <c r="AS148" s="230">
        <v>14501250</v>
      </c>
      <c r="AT148" s="230">
        <v>6657750</v>
      </c>
      <c r="AU148" s="229">
        <v>0.45910000000000001</v>
      </c>
      <c r="AV148" s="230">
        <v>19408500</v>
      </c>
      <c r="AW148" s="230">
        <v>13446000</v>
      </c>
      <c r="AX148" s="230">
        <v>5962500</v>
      </c>
      <c r="AY148" s="229">
        <v>0.44340000000000002</v>
      </c>
      <c r="AZ148" s="230">
        <v>1669500</v>
      </c>
      <c r="BA148" s="230">
        <v>951750</v>
      </c>
      <c r="BB148" s="230">
        <v>717750</v>
      </c>
      <c r="BC148" s="229">
        <v>0.75409999999999999</v>
      </c>
      <c r="BD148" s="230">
        <v>81000</v>
      </c>
      <c r="BE148" s="230">
        <v>103500</v>
      </c>
      <c r="BF148" s="230">
        <v>-22500</v>
      </c>
      <c r="BG148" s="229">
        <v>-0.21740000000000001</v>
      </c>
      <c r="BH148" s="230">
        <v>67380750</v>
      </c>
      <c r="BI148" s="230">
        <v>63974250</v>
      </c>
      <c r="BJ148" s="230">
        <v>3406500</v>
      </c>
      <c r="BK148" s="229">
        <v>5.3199999999999997E-2</v>
      </c>
      <c r="BL148" s="230">
        <v>22837500</v>
      </c>
      <c r="BM148" s="230">
        <v>19815750</v>
      </c>
      <c r="BN148" s="230">
        <v>3021750</v>
      </c>
      <c r="BO148" s="229">
        <v>0.1525</v>
      </c>
      <c r="BP148" s="230">
        <v>111377250</v>
      </c>
      <c r="BQ148" s="230">
        <v>98291250</v>
      </c>
      <c r="BR148" s="230">
        <v>13086000</v>
      </c>
      <c r="BS148" s="229">
        <v>0.1331</v>
      </c>
      <c r="BT148" s="230">
        <v>20704080</v>
      </c>
      <c r="BU148" s="230">
        <v>17259909</v>
      </c>
      <c r="BV148" s="230">
        <v>3444171</v>
      </c>
      <c r="BW148" s="229">
        <v>0.19950000000000001</v>
      </c>
      <c r="BX148" s="230">
        <v>125354250</v>
      </c>
      <c r="BY148" s="230">
        <v>125568000</v>
      </c>
      <c r="BZ148" s="230">
        <v>-213750</v>
      </c>
      <c r="CA148" s="229">
        <v>-1.6999999999999999E-3</v>
      </c>
      <c r="CB148" s="230">
        <v>121243500</v>
      </c>
      <c r="CC148" s="230">
        <v>121666500</v>
      </c>
      <c r="CD148" s="230">
        <v>-423000</v>
      </c>
      <c r="CE148" s="229">
        <v>-3.5000000000000001E-3</v>
      </c>
      <c r="CF148" s="230">
        <v>3674250</v>
      </c>
      <c r="CG148" s="230">
        <v>3451500</v>
      </c>
      <c r="CH148" s="230">
        <v>222750</v>
      </c>
      <c r="CI148" s="229">
        <v>6.4500000000000002E-2</v>
      </c>
      <c r="CJ148" s="230">
        <v>436500</v>
      </c>
      <c r="CK148" s="230">
        <v>450000</v>
      </c>
      <c r="CL148" s="230">
        <v>-13500</v>
      </c>
      <c r="CM148" s="229">
        <v>-0.03</v>
      </c>
      <c r="CN148" s="230">
        <v>91172250</v>
      </c>
      <c r="CO148" s="230">
        <v>90164250</v>
      </c>
      <c r="CP148" s="230">
        <v>1008000</v>
      </c>
      <c r="CQ148" s="229">
        <v>1.12E-2</v>
      </c>
      <c r="CR148" s="230">
        <v>41656500</v>
      </c>
      <c r="CS148" s="230">
        <v>39264750</v>
      </c>
      <c r="CT148" s="230">
        <v>2391750</v>
      </c>
      <c r="CU148" s="229">
        <v>6.0900000000000003E-2</v>
      </c>
      <c r="CV148" s="230">
        <v>258183000</v>
      </c>
      <c r="CW148" s="230">
        <v>254997000</v>
      </c>
      <c r="CX148" s="230">
        <v>3186000</v>
      </c>
      <c r="CY148" s="229">
        <v>1.2500000000000001E-2</v>
      </c>
      <c r="CZ148" s="228">
        <v>34.67</v>
      </c>
      <c r="DA148" s="228">
        <v>37.08</v>
      </c>
      <c r="DB148" s="228">
        <v>-2.41</v>
      </c>
      <c r="DC148" s="228">
        <v>-2.41</v>
      </c>
      <c r="DD148" s="228">
        <v>32.130000000000003</v>
      </c>
      <c r="DE148" s="228">
        <v>32.21</v>
      </c>
      <c r="DF148" s="228">
        <v>2.54</v>
      </c>
      <c r="DG148" s="228">
        <v>-0.08</v>
      </c>
      <c r="DH148" s="228">
        <v>34.81</v>
      </c>
      <c r="DI148" s="228">
        <v>37.51</v>
      </c>
      <c r="DJ148" s="228">
        <v>-2.7</v>
      </c>
      <c r="DK148" s="228">
        <v>-2.7</v>
      </c>
      <c r="DL148" s="228">
        <v>34.26</v>
      </c>
      <c r="DM148" s="228">
        <v>35.700000000000003</v>
      </c>
      <c r="DN148" s="228">
        <v>-1.44</v>
      </c>
      <c r="DO148" s="228">
        <v>-1.44</v>
      </c>
      <c r="DP148" s="228">
        <v>0.46</v>
      </c>
      <c r="DQ148" s="228">
        <v>0.44</v>
      </c>
      <c r="DR148" s="228">
        <v>0.02</v>
      </c>
      <c r="DS148" s="229">
        <v>4.5499999999999999E-2</v>
      </c>
      <c r="DT148" s="228">
        <v>300</v>
      </c>
      <c r="DU148" s="228">
        <v>265</v>
      </c>
      <c r="DV148" s="228">
        <v>0.34</v>
      </c>
      <c r="DW148" s="228">
        <v>0.31</v>
      </c>
      <c r="DX148" s="228">
        <v>0.03</v>
      </c>
      <c r="DY148" s="229">
        <v>9.6799999999999997E-2</v>
      </c>
      <c r="DZ148" s="229">
        <v>3.2800000000000003E-2</v>
      </c>
      <c r="EA148" s="230">
        <v>3901500</v>
      </c>
      <c r="EB148" s="229">
        <v>6.1000000000000004E-3</v>
      </c>
      <c r="EC148" s="229">
        <v>3.2800000000000003E-2</v>
      </c>
      <c r="ED148" s="228">
        <v>1.49</v>
      </c>
      <c r="EE148" s="229">
        <v>5.4999999999999997E-3</v>
      </c>
      <c r="EF148" s="230">
        <v>9518556</v>
      </c>
      <c r="EG148" s="230">
        <v>9415324</v>
      </c>
      <c r="EH148" s="229">
        <v>1.0999999999999999E-2</v>
      </c>
      <c r="EI148" s="229">
        <v>0.4597</v>
      </c>
      <c r="EJ148" s="231">
        <v>192855.26</v>
      </c>
      <c r="EK148" s="231">
        <v>62030.33</v>
      </c>
      <c r="EL148" s="231">
        <v>57506.47</v>
      </c>
      <c r="EM148" s="231">
        <v>16825</v>
      </c>
      <c r="EN148" s="231">
        <v>312392.06</v>
      </c>
      <c r="EO148" s="231">
        <v>277358.7</v>
      </c>
      <c r="EP148" s="231">
        <v>35033.360000000001</v>
      </c>
      <c r="EQ148" s="229">
        <v>0.1263</v>
      </c>
      <c r="ER148" s="231">
        <v>261509</v>
      </c>
      <c r="ES148" s="231">
        <v>110696</v>
      </c>
      <c r="ET148" s="231">
        <v>340410</v>
      </c>
      <c r="EU148" s="231">
        <v>517141211</v>
      </c>
      <c r="EV148" s="231">
        <v>712615</v>
      </c>
      <c r="EW148" s="231">
        <v>703177</v>
      </c>
      <c r="EX148" s="231">
        <v>9438</v>
      </c>
      <c r="EY148" s="229">
        <v>1.34E-2</v>
      </c>
      <c r="EZ148" s="229">
        <v>0.49930000000000002</v>
      </c>
      <c r="FA148" s="227" t="s">
        <v>556</v>
      </c>
      <c r="FB148" s="161">
        <f t="shared" si="3"/>
        <v>0</v>
      </c>
    </row>
    <row r="149" spans="1:158" ht="17.25" thickBot="1" x14ac:dyDescent="0.3">
      <c r="A149" s="226">
        <v>46093</v>
      </c>
      <c r="B149" s="227" t="s">
        <v>197</v>
      </c>
      <c r="C149" s="227" t="s">
        <v>270</v>
      </c>
      <c r="D149" s="228">
        <v>15</v>
      </c>
      <c r="E149" s="231">
        <v>30915</v>
      </c>
      <c r="F149" s="231">
        <v>31750</v>
      </c>
      <c r="G149" s="228">
        <v>-835</v>
      </c>
      <c r="H149" s="229">
        <v>-2.63E-2</v>
      </c>
      <c r="I149" s="231">
        <v>30860</v>
      </c>
      <c r="J149" s="231">
        <v>31595</v>
      </c>
      <c r="K149" s="228">
        <v>-735</v>
      </c>
      <c r="L149" s="229">
        <v>-2.3300000000000001E-2</v>
      </c>
      <c r="M149" s="231">
        <v>30915</v>
      </c>
      <c r="N149" s="231">
        <v>31750</v>
      </c>
      <c r="O149" s="228">
        <v>-835</v>
      </c>
      <c r="P149" s="229">
        <v>-2.63E-2</v>
      </c>
      <c r="Q149" s="231">
        <v>30825</v>
      </c>
      <c r="R149" s="231">
        <v>31575</v>
      </c>
      <c r="S149" s="228">
        <v>-750</v>
      </c>
      <c r="T149" s="229">
        <v>-2.3800000000000002E-2</v>
      </c>
      <c r="U149" s="231">
        <v>30770</v>
      </c>
      <c r="V149" s="231">
        <v>31750</v>
      </c>
      <c r="W149" s="228">
        <v>-980</v>
      </c>
      <c r="X149" s="229">
        <v>-3.09E-2</v>
      </c>
      <c r="Y149" s="228">
        <v>55</v>
      </c>
      <c r="Z149" s="228">
        <v>155</v>
      </c>
      <c r="AA149" s="228">
        <v>-100</v>
      </c>
      <c r="AB149" s="229">
        <v>1.8E-3</v>
      </c>
      <c r="AC149" s="228">
        <v>55</v>
      </c>
      <c r="AD149" s="228">
        <v>155</v>
      </c>
      <c r="AE149" s="228">
        <v>-100</v>
      </c>
      <c r="AF149" s="229">
        <v>1.8E-3</v>
      </c>
      <c r="AG149" s="228">
        <v>-35</v>
      </c>
      <c r="AH149" s="228">
        <v>-20</v>
      </c>
      <c r="AI149" s="228">
        <v>-15</v>
      </c>
      <c r="AJ149" s="229">
        <v>-1.1000000000000001E-3</v>
      </c>
      <c r="AK149" s="228">
        <v>-90</v>
      </c>
      <c r="AL149" s="228">
        <v>155</v>
      </c>
      <c r="AM149" s="228">
        <v>-245</v>
      </c>
      <c r="AN149" s="229">
        <v>-2.8999999999999998E-3</v>
      </c>
      <c r="AO149" s="231">
        <v>31052.799999999999</v>
      </c>
      <c r="AP149" s="231">
        <v>30952.33</v>
      </c>
      <c r="AQ149" s="228">
        <v>0</v>
      </c>
      <c r="AR149" s="230">
        <v>37440</v>
      </c>
      <c r="AS149" s="230">
        <v>51570</v>
      </c>
      <c r="AT149" s="230">
        <v>-14130</v>
      </c>
      <c r="AU149" s="229">
        <v>-0.27400000000000002</v>
      </c>
      <c r="AV149" s="230">
        <v>34545</v>
      </c>
      <c r="AW149" s="230">
        <v>49350</v>
      </c>
      <c r="AX149" s="230">
        <v>-14805</v>
      </c>
      <c r="AY149" s="229">
        <v>-0.3</v>
      </c>
      <c r="AZ149" s="230">
        <v>2580</v>
      </c>
      <c r="BA149" s="230">
        <v>1845</v>
      </c>
      <c r="BB149" s="228">
        <v>735</v>
      </c>
      <c r="BC149" s="229">
        <v>0.39839999999999998</v>
      </c>
      <c r="BD149" s="228">
        <v>315</v>
      </c>
      <c r="BE149" s="228">
        <v>375</v>
      </c>
      <c r="BF149" s="228">
        <v>-60</v>
      </c>
      <c r="BG149" s="229">
        <v>-0.16</v>
      </c>
      <c r="BH149" s="230">
        <v>144150</v>
      </c>
      <c r="BI149" s="230">
        <v>122115</v>
      </c>
      <c r="BJ149" s="230">
        <v>22035</v>
      </c>
      <c r="BK149" s="229">
        <v>0.1804</v>
      </c>
      <c r="BL149" s="230">
        <v>60015</v>
      </c>
      <c r="BM149" s="230">
        <v>51720</v>
      </c>
      <c r="BN149" s="230">
        <v>8295</v>
      </c>
      <c r="BO149" s="229">
        <v>0.16039999999999999</v>
      </c>
      <c r="BP149" s="230">
        <v>241605</v>
      </c>
      <c r="BQ149" s="230">
        <v>225405</v>
      </c>
      <c r="BR149" s="230">
        <v>16200</v>
      </c>
      <c r="BS149" s="229">
        <v>7.1900000000000006E-2</v>
      </c>
      <c r="BT149" s="230">
        <v>19374</v>
      </c>
      <c r="BU149" s="230">
        <v>16227</v>
      </c>
      <c r="BV149" s="230">
        <v>3147</v>
      </c>
      <c r="BW149" s="229">
        <v>0.19389999999999999</v>
      </c>
      <c r="BX149" s="230">
        <v>242790</v>
      </c>
      <c r="BY149" s="230">
        <v>238725</v>
      </c>
      <c r="BZ149" s="230">
        <v>4065</v>
      </c>
      <c r="CA149" s="229">
        <v>1.7000000000000001E-2</v>
      </c>
      <c r="CB149" s="230">
        <v>229080</v>
      </c>
      <c r="CC149" s="230">
        <v>226290</v>
      </c>
      <c r="CD149" s="230">
        <v>2790</v>
      </c>
      <c r="CE149" s="229">
        <v>1.23E-2</v>
      </c>
      <c r="CF149" s="230">
        <v>11970</v>
      </c>
      <c r="CG149" s="230">
        <v>10860</v>
      </c>
      <c r="CH149" s="230">
        <v>1110</v>
      </c>
      <c r="CI149" s="229">
        <v>0.1022</v>
      </c>
      <c r="CJ149" s="230">
        <v>1740</v>
      </c>
      <c r="CK149" s="230">
        <v>1575</v>
      </c>
      <c r="CL149" s="228">
        <v>165</v>
      </c>
      <c r="CM149" s="229">
        <v>0.1048</v>
      </c>
      <c r="CN149" s="230">
        <v>127275</v>
      </c>
      <c r="CO149" s="230">
        <v>100680</v>
      </c>
      <c r="CP149" s="230">
        <v>26595</v>
      </c>
      <c r="CQ149" s="229">
        <v>0.26419999999999999</v>
      </c>
      <c r="CR149" s="230">
        <v>53190</v>
      </c>
      <c r="CS149" s="230">
        <v>54180</v>
      </c>
      <c r="CT149" s="228">
        <v>-990</v>
      </c>
      <c r="CU149" s="229">
        <v>-1.83E-2</v>
      </c>
      <c r="CV149" s="230">
        <v>423255</v>
      </c>
      <c r="CW149" s="230">
        <v>393585</v>
      </c>
      <c r="CX149" s="230">
        <v>29670</v>
      </c>
      <c r="CY149" s="229">
        <v>7.5399999999999995E-2</v>
      </c>
      <c r="CZ149" s="228">
        <v>32.36</v>
      </c>
      <c r="DA149" s="228">
        <v>35.93</v>
      </c>
      <c r="DB149" s="228">
        <v>-3.57</v>
      </c>
      <c r="DC149" s="228">
        <v>-3.57</v>
      </c>
      <c r="DD149" s="228">
        <v>27.5</v>
      </c>
      <c r="DE149" s="228">
        <v>27.39</v>
      </c>
      <c r="DF149" s="228">
        <v>4.8600000000000003</v>
      </c>
      <c r="DG149" s="228">
        <v>0.11</v>
      </c>
      <c r="DH149" s="228">
        <v>31.54</v>
      </c>
      <c r="DI149" s="228">
        <v>36.4</v>
      </c>
      <c r="DJ149" s="228">
        <v>-4.8600000000000003</v>
      </c>
      <c r="DK149" s="228">
        <v>-4.8600000000000003</v>
      </c>
      <c r="DL149" s="228">
        <v>34.31</v>
      </c>
      <c r="DM149" s="228">
        <v>34.799999999999997</v>
      </c>
      <c r="DN149" s="228">
        <v>-0.49</v>
      </c>
      <c r="DO149" s="228">
        <v>-0.49</v>
      </c>
      <c r="DP149" s="228">
        <v>0.42</v>
      </c>
      <c r="DQ149" s="228">
        <v>0.54</v>
      </c>
      <c r="DR149" s="228">
        <v>-0.12</v>
      </c>
      <c r="DS149" s="229">
        <v>-0.22220000000000001</v>
      </c>
      <c r="DT149" s="231">
        <v>32000</v>
      </c>
      <c r="DU149" s="231">
        <v>33000</v>
      </c>
      <c r="DV149" s="228">
        <v>0.42</v>
      </c>
      <c r="DW149" s="228">
        <v>0.42</v>
      </c>
      <c r="DX149" s="228">
        <v>0</v>
      </c>
      <c r="DY149" s="229">
        <v>0</v>
      </c>
      <c r="DZ149" s="229">
        <v>5.6500000000000002E-2</v>
      </c>
      <c r="EA149" s="230">
        <v>12435</v>
      </c>
      <c r="EB149" s="229">
        <v>-2.8999999999999998E-3</v>
      </c>
      <c r="EC149" s="229">
        <v>5.6500000000000002E-2</v>
      </c>
      <c r="ED149" s="228">
        <v>-100.47</v>
      </c>
      <c r="EE149" s="229">
        <v>-3.2000000000000002E-3</v>
      </c>
      <c r="EF149" s="230">
        <v>7964</v>
      </c>
      <c r="EG149" s="230">
        <v>8095</v>
      </c>
      <c r="EH149" s="229">
        <v>-1.6199999999999999E-2</v>
      </c>
      <c r="EI149" s="229">
        <v>0.41110000000000002</v>
      </c>
      <c r="EJ149" s="231">
        <v>50014.51</v>
      </c>
      <c r="EK149" s="231">
        <v>17266.939999999999</v>
      </c>
      <c r="EL149" s="231">
        <v>11623.35</v>
      </c>
      <c r="EM149" s="231">
        <v>2569</v>
      </c>
      <c r="EN149" s="231">
        <v>78904.800000000003</v>
      </c>
      <c r="EO149" s="231">
        <v>75943.05</v>
      </c>
      <c r="EP149" s="231">
        <v>2961.75</v>
      </c>
      <c r="EQ149" s="229">
        <v>3.9E-2</v>
      </c>
      <c r="ER149" s="231">
        <v>42852</v>
      </c>
      <c r="ES149" s="231">
        <v>16704</v>
      </c>
      <c r="ET149" s="231">
        <v>75045</v>
      </c>
      <c r="EU149" s="231">
        <v>955549</v>
      </c>
      <c r="EV149" s="231">
        <v>134601</v>
      </c>
      <c r="EW149" s="231">
        <v>127145</v>
      </c>
      <c r="EX149" s="231">
        <v>7456</v>
      </c>
      <c r="EY149" s="229">
        <v>5.8599999999999999E-2</v>
      </c>
      <c r="EZ149" s="229">
        <v>0.44290000000000002</v>
      </c>
      <c r="FA149" s="227" t="s">
        <v>567</v>
      </c>
      <c r="FB149" s="161">
        <f t="shared" si="3"/>
        <v>0</v>
      </c>
    </row>
    <row r="150" spans="1:158" ht="17.25" thickBot="1" x14ac:dyDescent="0.3">
      <c r="A150" s="226">
        <v>46093</v>
      </c>
      <c r="B150" s="227" t="s">
        <v>168</v>
      </c>
      <c r="C150" s="227" t="s">
        <v>665</v>
      </c>
      <c r="D150" s="228">
        <v>900</v>
      </c>
      <c r="E150" s="228">
        <v>490.4</v>
      </c>
      <c r="F150" s="228">
        <v>497.05</v>
      </c>
      <c r="G150" s="228">
        <v>-6.65</v>
      </c>
      <c r="H150" s="229">
        <v>-1.34E-2</v>
      </c>
      <c r="I150" s="228">
        <v>490.6</v>
      </c>
      <c r="J150" s="228">
        <v>497.85</v>
      </c>
      <c r="K150" s="228">
        <v>-7.25</v>
      </c>
      <c r="L150" s="229">
        <v>-1.46E-2</v>
      </c>
      <c r="M150" s="228">
        <v>490.4</v>
      </c>
      <c r="N150" s="228">
        <v>497.05</v>
      </c>
      <c r="O150" s="228">
        <v>-6.65</v>
      </c>
      <c r="P150" s="229">
        <v>-1.34E-2</v>
      </c>
      <c r="Q150" s="228">
        <v>493.55</v>
      </c>
      <c r="R150" s="228">
        <v>500.25</v>
      </c>
      <c r="S150" s="228">
        <v>-6.7</v>
      </c>
      <c r="T150" s="229">
        <v>-1.34E-2</v>
      </c>
      <c r="U150" s="228">
        <v>496</v>
      </c>
      <c r="V150" s="228">
        <v>504.5</v>
      </c>
      <c r="W150" s="228">
        <v>-8.5</v>
      </c>
      <c r="X150" s="229">
        <v>-1.6799999999999999E-2</v>
      </c>
      <c r="Y150" s="228">
        <v>-0.2</v>
      </c>
      <c r="Z150" s="228">
        <v>-0.8</v>
      </c>
      <c r="AA150" s="228">
        <v>0.6</v>
      </c>
      <c r="AB150" s="229">
        <v>-4.0000000000000002E-4</v>
      </c>
      <c r="AC150" s="228">
        <v>-0.2</v>
      </c>
      <c r="AD150" s="228">
        <v>-0.8</v>
      </c>
      <c r="AE150" s="228">
        <v>0.6</v>
      </c>
      <c r="AF150" s="229">
        <v>-4.0000000000000002E-4</v>
      </c>
      <c r="AG150" s="228">
        <v>2.95</v>
      </c>
      <c r="AH150" s="228">
        <v>2.4</v>
      </c>
      <c r="AI150" s="228">
        <v>0.55000000000000004</v>
      </c>
      <c r="AJ150" s="229">
        <v>6.0000000000000001E-3</v>
      </c>
      <c r="AK150" s="228">
        <v>5.4</v>
      </c>
      <c r="AL150" s="228">
        <v>6.65</v>
      </c>
      <c r="AM150" s="228">
        <v>-1.25</v>
      </c>
      <c r="AN150" s="229">
        <v>1.0999999999999999E-2</v>
      </c>
      <c r="AO150" s="228">
        <v>491.31</v>
      </c>
      <c r="AP150" s="228">
        <v>494.1</v>
      </c>
      <c r="AQ150" s="228">
        <v>0</v>
      </c>
      <c r="AR150" s="230">
        <v>4206600</v>
      </c>
      <c r="AS150" s="230">
        <v>1953000</v>
      </c>
      <c r="AT150" s="230">
        <v>2253600</v>
      </c>
      <c r="AU150" s="229">
        <v>1.1538999999999999</v>
      </c>
      <c r="AV150" s="230">
        <v>3780900</v>
      </c>
      <c r="AW150" s="230">
        <v>1935000</v>
      </c>
      <c r="AX150" s="230">
        <v>1845900</v>
      </c>
      <c r="AY150" s="229">
        <v>0.95399999999999996</v>
      </c>
      <c r="AZ150" s="230">
        <v>423900</v>
      </c>
      <c r="BA150" s="230">
        <v>17100</v>
      </c>
      <c r="BB150" s="230">
        <v>406800</v>
      </c>
      <c r="BC150" s="229">
        <v>23.7895</v>
      </c>
      <c r="BD150" s="230">
        <v>1800</v>
      </c>
      <c r="BE150" s="228">
        <v>900</v>
      </c>
      <c r="BF150" s="228">
        <v>900</v>
      </c>
      <c r="BG150" s="229">
        <v>1</v>
      </c>
      <c r="BH150" s="230">
        <v>2799900</v>
      </c>
      <c r="BI150" s="230">
        <v>2709000</v>
      </c>
      <c r="BJ150" s="230">
        <v>90900</v>
      </c>
      <c r="BK150" s="229">
        <v>3.3599999999999998E-2</v>
      </c>
      <c r="BL150" s="230">
        <v>2153700</v>
      </c>
      <c r="BM150" s="230">
        <v>1591200</v>
      </c>
      <c r="BN150" s="230">
        <v>562500</v>
      </c>
      <c r="BO150" s="229">
        <v>0.35349999999999998</v>
      </c>
      <c r="BP150" s="230">
        <v>9160200</v>
      </c>
      <c r="BQ150" s="230">
        <v>6253200</v>
      </c>
      <c r="BR150" s="230">
        <v>2907000</v>
      </c>
      <c r="BS150" s="229">
        <v>0.46489999999999998</v>
      </c>
      <c r="BT150" s="230">
        <v>2397312</v>
      </c>
      <c r="BU150" s="230">
        <v>1127456</v>
      </c>
      <c r="BV150" s="230">
        <v>1269856</v>
      </c>
      <c r="BW150" s="229">
        <v>1.1263000000000001</v>
      </c>
      <c r="BX150" s="230">
        <v>38030400</v>
      </c>
      <c r="BY150" s="230">
        <v>37566000</v>
      </c>
      <c r="BZ150" s="230">
        <v>464400</v>
      </c>
      <c r="CA150" s="229">
        <v>1.24E-2</v>
      </c>
      <c r="CB150" s="230">
        <v>37449900</v>
      </c>
      <c r="CC150" s="230">
        <v>37384200</v>
      </c>
      <c r="CD150" s="230">
        <v>65700</v>
      </c>
      <c r="CE150" s="229">
        <v>1.8E-3</v>
      </c>
      <c r="CF150" s="230">
        <v>572400</v>
      </c>
      <c r="CG150" s="230">
        <v>175500</v>
      </c>
      <c r="CH150" s="230">
        <v>396900</v>
      </c>
      <c r="CI150" s="229">
        <v>2.2614999999999998</v>
      </c>
      <c r="CJ150" s="230">
        <v>8100</v>
      </c>
      <c r="CK150" s="230">
        <v>6300</v>
      </c>
      <c r="CL150" s="230">
        <v>1800</v>
      </c>
      <c r="CM150" s="229">
        <v>0.28570000000000001</v>
      </c>
      <c r="CN150" s="230">
        <v>3168900</v>
      </c>
      <c r="CO150" s="230">
        <v>2990700</v>
      </c>
      <c r="CP150" s="230">
        <v>178200</v>
      </c>
      <c r="CQ150" s="229">
        <v>5.96E-2</v>
      </c>
      <c r="CR150" s="230">
        <v>2796300</v>
      </c>
      <c r="CS150" s="230">
        <v>2181600</v>
      </c>
      <c r="CT150" s="230">
        <v>614700</v>
      </c>
      <c r="CU150" s="229">
        <v>0.28179999999999999</v>
      </c>
      <c r="CV150" s="230">
        <v>43995600</v>
      </c>
      <c r="CW150" s="230">
        <v>42738300</v>
      </c>
      <c r="CX150" s="230">
        <v>1257300</v>
      </c>
      <c r="CY150" s="229">
        <v>2.9399999999999999E-2</v>
      </c>
      <c r="CZ150" s="228">
        <v>31.49</v>
      </c>
      <c r="DA150" s="228">
        <v>31.11</v>
      </c>
      <c r="DB150" s="228">
        <v>0.38</v>
      </c>
      <c r="DC150" s="228">
        <v>0.38</v>
      </c>
      <c r="DD150" s="228">
        <v>31.83</v>
      </c>
      <c r="DE150" s="228">
        <v>31.86</v>
      </c>
      <c r="DF150" s="228">
        <v>-0.34</v>
      </c>
      <c r="DG150" s="228">
        <v>-0.03</v>
      </c>
      <c r="DH150" s="228">
        <v>29.46</v>
      </c>
      <c r="DI150" s="228">
        <v>29.63</v>
      </c>
      <c r="DJ150" s="228">
        <v>-0.17</v>
      </c>
      <c r="DK150" s="228">
        <v>-0.17</v>
      </c>
      <c r="DL150" s="228">
        <v>34.119999999999997</v>
      </c>
      <c r="DM150" s="228">
        <v>33.619999999999997</v>
      </c>
      <c r="DN150" s="228">
        <v>0.5</v>
      </c>
      <c r="DO150" s="228">
        <v>0.5</v>
      </c>
      <c r="DP150" s="228">
        <v>0.88</v>
      </c>
      <c r="DQ150" s="228">
        <v>0.73</v>
      </c>
      <c r="DR150" s="228">
        <v>0.15</v>
      </c>
      <c r="DS150" s="229">
        <v>0.20549999999999999</v>
      </c>
      <c r="DT150" s="228">
        <v>540</v>
      </c>
      <c r="DU150" s="228">
        <v>490</v>
      </c>
      <c r="DV150" s="228">
        <v>0.77</v>
      </c>
      <c r="DW150" s="228">
        <v>0.59</v>
      </c>
      <c r="DX150" s="228">
        <v>0.18</v>
      </c>
      <c r="DY150" s="229">
        <v>0.30509999999999998</v>
      </c>
      <c r="DZ150" s="229">
        <v>1.5299999999999999E-2</v>
      </c>
      <c r="EA150" s="230">
        <v>181800</v>
      </c>
      <c r="EB150" s="229">
        <v>6.4000000000000003E-3</v>
      </c>
      <c r="EC150" s="229">
        <v>1.5299999999999999E-2</v>
      </c>
      <c r="ED150" s="228">
        <v>2.79</v>
      </c>
      <c r="EE150" s="229">
        <v>5.7000000000000002E-3</v>
      </c>
      <c r="EF150" s="230">
        <v>1209742</v>
      </c>
      <c r="EG150" s="230">
        <v>485845</v>
      </c>
      <c r="EH150" s="229">
        <v>1.49</v>
      </c>
      <c r="EI150" s="229">
        <v>0.50460000000000005</v>
      </c>
      <c r="EJ150" s="231">
        <v>14577.94</v>
      </c>
      <c r="EK150" s="231">
        <v>10465.44</v>
      </c>
      <c r="EL150" s="231">
        <v>20679.259999999998</v>
      </c>
      <c r="EM150" s="231">
        <v>2978</v>
      </c>
      <c r="EN150" s="231">
        <v>45722.64</v>
      </c>
      <c r="EO150" s="231">
        <v>31772.82</v>
      </c>
      <c r="EP150" s="231">
        <v>13949.82</v>
      </c>
      <c r="EQ150" s="229">
        <v>0.439</v>
      </c>
      <c r="ER150" s="231">
        <v>16803</v>
      </c>
      <c r="ES150" s="231">
        <v>13963</v>
      </c>
      <c r="ET150" s="231">
        <v>186520</v>
      </c>
      <c r="EU150" s="231">
        <v>50886533</v>
      </c>
      <c r="EV150" s="231">
        <v>217286</v>
      </c>
      <c r="EW150" s="231">
        <v>213676</v>
      </c>
      <c r="EX150" s="231">
        <v>3610</v>
      </c>
      <c r="EY150" s="229">
        <v>1.6899999999999998E-2</v>
      </c>
      <c r="EZ150" s="229">
        <v>0.86460000000000004</v>
      </c>
      <c r="FA150" s="227" t="s">
        <v>567</v>
      </c>
      <c r="FB150" s="161">
        <f t="shared" si="3"/>
        <v>0</v>
      </c>
    </row>
    <row r="151" spans="1:158" ht="17.25" thickBot="1" x14ac:dyDescent="0.3">
      <c r="A151" s="226">
        <v>46093</v>
      </c>
      <c r="B151" s="227" t="s">
        <v>615</v>
      </c>
      <c r="C151" s="227" t="s">
        <v>575</v>
      </c>
      <c r="D151" s="228">
        <v>725</v>
      </c>
      <c r="E151" s="231">
        <v>1012.9</v>
      </c>
      <c r="F151" s="231">
        <v>1026.3</v>
      </c>
      <c r="G151" s="228">
        <v>-13.4</v>
      </c>
      <c r="H151" s="229">
        <v>-1.3100000000000001E-2</v>
      </c>
      <c r="I151" s="231">
        <v>1009.1</v>
      </c>
      <c r="J151" s="231">
        <v>1025.7</v>
      </c>
      <c r="K151" s="228">
        <v>-16.600000000000001</v>
      </c>
      <c r="L151" s="229">
        <v>-1.6199999999999999E-2</v>
      </c>
      <c r="M151" s="231">
        <v>1012.9</v>
      </c>
      <c r="N151" s="231">
        <v>1026.3</v>
      </c>
      <c r="O151" s="228">
        <v>-13.4</v>
      </c>
      <c r="P151" s="229">
        <v>-1.3100000000000001E-2</v>
      </c>
      <c r="Q151" s="231">
        <v>1018.9</v>
      </c>
      <c r="R151" s="231">
        <v>1032</v>
      </c>
      <c r="S151" s="228">
        <v>-13.1</v>
      </c>
      <c r="T151" s="229">
        <v>-1.2699999999999999E-2</v>
      </c>
      <c r="U151" s="231">
        <v>1027.8</v>
      </c>
      <c r="V151" s="231">
        <v>1038.0999999999999</v>
      </c>
      <c r="W151" s="228">
        <v>-10.3</v>
      </c>
      <c r="X151" s="229">
        <v>-9.9000000000000008E-3</v>
      </c>
      <c r="Y151" s="228">
        <v>3.8</v>
      </c>
      <c r="Z151" s="228">
        <v>0.6</v>
      </c>
      <c r="AA151" s="228">
        <v>3.2</v>
      </c>
      <c r="AB151" s="229">
        <v>3.8E-3</v>
      </c>
      <c r="AC151" s="228">
        <v>3.8</v>
      </c>
      <c r="AD151" s="228">
        <v>0.6</v>
      </c>
      <c r="AE151" s="228">
        <v>3.2</v>
      </c>
      <c r="AF151" s="229">
        <v>3.8E-3</v>
      </c>
      <c r="AG151" s="228">
        <v>9.8000000000000007</v>
      </c>
      <c r="AH151" s="228">
        <v>6.3</v>
      </c>
      <c r="AI151" s="228">
        <v>3.5</v>
      </c>
      <c r="AJ151" s="229">
        <v>9.7000000000000003E-3</v>
      </c>
      <c r="AK151" s="228">
        <v>18.7</v>
      </c>
      <c r="AL151" s="228">
        <v>12.4</v>
      </c>
      <c r="AM151" s="228">
        <v>6.3</v>
      </c>
      <c r="AN151" s="229">
        <v>1.8499999999999999E-2</v>
      </c>
      <c r="AO151" s="231">
        <v>1013.46</v>
      </c>
      <c r="AP151" s="231">
        <v>1022.62</v>
      </c>
      <c r="AQ151" s="228">
        <v>0</v>
      </c>
      <c r="AR151" s="230">
        <v>2378725</v>
      </c>
      <c r="AS151" s="230">
        <v>2847075</v>
      </c>
      <c r="AT151" s="230">
        <v>-468350</v>
      </c>
      <c r="AU151" s="229">
        <v>-0.16450000000000001</v>
      </c>
      <c r="AV151" s="230">
        <v>2172825</v>
      </c>
      <c r="AW151" s="230">
        <v>2561425</v>
      </c>
      <c r="AX151" s="230">
        <v>-388600</v>
      </c>
      <c r="AY151" s="229">
        <v>-0.1517</v>
      </c>
      <c r="AZ151" s="230">
        <v>202275</v>
      </c>
      <c r="BA151" s="230">
        <v>277675</v>
      </c>
      <c r="BB151" s="230">
        <v>-75400</v>
      </c>
      <c r="BC151" s="229">
        <v>-0.27150000000000002</v>
      </c>
      <c r="BD151" s="230">
        <v>3625</v>
      </c>
      <c r="BE151" s="230">
        <v>7975</v>
      </c>
      <c r="BF151" s="230">
        <v>-4350</v>
      </c>
      <c r="BG151" s="229">
        <v>-0.54549999999999998</v>
      </c>
      <c r="BH151" s="230">
        <v>5611500</v>
      </c>
      <c r="BI151" s="230">
        <v>5353400</v>
      </c>
      <c r="BJ151" s="230">
        <v>258100</v>
      </c>
      <c r="BK151" s="229">
        <v>4.82E-2</v>
      </c>
      <c r="BL151" s="230">
        <v>3472025</v>
      </c>
      <c r="BM151" s="230">
        <v>3166075</v>
      </c>
      <c r="BN151" s="230">
        <v>305950</v>
      </c>
      <c r="BO151" s="229">
        <v>9.6600000000000005E-2</v>
      </c>
      <c r="BP151" s="230">
        <v>11462250</v>
      </c>
      <c r="BQ151" s="230">
        <v>11366550</v>
      </c>
      <c r="BR151" s="230">
        <v>95700</v>
      </c>
      <c r="BS151" s="229">
        <v>8.3999999999999995E-3</v>
      </c>
      <c r="BT151" s="230">
        <v>2148607</v>
      </c>
      <c r="BU151" s="230">
        <v>2010973</v>
      </c>
      <c r="BV151" s="230">
        <v>137634</v>
      </c>
      <c r="BW151" s="229">
        <v>6.8400000000000002E-2</v>
      </c>
      <c r="BX151" s="230">
        <v>22346675</v>
      </c>
      <c r="BY151" s="230">
        <v>22293025</v>
      </c>
      <c r="BZ151" s="230">
        <v>53650</v>
      </c>
      <c r="CA151" s="229">
        <v>2.3999999999999998E-3</v>
      </c>
      <c r="CB151" s="230">
        <v>21110550</v>
      </c>
      <c r="CC151" s="230">
        <v>21110550</v>
      </c>
      <c r="CD151" s="228">
        <v>0</v>
      </c>
      <c r="CE151" s="229">
        <v>0</v>
      </c>
      <c r="CF151" s="230">
        <v>1189000</v>
      </c>
      <c r="CG151" s="230">
        <v>1136075</v>
      </c>
      <c r="CH151" s="230">
        <v>52925</v>
      </c>
      <c r="CI151" s="229">
        <v>4.6600000000000003E-2</v>
      </c>
      <c r="CJ151" s="230">
        <v>47125</v>
      </c>
      <c r="CK151" s="230">
        <v>46400</v>
      </c>
      <c r="CL151" s="228">
        <v>725</v>
      </c>
      <c r="CM151" s="229">
        <v>1.5599999999999999E-2</v>
      </c>
      <c r="CN151" s="230">
        <v>8543400</v>
      </c>
      <c r="CO151" s="230">
        <v>8395500</v>
      </c>
      <c r="CP151" s="230">
        <v>147900</v>
      </c>
      <c r="CQ151" s="229">
        <v>1.7600000000000001E-2</v>
      </c>
      <c r="CR151" s="230">
        <v>5729675</v>
      </c>
      <c r="CS151" s="230">
        <v>5655725</v>
      </c>
      <c r="CT151" s="230">
        <v>73950</v>
      </c>
      <c r="CU151" s="229">
        <v>1.3100000000000001E-2</v>
      </c>
      <c r="CV151" s="230">
        <v>36619750</v>
      </c>
      <c r="CW151" s="230">
        <v>36344250</v>
      </c>
      <c r="CX151" s="230">
        <v>275500</v>
      </c>
      <c r="CY151" s="229">
        <v>7.6E-3</v>
      </c>
      <c r="CZ151" s="228">
        <v>41.11</v>
      </c>
      <c r="DA151" s="228">
        <v>42.04</v>
      </c>
      <c r="DB151" s="228">
        <v>-0.93</v>
      </c>
      <c r="DC151" s="228">
        <v>-0.93</v>
      </c>
      <c r="DD151" s="228">
        <v>50.62</v>
      </c>
      <c r="DE151" s="228">
        <v>50.72</v>
      </c>
      <c r="DF151" s="228">
        <v>-9.51</v>
      </c>
      <c r="DG151" s="228">
        <v>-0.1</v>
      </c>
      <c r="DH151" s="228">
        <v>40.299999999999997</v>
      </c>
      <c r="DI151" s="228">
        <v>41.16</v>
      </c>
      <c r="DJ151" s="228">
        <v>-0.86</v>
      </c>
      <c r="DK151" s="228">
        <v>-0.86</v>
      </c>
      <c r="DL151" s="228">
        <v>42.43</v>
      </c>
      <c r="DM151" s="228">
        <v>43.53</v>
      </c>
      <c r="DN151" s="228">
        <v>-1.1000000000000001</v>
      </c>
      <c r="DO151" s="228">
        <v>-1.1000000000000001</v>
      </c>
      <c r="DP151" s="228">
        <v>0.67</v>
      </c>
      <c r="DQ151" s="228">
        <v>0.67</v>
      </c>
      <c r="DR151" s="228">
        <v>0</v>
      </c>
      <c r="DS151" s="229">
        <v>0</v>
      </c>
      <c r="DT151" s="231">
        <v>1200</v>
      </c>
      <c r="DU151" s="231">
        <v>1000</v>
      </c>
      <c r="DV151" s="228">
        <v>0.62</v>
      </c>
      <c r="DW151" s="228">
        <v>0.59</v>
      </c>
      <c r="DX151" s="228">
        <v>0.03</v>
      </c>
      <c r="DY151" s="229">
        <v>5.0799999999999998E-2</v>
      </c>
      <c r="DZ151" s="229">
        <v>5.5300000000000002E-2</v>
      </c>
      <c r="EA151" s="230">
        <v>1182475</v>
      </c>
      <c r="EB151" s="229">
        <v>5.8999999999999999E-3</v>
      </c>
      <c r="EC151" s="229">
        <v>5.5300000000000002E-2</v>
      </c>
      <c r="ED151" s="228">
        <v>9.16</v>
      </c>
      <c r="EE151" s="229">
        <v>8.9999999999999993E-3</v>
      </c>
      <c r="EF151" s="230">
        <v>857238</v>
      </c>
      <c r="EG151" s="230">
        <v>823378</v>
      </c>
      <c r="EH151" s="229">
        <v>4.1099999999999998E-2</v>
      </c>
      <c r="EI151" s="229">
        <v>0.39900000000000002</v>
      </c>
      <c r="EJ151" s="231">
        <v>62006.21</v>
      </c>
      <c r="EK151" s="231">
        <v>35383.83</v>
      </c>
      <c r="EL151" s="231">
        <v>24126.21</v>
      </c>
      <c r="EM151" s="231">
        <v>4879</v>
      </c>
      <c r="EN151" s="231">
        <v>121516.25</v>
      </c>
      <c r="EO151" s="231">
        <v>121932.67</v>
      </c>
      <c r="EP151" s="228">
        <v>-416.42</v>
      </c>
      <c r="EQ151" s="229">
        <v>-3.3999999999999998E-3</v>
      </c>
      <c r="ER151" s="231">
        <v>99154</v>
      </c>
      <c r="ES151" s="231">
        <v>61734</v>
      </c>
      <c r="ET151" s="231">
        <v>226428</v>
      </c>
      <c r="EU151" s="231">
        <v>95799519</v>
      </c>
      <c r="EV151" s="231">
        <v>387317</v>
      </c>
      <c r="EW151" s="231">
        <v>387871</v>
      </c>
      <c r="EX151" s="228">
        <v>-554</v>
      </c>
      <c r="EY151" s="229">
        <v>-1.4E-3</v>
      </c>
      <c r="EZ151" s="229">
        <v>0.38229999999999997</v>
      </c>
      <c r="FA151" s="227" t="s">
        <v>567</v>
      </c>
      <c r="FB151" s="161">
        <f t="shared" si="3"/>
        <v>0</v>
      </c>
    </row>
    <row r="152" spans="1:158" ht="17.25" thickBot="1" x14ac:dyDescent="0.3">
      <c r="A152" s="226">
        <v>46093</v>
      </c>
      <c r="B152" s="227" t="s">
        <v>221</v>
      </c>
      <c r="C152" s="227" t="s">
        <v>529</v>
      </c>
      <c r="D152" s="228">
        <v>100</v>
      </c>
      <c r="E152" s="231">
        <v>4691.3</v>
      </c>
      <c r="F152" s="231">
        <v>4728</v>
      </c>
      <c r="G152" s="228">
        <v>-36.700000000000003</v>
      </c>
      <c r="H152" s="229">
        <v>-7.7999999999999996E-3</v>
      </c>
      <c r="I152" s="231">
        <v>4714.3999999999996</v>
      </c>
      <c r="J152" s="231">
        <v>4747.7</v>
      </c>
      <c r="K152" s="228">
        <v>-33.299999999999997</v>
      </c>
      <c r="L152" s="229">
        <v>-7.0000000000000001E-3</v>
      </c>
      <c r="M152" s="231">
        <v>4691.3</v>
      </c>
      <c r="N152" s="231">
        <v>4728</v>
      </c>
      <c r="O152" s="228">
        <v>-36.700000000000003</v>
      </c>
      <c r="P152" s="229">
        <v>-7.7999999999999996E-3</v>
      </c>
      <c r="Q152" s="231">
        <v>4679.3999999999996</v>
      </c>
      <c r="R152" s="231">
        <v>4717.3</v>
      </c>
      <c r="S152" s="228">
        <v>-37.9</v>
      </c>
      <c r="T152" s="229">
        <v>-8.0000000000000002E-3</v>
      </c>
      <c r="U152" s="231">
        <v>4668.2</v>
      </c>
      <c r="V152" s="231">
        <v>4721</v>
      </c>
      <c r="W152" s="228">
        <v>-52.8</v>
      </c>
      <c r="X152" s="229">
        <v>-1.12E-2</v>
      </c>
      <c r="Y152" s="228">
        <v>-23.1</v>
      </c>
      <c r="Z152" s="228">
        <v>-19.7</v>
      </c>
      <c r="AA152" s="228">
        <v>-3.4</v>
      </c>
      <c r="AB152" s="229">
        <v>-4.8999999999999998E-3</v>
      </c>
      <c r="AC152" s="228">
        <v>-23.1</v>
      </c>
      <c r="AD152" s="228">
        <v>-19.7</v>
      </c>
      <c r="AE152" s="228">
        <v>-3.4</v>
      </c>
      <c r="AF152" s="229">
        <v>-4.8999999999999998E-3</v>
      </c>
      <c r="AG152" s="228">
        <v>-35</v>
      </c>
      <c r="AH152" s="228">
        <v>-30.4</v>
      </c>
      <c r="AI152" s="228">
        <v>-4.5999999999999996</v>
      </c>
      <c r="AJ152" s="229">
        <v>-7.4000000000000003E-3</v>
      </c>
      <c r="AK152" s="228">
        <v>-46.2</v>
      </c>
      <c r="AL152" s="228">
        <v>-26.7</v>
      </c>
      <c r="AM152" s="228">
        <v>-19.5</v>
      </c>
      <c r="AN152" s="229">
        <v>-9.7999999999999997E-3</v>
      </c>
      <c r="AO152" s="231">
        <v>4662.45</v>
      </c>
      <c r="AP152" s="231">
        <v>4648.2700000000004</v>
      </c>
      <c r="AQ152" s="228">
        <v>0</v>
      </c>
      <c r="AR152" s="230">
        <v>775600</v>
      </c>
      <c r="AS152" s="230">
        <v>733700</v>
      </c>
      <c r="AT152" s="230">
        <v>41900</v>
      </c>
      <c r="AU152" s="229">
        <v>5.7099999999999998E-2</v>
      </c>
      <c r="AV152" s="230">
        <v>656100</v>
      </c>
      <c r="AW152" s="230">
        <v>636600</v>
      </c>
      <c r="AX152" s="230">
        <v>19500</v>
      </c>
      <c r="AY152" s="229">
        <v>3.0599999999999999E-2</v>
      </c>
      <c r="AZ152" s="230">
        <v>116700</v>
      </c>
      <c r="BA152" s="230">
        <v>93200</v>
      </c>
      <c r="BB152" s="230">
        <v>23500</v>
      </c>
      <c r="BC152" s="229">
        <v>0.25209999999999999</v>
      </c>
      <c r="BD152" s="230">
        <v>2800</v>
      </c>
      <c r="BE152" s="230">
        <v>3900</v>
      </c>
      <c r="BF152" s="230">
        <v>-1100</v>
      </c>
      <c r="BG152" s="229">
        <v>-0.28210000000000002</v>
      </c>
      <c r="BH152" s="230">
        <v>1634900</v>
      </c>
      <c r="BI152" s="230">
        <v>1335500</v>
      </c>
      <c r="BJ152" s="230">
        <v>299400</v>
      </c>
      <c r="BK152" s="229">
        <v>0.22420000000000001</v>
      </c>
      <c r="BL152" s="230">
        <v>851000</v>
      </c>
      <c r="BM152" s="230">
        <v>809100</v>
      </c>
      <c r="BN152" s="230">
        <v>41900</v>
      </c>
      <c r="BO152" s="229">
        <v>5.1799999999999999E-2</v>
      </c>
      <c r="BP152" s="230">
        <v>3261500</v>
      </c>
      <c r="BQ152" s="230">
        <v>2878300</v>
      </c>
      <c r="BR152" s="230">
        <v>383200</v>
      </c>
      <c r="BS152" s="229">
        <v>0.1331</v>
      </c>
      <c r="BT152" s="230">
        <v>602782</v>
      </c>
      <c r="BU152" s="230">
        <v>813503</v>
      </c>
      <c r="BV152" s="230">
        <v>-210721</v>
      </c>
      <c r="BW152" s="229">
        <v>-0.25900000000000001</v>
      </c>
      <c r="BX152" s="230">
        <v>4343200</v>
      </c>
      <c r="BY152" s="230">
        <v>4221700</v>
      </c>
      <c r="BZ152" s="230">
        <v>121500</v>
      </c>
      <c r="CA152" s="229">
        <v>2.8799999999999999E-2</v>
      </c>
      <c r="CB152" s="230">
        <v>4074800</v>
      </c>
      <c r="CC152" s="230">
        <v>3989500</v>
      </c>
      <c r="CD152" s="230">
        <v>85300</v>
      </c>
      <c r="CE152" s="229">
        <v>2.1399999999999999E-2</v>
      </c>
      <c r="CF152" s="230">
        <v>253600</v>
      </c>
      <c r="CG152" s="230">
        <v>217400</v>
      </c>
      <c r="CH152" s="230">
        <v>36200</v>
      </c>
      <c r="CI152" s="229">
        <v>0.16650000000000001</v>
      </c>
      <c r="CJ152" s="230">
        <v>14800</v>
      </c>
      <c r="CK152" s="230">
        <v>14800</v>
      </c>
      <c r="CL152" s="228">
        <v>0</v>
      </c>
      <c r="CM152" s="229">
        <v>0</v>
      </c>
      <c r="CN152" s="230">
        <v>1849100</v>
      </c>
      <c r="CO152" s="230">
        <v>1835200</v>
      </c>
      <c r="CP152" s="230">
        <v>13900</v>
      </c>
      <c r="CQ152" s="229">
        <v>7.6E-3</v>
      </c>
      <c r="CR152" s="230">
        <v>1188100</v>
      </c>
      <c r="CS152" s="230">
        <v>1204500</v>
      </c>
      <c r="CT152" s="230">
        <v>-16400</v>
      </c>
      <c r="CU152" s="229">
        <v>-1.3599999999999999E-2</v>
      </c>
      <c r="CV152" s="230">
        <v>7380400</v>
      </c>
      <c r="CW152" s="230">
        <v>7261400</v>
      </c>
      <c r="CX152" s="230">
        <v>119000</v>
      </c>
      <c r="CY152" s="229">
        <v>1.6400000000000001E-2</v>
      </c>
      <c r="CZ152" s="228">
        <v>44.65</v>
      </c>
      <c r="DA152" s="228">
        <v>43.8</v>
      </c>
      <c r="DB152" s="228">
        <v>0.85</v>
      </c>
      <c r="DC152" s="228">
        <v>0.85</v>
      </c>
      <c r="DD152" s="228">
        <v>40.200000000000003</v>
      </c>
      <c r="DE152" s="228">
        <v>40.29</v>
      </c>
      <c r="DF152" s="228">
        <v>4.45</v>
      </c>
      <c r="DG152" s="228">
        <v>-0.09</v>
      </c>
      <c r="DH152" s="228">
        <v>43.91</v>
      </c>
      <c r="DI152" s="228">
        <v>42.64</v>
      </c>
      <c r="DJ152" s="228">
        <v>1.27</v>
      </c>
      <c r="DK152" s="228">
        <v>1.27</v>
      </c>
      <c r="DL152" s="228">
        <v>46.07</v>
      </c>
      <c r="DM152" s="228">
        <v>45.7</v>
      </c>
      <c r="DN152" s="228">
        <v>0.37</v>
      </c>
      <c r="DO152" s="228">
        <v>0.37</v>
      </c>
      <c r="DP152" s="228">
        <v>0.64</v>
      </c>
      <c r="DQ152" s="228">
        <v>0.66</v>
      </c>
      <c r="DR152" s="228">
        <v>-0.02</v>
      </c>
      <c r="DS152" s="229">
        <v>-3.0300000000000001E-2</v>
      </c>
      <c r="DT152" s="231">
        <v>5500</v>
      </c>
      <c r="DU152" s="231">
        <v>5500</v>
      </c>
      <c r="DV152" s="228">
        <v>0.52</v>
      </c>
      <c r="DW152" s="228">
        <v>0.61</v>
      </c>
      <c r="DX152" s="228">
        <v>-0.09</v>
      </c>
      <c r="DY152" s="229">
        <v>-0.14749999999999999</v>
      </c>
      <c r="DZ152" s="229">
        <v>6.1800000000000001E-2</v>
      </c>
      <c r="EA152" s="230">
        <v>232200</v>
      </c>
      <c r="EB152" s="229">
        <v>-2.5000000000000001E-3</v>
      </c>
      <c r="EC152" s="229">
        <v>6.1800000000000001E-2</v>
      </c>
      <c r="ED152" s="228">
        <v>-14.18</v>
      </c>
      <c r="EE152" s="229">
        <v>-3.0000000000000001E-3</v>
      </c>
      <c r="EF152" s="230">
        <v>277575</v>
      </c>
      <c r="EG152" s="230">
        <v>513180</v>
      </c>
      <c r="EH152" s="229">
        <v>-0.45910000000000001</v>
      </c>
      <c r="EI152" s="229">
        <v>0.46050000000000002</v>
      </c>
      <c r="EJ152" s="231">
        <v>83622.3</v>
      </c>
      <c r="EK152" s="231">
        <v>39481.279999999999</v>
      </c>
      <c r="EL152" s="231">
        <v>36144.400000000001</v>
      </c>
      <c r="EM152" s="231">
        <v>9776</v>
      </c>
      <c r="EN152" s="231">
        <v>159247.98000000001</v>
      </c>
      <c r="EO152" s="231">
        <v>142113.88</v>
      </c>
      <c r="EP152" s="231">
        <v>17134.099999999999</v>
      </c>
      <c r="EQ152" s="229">
        <v>0.1206</v>
      </c>
      <c r="ER152" s="231">
        <v>97413</v>
      </c>
      <c r="ES152" s="231">
        <v>55852</v>
      </c>
      <c r="ET152" s="231">
        <v>203719</v>
      </c>
      <c r="EU152" s="231">
        <v>15732422</v>
      </c>
      <c r="EV152" s="231">
        <v>356985</v>
      </c>
      <c r="EW152" s="231">
        <v>353088</v>
      </c>
      <c r="EX152" s="231">
        <v>3897</v>
      </c>
      <c r="EY152" s="229">
        <v>1.0999999999999999E-2</v>
      </c>
      <c r="EZ152" s="229">
        <v>0.46910000000000002</v>
      </c>
      <c r="FA152" s="227" t="s">
        <v>567</v>
      </c>
      <c r="FB152" s="161">
        <f t="shared" si="3"/>
        <v>0</v>
      </c>
    </row>
    <row r="153" spans="1:158" ht="17.25" thickBot="1" x14ac:dyDescent="0.3">
      <c r="A153" s="226">
        <v>46093</v>
      </c>
      <c r="B153" s="227" t="s">
        <v>193</v>
      </c>
      <c r="C153" s="227" t="s">
        <v>272</v>
      </c>
      <c r="D153" s="228">
        <v>1900</v>
      </c>
      <c r="E153" s="228">
        <v>296.35000000000002</v>
      </c>
      <c r="F153" s="228">
        <v>289.75</v>
      </c>
      <c r="G153" s="228">
        <v>6.6</v>
      </c>
      <c r="H153" s="229">
        <v>2.2800000000000001E-2</v>
      </c>
      <c r="I153" s="228">
        <v>296.7</v>
      </c>
      <c r="J153" s="228">
        <v>289.64999999999998</v>
      </c>
      <c r="K153" s="228">
        <v>7.05</v>
      </c>
      <c r="L153" s="229">
        <v>2.4299999999999999E-2</v>
      </c>
      <c r="M153" s="228">
        <v>296.35000000000002</v>
      </c>
      <c r="N153" s="228">
        <v>289.75</v>
      </c>
      <c r="O153" s="228">
        <v>6.6</v>
      </c>
      <c r="P153" s="229">
        <v>2.2800000000000001E-2</v>
      </c>
      <c r="Q153" s="228">
        <v>298.39999999999998</v>
      </c>
      <c r="R153" s="228">
        <v>291.64999999999998</v>
      </c>
      <c r="S153" s="228">
        <v>6.75</v>
      </c>
      <c r="T153" s="229">
        <v>2.3099999999999999E-2</v>
      </c>
      <c r="U153" s="228">
        <v>297.5</v>
      </c>
      <c r="V153" s="228">
        <v>290.95</v>
      </c>
      <c r="W153" s="228">
        <v>6.55</v>
      </c>
      <c r="X153" s="229">
        <v>2.2499999999999999E-2</v>
      </c>
      <c r="Y153" s="228">
        <v>-0.35</v>
      </c>
      <c r="Z153" s="228">
        <v>0.1</v>
      </c>
      <c r="AA153" s="228">
        <v>-0.45</v>
      </c>
      <c r="AB153" s="229">
        <v>-1.1999999999999999E-3</v>
      </c>
      <c r="AC153" s="228">
        <v>-0.35</v>
      </c>
      <c r="AD153" s="228">
        <v>0.1</v>
      </c>
      <c r="AE153" s="228">
        <v>-0.45</v>
      </c>
      <c r="AF153" s="229">
        <v>-1.1999999999999999E-3</v>
      </c>
      <c r="AG153" s="228">
        <v>1.7</v>
      </c>
      <c r="AH153" s="228">
        <v>2</v>
      </c>
      <c r="AI153" s="228">
        <v>-0.3</v>
      </c>
      <c r="AJ153" s="229">
        <v>5.7000000000000002E-3</v>
      </c>
      <c r="AK153" s="228">
        <v>0.8</v>
      </c>
      <c r="AL153" s="228">
        <v>1.3</v>
      </c>
      <c r="AM153" s="228">
        <v>-0.5</v>
      </c>
      <c r="AN153" s="229">
        <v>2.7000000000000001E-3</v>
      </c>
      <c r="AO153" s="228">
        <v>295.08999999999997</v>
      </c>
      <c r="AP153" s="228">
        <v>297.62</v>
      </c>
      <c r="AQ153" s="228">
        <v>0</v>
      </c>
      <c r="AR153" s="230">
        <v>9724200</v>
      </c>
      <c r="AS153" s="230">
        <v>5945100</v>
      </c>
      <c r="AT153" s="230">
        <v>3779100</v>
      </c>
      <c r="AU153" s="229">
        <v>0.63570000000000004</v>
      </c>
      <c r="AV153" s="230">
        <v>9015500</v>
      </c>
      <c r="AW153" s="230">
        <v>5546100</v>
      </c>
      <c r="AX153" s="230">
        <v>3469400</v>
      </c>
      <c r="AY153" s="229">
        <v>0.62560000000000004</v>
      </c>
      <c r="AZ153" s="230">
        <v>562400</v>
      </c>
      <c r="BA153" s="230">
        <v>302100</v>
      </c>
      <c r="BB153" s="230">
        <v>260300</v>
      </c>
      <c r="BC153" s="229">
        <v>0.86160000000000003</v>
      </c>
      <c r="BD153" s="230">
        <v>146300</v>
      </c>
      <c r="BE153" s="230">
        <v>96900</v>
      </c>
      <c r="BF153" s="230">
        <v>49400</v>
      </c>
      <c r="BG153" s="229">
        <v>0.50980000000000003</v>
      </c>
      <c r="BH153" s="230">
        <v>43225000</v>
      </c>
      <c r="BI153" s="230">
        <v>13628700</v>
      </c>
      <c r="BJ153" s="230">
        <v>29596300</v>
      </c>
      <c r="BK153" s="229">
        <v>2.1716000000000002</v>
      </c>
      <c r="BL153" s="230">
        <v>17620600</v>
      </c>
      <c r="BM153" s="230">
        <v>9714700</v>
      </c>
      <c r="BN153" s="230">
        <v>7905900</v>
      </c>
      <c r="BO153" s="229">
        <v>0.81379999999999997</v>
      </c>
      <c r="BP153" s="230">
        <v>70569800</v>
      </c>
      <c r="BQ153" s="230">
        <v>29288500</v>
      </c>
      <c r="BR153" s="230">
        <v>41281300</v>
      </c>
      <c r="BS153" s="229">
        <v>1.4095</v>
      </c>
      <c r="BT153" s="230">
        <v>9260209</v>
      </c>
      <c r="BU153" s="230">
        <v>3068439</v>
      </c>
      <c r="BV153" s="230">
        <v>6191770</v>
      </c>
      <c r="BW153" s="229">
        <v>2.0179</v>
      </c>
      <c r="BX153" s="230">
        <v>32784500</v>
      </c>
      <c r="BY153" s="230">
        <v>33481800</v>
      </c>
      <c r="BZ153" s="230">
        <v>-697300</v>
      </c>
      <c r="CA153" s="229">
        <v>-2.0799999999999999E-2</v>
      </c>
      <c r="CB153" s="230">
        <v>25992000</v>
      </c>
      <c r="CC153" s="230">
        <v>26706400</v>
      </c>
      <c r="CD153" s="230">
        <v>-714400</v>
      </c>
      <c r="CE153" s="229">
        <v>-2.6800000000000001E-2</v>
      </c>
      <c r="CF153" s="230">
        <v>6064800</v>
      </c>
      <c r="CG153" s="230">
        <v>6080000</v>
      </c>
      <c r="CH153" s="230">
        <v>-15200</v>
      </c>
      <c r="CI153" s="229">
        <v>-2.5000000000000001E-3</v>
      </c>
      <c r="CJ153" s="230">
        <v>727700</v>
      </c>
      <c r="CK153" s="230">
        <v>695400</v>
      </c>
      <c r="CL153" s="230">
        <v>32300</v>
      </c>
      <c r="CM153" s="229">
        <v>4.6399999999999997E-2</v>
      </c>
      <c r="CN153" s="230">
        <v>17248200</v>
      </c>
      <c r="CO153" s="230">
        <v>16607900</v>
      </c>
      <c r="CP153" s="230">
        <v>640300</v>
      </c>
      <c r="CQ153" s="229">
        <v>3.8600000000000002E-2</v>
      </c>
      <c r="CR153" s="230">
        <v>15760500</v>
      </c>
      <c r="CS153" s="230">
        <v>15585700</v>
      </c>
      <c r="CT153" s="230">
        <v>174800</v>
      </c>
      <c r="CU153" s="229">
        <v>1.12E-2</v>
      </c>
      <c r="CV153" s="230">
        <v>65793200</v>
      </c>
      <c r="CW153" s="230">
        <v>65675400</v>
      </c>
      <c r="CX153" s="230">
        <v>117800</v>
      </c>
      <c r="CY153" s="229">
        <v>1.8E-3</v>
      </c>
      <c r="CZ153" s="228">
        <v>41.08</v>
      </c>
      <c r="DA153" s="228">
        <v>41.25</v>
      </c>
      <c r="DB153" s="228">
        <v>-0.17</v>
      </c>
      <c r="DC153" s="228">
        <v>-0.17</v>
      </c>
      <c r="DD153" s="228">
        <v>35.35</v>
      </c>
      <c r="DE153" s="228">
        <v>35.29</v>
      </c>
      <c r="DF153" s="228">
        <v>5.73</v>
      </c>
      <c r="DG153" s="228">
        <v>0.06</v>
      </c>
      <c r="DH153" s="228">
        <v>40.119999999999997</v>
      </c>
      <c r="DI153" s="228">
        <v>39.909999999999997</v>
      </c>
      <c r="DJ153" s="228">
        <v>0.21</v>
      </c>
      <c r="DK153" s="228">
        <v>0.21</v>
      </c>
      <c r="DL153" s="228">
        <v>43.43</v>
      </c>
      <c r="DM153" s="228">
        <v>43.13</v>
      </c>
      <c r="DN153" s="228">
        <v>0.3</v>
      </c>
      <c r="DO153" s="228">
        <v>0.3</v>
      </c>
      <c r="DP153" s="228">
        <v>0.91</v>
      </c>
      <c r="DQ153" s="228">
        <v>0.94</v>
      </c>
      <c r="DR153" s="228">
        <v>-0.03</v>
      </c>
      <c r="DS153" s="229">
        <v>-3.1899999999999998E-2</v>
      </c>
      <c r="DT153" s="228">
        <v>310</v>
      </c>
      <c r="DU153" s="228">
        <v>290</v>
      </c>
      <c r="DV153" s="228">
        <v>0.41</v>
      </c>
      <c r="DW153" s="228">
        <v>0.71</v>
      </c>
      <c r="DX153" s="228">
        <v>-0.3</v>
      </c>
      <c r="DY153" s="229">
        <v>-0.42249999999999999</v>
      </c>
      <c r="DZ153" s="229">
        <v>0.2072</v>
      </c>
      <c r="EA153" s="230">
        <v>6775400</v>
      </c>
      <c r="EB153" s="229">
        <v>6.8999999999999999E-3</v>
      </c>
      <c r="EC153" s="229">
        <v>0.2072</v>
      </c>
      <c r="ED153" s="228">
        <v>2.5299999999999998</v>
      </c>
      <c r="EE153" s="229">
        <v>8.6E-3</v>
      </c>
      <c r="EF153" s="230">
        <v>3424124</v>
      </c>
      <c r="EG153" s="230">
        <v>1417802</v>
      </c>
      <c r="EH153" s="229">
        <v>1.4151</v>
      </c>
      <c r="EI153" s="229">
        <v>0.36980000000000002</v>
      </c>
      <c r="EJ153" s="231">
        <v>136437.34</v>
      </c>
      <c r="EK153" s="231">
        <v>50806.57</v>
      </c>
      <c r="EL153" s="231">
        <v>28710.76</v>
      </c>
      <c r="EM153" s="231">
        <v>7239</v>
      </c>
      <c r="EN153" s="231">
        <v>215954.67</v>
      </c>
      <c r="EO153" s="231">
        <v>87856.97</v>
      </c>
      <c r="EP153" s="231">
        <v>128097.7</v>
      </c>
      <c r="EQ153" s="229">
        <v>1.458</v>
      </c>
      <c r="ER153" s="231">
        <v>53591</v>
      </c>
      <c r="ES153" s="231">
        <v>44721</v>
      </c>
      <c r="ET153" s="231">
        <v>97290</v>
      </c>
      <c r="EU153" s="231">
        <v>108255733</v>
      </c>
      <c r="EV153" s="231">
        <v>195602</v>
      </c>
      <c r="EW153" s="231">
        <v>192907</v>
      </c>
      <c r="EX153" s="231">
        <v>2695</v>
      </c>
      <c r="EY153" s="229">
        <v>1.4E-2</v>
      </c>
      <c r="EZ153" s="229">
        <v>0.60780000000000001</v>
      </c>
      <c r="FA153" s="227" t="s">
        <v>556</v>
      </c>
      <c r="FB153" s="161">
        <f>BX225-CB225</f>
        <v>0</v>
      </c>
    </row>
    <row r="154" spans="1:158" ht="17.25" thickBot="1" x14ac:dyDescent="0.3">
      <c r="A154" s="226">
        <v>46093</v>
      </c>
      <c r="B154" s="227" t="s">
        <v>175</v>
      </c>
      <c r="C154" s="227" t="s">
        <v>273</v>
      </c>
      <c r="D154" s="228">
        <v>1300</v>
      </c>
      <c r="E154" s="228">
        <v>415.1</v>
      </c>
      <c r="F154" s="228">
        <v>406.65</v>
      </c>
      <c r="G154" s="228">
        <v>8.4499999999999993</v>
      </c>
      <c r="H154" s="229">
        <v>2.0799999999999999E-2</v>
      </c>
      <c r="I154" s="228">
        <v>415.9</v>
      </c>
      <c r="J154" s="228">
        <v>406.9</v>
      </c>
      <c r="K154" s="228">
        <v>9</v>
      </c>
      <c r="L154" s="229">
        <v>2.2100000000000002E-2</v>
      </c>
      <c r="M154" s="228">
        <v>415.1</v>
      </c>
      <c r="N154" s="228">
        <v>406.65</v>
      </c>
      <c r="O154" s="228">
        <v>8.4499999999999993</v>
      </c>
      <c r="P154" s="229">
        <v>2.0799999999999999E-2</v>
      </c>
      <c r="Q154" s="228">
        <v>417.15</v>
      </c>
      <c r="R154" s="228">
        <v>409.25</v>
      </c>
      <c r="S154" s="228">
        <v>7.9</v>
      </c>
      <c r="T154" s="229">
        <v>1.9300000000000001E-2</v>
      </c>
      <c r="U154" s="228">
        <v>418.7</v>
      </c>
      <c r="V154" s="228">
        <v>411.45</v>
      </c>
      <c r="W154" s="228">
        <v>7.25</v>
      </c>
      <c r="X154" s="229">
        <v>1.7600000000000001E-2</v>
      </c>
      <c r="Y154" s="228">
        <v>-0.8</v>
      </c>
      <c r="Z154" s="228">
        <v>-0.25</v>
      </c>
      <c r="AA154" s="228">
        <v>-0.55000000000000004</v>
      </c>
      <c r="AB154" s="229">
        <v>-1.9E-3</v>
      </c>
      <c r="AC154" s="228">
        <v>-0.8</v>
      </c>
      <c r="AD154" s="228">
        <v>-0.25</v>
      </c>
      <c r="AE154" s="228">
        <v>-0.55000000000000004</v>
      </c>
      <c r="AF154" s="229">
        <v>-1.9E-3</v>
      </c>
      <c r="AG154" s="228">
        <v>1.25</v>
      </c>
      <c r="AH154" s="228">
        <v>2.35</v>
      </c>
      <c r="AI154" s="228">
        <v>-1.1000000000000001</v>
      </c>
      <c r="AJ154" s="229">
        <v>3.0000000000000001E-3</v>
      </c>
      <c r="AK154" s="228">
        <v>2.8</v>
      </c>
      <c r="AL154" s="228">
        <v>4.55</v>
      </c>
      <c r="AM154" s="228">
        <v>-1.75</v>
      </c>
      <c r="AN154" s="229">
        <v>6.7000000000000002E-3</v>
      </c>
      <c r="AO154" s="228">
        <v>410.39</v>
      </c>
      <c r="AP154" s="228">
        <v>411.38</v>
      </c>
      <c r="AQ154" s="228">
        <v>0</v>
      </c>
      <c r="AR154" s="230">
        <v>17904900</v>
      </c>
      <c r="AS154" s="230">
        <v>9404200</v>
      </c>
      <c r="AT154" s="230">
        <v>8500700</v>
      </c>
      <c r="AU154" s="229">
        <v>0.90390000000000004</v>
      </c>
      <c r="AV154" s="230">
        <v>14752400</v>
      </c>
      <c r="AW154" s="230">
        <v>8230300</v>
      </c>
      <c r="AX154" s="230">
        <v>6522100</v>
      </c>
      <c r="AY154" s="229">
        <v>0.79239999999999999</v>
      </c>
      <c r="AZ154" s="230">
        <v>2701400</v>
      </c>
      <c r="BA154" s="230">
        <v>1045200</v>
      </c>
      <c r="BB154" s="230">
        <v>1656200</v>
      </c>
      <c r="BC154" s="229">
        <v>1.5846</v>
      </c>
      <c r="BD154" s="230">
        <v>451100</v>
      </c>
      <c r="BE154" s="230">
        <v>128700</v>
      </c>
      <c r="BF154" s="230">
        <v>322400</v>
      </c>
      <c r="BG154" s="229">
        <v>2.5051000000000001</v>
      </c>
      <c r="BH154" s="230">
        <v>49284300</v>
      </c>
      <c r="BI154" s="230">
        <v>21284900</v>
      </c>
      <c r="BJ154" s="230">
        <v>27999400</v>
      </c>
      <c r="BK154" s="229">
        <v>1.3154999999999999</v>
      </c>
      <c r="BL154" s="230">
        <v>20532200</v>
      </c>
      <c r="BM154" s="230">
        <v>11572600</v>
      </c>
      <c r="BN154" s="230">
        <v>8959600</v>
      </c>
      <c r="BO154" s="229">
        <v>0.7742</v>
      </c>
      <c r="BP154" s="230">
        <v>87721400</v>
      </c>
      <c r="BQ154" s="230">
        <v>42261700</v>
      </c>
      <c r="BR154" s="230">
        <v>45459700</v>
      </c>
      <c r="BS154" s="229">
        <v>1.0757000000000001</v>
      </c>
      <c r="BT154" s="230">
        <v>8945360</v>
      </c>
      <c r="BU154" s="230">
        <v>5907275</v>
      </c>
      <c r="BV154" s="230">
        <v>3038085</v>
      </c>
      <c r="BW154" s="229">
        <v>0.51429999999999998</v>
      </c>
      <c r="BX154" s="230">
        <v>67268500</v>
      </c>
      <c r="BY154" s="230">
        <v>65092300</v>
      </c>
      <c r="BZ154" s="230">
        <v>2176200</v>
      </c>
      <c r="CA154" s="229">
        <v>3.3399999999999999E-2</v>
      </c>
      <c r="CB154" s="230">
        <v>54450500</v>
      </c>
      <c r="CC154" s="230">
        <v>52617500</v>
      </c>
      <c r="CD154" s="230">
        <v>1833000</v>
      </c>
      <c r="CE154" s="229">
        <v>3.4799999999999998E-2</v>
      </c>
      <c r="CF154" s="230">
        <v>9721400</v>
      </c>
      <c r="CG154" s="230">
        <v>9321000</v>
      </c>
      <c r="CH154" s="230">
        <v>400400</v>
      </c>
      <c r="CI154" s="229">
        <v>4.2999999999999997E-2</v>
      </c>
      <c r="CJ154" s="230">
        <v>3096600</v>
      </c>
      <c r="CK154" s="230">
        <v>3153800</v>
      </c>
      <c r="CL154" s="230">
        <v>-57200</v>
      </c>
      <c r="CM154" s="229">
        <v>-1.8100000000000002E-2</v>
      </c>
      <c r="CN154" s="230">
        <v>37209900</v>
      </c>
      <c r="CO154" s="230">
        <v>35261200</v>
      </c>
      <c r="CP154" s="230">
        <v>1948700</v>
      </c>
      <c r="CQ154" s="229">
        <v>5.5300000000000002E-2</v>
      </c>
      <c r="CR154" s="230">
        <v>17535700</v>
      </c>
      <c r="CS154" s="230">
        <v>16439800</v>
      </c>
      <c r="CT154" s="230">
        <v>1095900</v>
      </c>
      <c r="CU154" s="229">
        <v>6.6699999999999995E-2</v>
      </c>
      <c r="CV154" s="230">
        <v>122014100</v>
      </c>
      <c r="CW154" s="230">
        <v>116793300</v>
      </c>
      <c r="CX154" s="230">
        <v>5220800</v>
      </c>
      <c r="CY154" s="229">
        <v>4.4699999999999997E-2</v>
      </c>
      <c r="CZ154" s="228">
        <v>40.1</v>
      </c>
      <c r="DA154" s="228">
        <v>38.5</v>
      </c>
      <c r="DB154" s="228">
        <v>1.6</v>
      </c>
      <c r="DC154" s="228">
        <v>1.6</v>
      </c>
      <c r="DD154" s="228">
        <v>41.62</v>
      </c>
      <c r="DE154" s="228">
        <v>41.63</v>
      </c>
      <c r="DF154" s="228">
        <v>-1.52</v>
      </c>
      <c r="DG154" s="228">
        <v>-0.01</v>
      </c>
      <c r="DH154" s="228">
        <v>39.78</v>
      </c>
      <c r="DI154" s="228">
        <v>38.32</v>
      </c>
      <c r="DJ154" s="228">
        <v>1.46</v>
      </c>
      <c r="DK154" s="228">
        <v>1.46</v>
      </c>
      <c r="DL154" s="228">
        <v>40.880000000000003</v>
      </c>
      <c r="DM154" s="228">
        <v>38.82</v>
      </c>
      <c r="DN154" s="228">
        <v>2.06</v>
      </c>
      <c r="DO154" s="228">
        <v>2.06</v>
      </c>
      <c r="DP154" s="228">
        <v>0.47</v>
      </c>
      <c r="DQ154" s="228">
        <v>0.47</v>
      </c>
      <c r="DR154" s="228">
        <v>0</v>
      </c>
      <c r="DS154" s="229">
        <v>0</v>
      </c>
      <c r="DT154" s="228">
        <v>450</v>
      </c>
      <c r="DU154" s="228">
        <v>400</v>
      </c>
      <c r="DV154" s="228">
        <v>0.42</v>
      </c>
      <c r="DW154" s="228">
        <v>0.54</v>
      </c>
      <c r="DX154" s="228">
        <v>-0.12</v>
      </c>
      <c r="DY154" s="229">
        <v>-0.22220000000000001</v>
      </c>
      <c r="DZ154" s="229">
        <v>0.1905</v>
      </c>
      <c r="EA154" s="230">
        <v>12474800</v>
      </c>
      <c r="EB154" s="229">
        <v>4.8999999999999998E-3</v>
      </c>
      <c r="EC154" s="229">
        <v>0.1905</v>
      </c>
      <c r="ED154" s="228">
        <v>0.99</v>
      </c>
      <c r="EE154" s="229">
        <v>2.3999999999999998E-3</v>
      </c>
      <c r="EF154" s="230">
        <v>3835808</v>
      </c>
      <c r="EG154" s="230">
        <v>2618128</v>
      </c>
      <c r="EH154" s="229">
        <v>0.46510000000000001</v>
      </c>
      <c r="EI154" s="229">
        <v>0.42880000000000001</v>
      </c>
      <c r="EJ154" s="231">
        <v>213264.68</v>
      </c>
      <c r="EK154" s="231">
        <v>83876.899999999994</v>
      </c>
      <c r="EL154" s="231">
        <v>73523.62</v>
      </c>
      <c r="EM154" s="231">
        <v>11662</v>
      </c>
      <c r="EN154" s="231">
        <v>370665.2</v>
      </c>
      <c r="EO154" s="231">
        <v>177379.72</v>
      </c>
      <c r="EP154" s="231">
        <v>193285.48</v>
      </c>
      <c r="EQ154" s="229">
        <v>1.0896999999999999</v>
      </c>
      <c r="ER154" s="231">
        <v>160927</v>
      </c>
      <c r="ES154" s="231">
        <v>69388</v>
      </c>
      <c r="ET154" s="231">
        <v>279542</v>
      </c>
      <c r="EU154" s="231">
        <v>217835555</v>
      </c>
      <c r="EV154" s="231">
        <v>509858</v>
      </c>
      <c r="EW154" s="231">
        <v>482635</v>
      </c>
      <c r="EX154" s="231">
        <v>27223</v>
      </c>
      <c r="EY154" s="229">
        <v>5.6399999999999999E-2</v>
      </c>
      <c r="EZ154" s="229">
        <v>0.56010000000000004</v>
      </c>
      <c r="FA154" s="227" t="s">
        <v>555</v>
      </c>
      <c r="FB154" s="161">
        <f t="shared" si="3"/>
        <v>0</v>
      </c>
    </row>
    <row r="155" spans="1:158" ht="17.25" thickBot="1" x14ac:dyDescent="0.3">
      <c r="A155" s="226">
        <v>46093</v>
      </c>
      <c r="B155" s="227" t="s">
        <v>184</v>
      </c>
      <c r="C155" s="227" t="s">
        <v>679</v>
      </c>
      <c r="D155" s="228">
        <v>950</v>
      </c>
      <c r="E155" s="228">
        <v>531.79999999999995</v>
      </c>
      <c r="F155" s="228">
        <v>551.35</v>
      </c>
      <c r="G155" s="228">
        <v>-19.55</v>
      </c>
      <c r="H155" s="229">
        <v>-3.5499999999999997E-2</v>
      </c>
      <c r="I155" s="228">
        <v>532.20000000000005</v>
      </c>
      <c r="J155" s="228">
        <v>550.1</v>
      </c>
      <c r="K155" s="228">
        <v>-17.899999999999999</v>
      </c>
      <c r="L155" s="229">
        <v>-3.2500000000000001E-2</v>
      </c>
      <c r="M155" s="228">
        <v>531.79999999999995</v>
      </c>
      <c r="N155" s="228">
        <v>551.35</v>
      </c>
      <c r="O155" s="228">
        <v>-19.55</v>
      </c>
      <c r="P155" s="229">
        <v>-3.5499999999999997E-2</v>
      </c>
      <c r="Q155" s="228">
        <v>533.79999999999995</v>
      </c>
      <c r="R155" s="228">
        <v>553.25</v>
      </c>
      <c r="S155" s="228">
        <v>-19.45</v>
      </c>
      <c r="T155" s="229">
        <v>-3.5200000000000002E-2</v>
      </c>
      <c r="U155" s="228">
        <v>536</v>
      </c>
      <c r="V155" s="228">
        <v>555.1</v>
      </c>
      <c r="W155" s="228">
        <v>-19.100000000000001</v>
      </c>
      <c r="X155" s="229">
        <v>-3.44E-2</v>
      </c>
      <c r="Y155" s="228">
        <v>-0.4</v>
      </c>
      <c r="Z155" s="228">
        <v>1.25</v>
      </c>
      <c r="AA155" s="228">
        <v>-1.65</v>
      </c>
      <c r="AB155" s="229">
        <v>-8.0000000000000004E-4</v>
      </c>
      <c r="AC155" s="228">
        <v>-0.4</v>
      </c>
      <c r="AD155" s="228">
        <v>1.25</v>
      </c>
      <c r="AE155" s="228">
        <v>-1.65</v>
      </c>
      <c r="AF155" s="229">
        <v>-8.0000000000000004E-4</v>
      </c>
      <c r="AG155" s="228">
        <v>1.6</v>
      </c>
      <c r="AH155" s="228">
        <v>3.15</v>
      </c>
      <c r="AI155" s="228">
        <v>-1.55</v>
      </c>
      <c r="AJ155" s="229">
        <v>3.0000000000000001E-3</v>
      </c>
      <c r="AK155" s="228">
        <v>3.8</v>
      </c>
      <c r="AL155" s="228">
        <v>5</v>
      </c>
      <c r="AM155" s="228">
        <v>-1.2</v>
      </c>
      <c r="AN155" s="229">
        <v>7.1000000000000004E-3</v>
      </c>
      <c r="AO155" s="228">
        <v>536.53</v>
      </c>
      <c r="AP155" s="228">
        <v>538.6</v>
      </c>
      <c r="AQ155" s="228">
        <v>0</v>
      </c>
      <c r="AR155" s="230">
        <v>4935250</v>
      </c>
      <c r="AS155" s="230">
        <v>6391600</v>
      </c>
      <c r="AT155" s="230">
        <v>-1456350</v>
      </c>
      <c r="AU155" s="229">
        <v>-0.22789999999999999</v>
      </c>
      <c r="AV155" s="230">
        <v>4671150</v>
      </c>
      <c r="AW155" s="230">
        <v>6057200</v>
      </c>
      <c r="AX155" s="230">
        <v>-1386050</v>
      </c>
      <c r="AY155" s="229">
        <v>-0.2288</v>
      </c>
      <c r="AZ155" s="230">
        <v>248900</v>
      </c>
      <c r="BA155" s="230">
        <v>308750</v>
      </c>
      <c r="BB155" s="230">
        <v>-59850</v>
      </c>
      <c r="BC155" s="229">
        <v>-0.1938</v>
      </c>
      <c r="BD155" s="230">
        <v>15200</v>
      </c>
      <c r="BE155" s="230">
        <v>25650</v>
      </c>
      <c r="BF155" s="230">
        <v>-10450</v>
      </c>
      <c r="BG155" s="229">
        <v>-0.40739999999999998</v>
      </c>
      <c r="BH155" s="230">
        <v>10382550</v>
      </c>
      <c r="BI155" s="230">
        <v>21493750</v>
      </c>
      <c r="BJ155" s="230">
        <v>-11111200</v>
      </c>
      <c r="BK155" s="229">
        <v>-0.51700000000000002</v>
      </c>
      <c r="BL155" s="230">
        <v>7693100</v>
      </c>
      <c r="BM155" s="230">
        <v>7208600</v>
      </c>
      <c r="BN155" s="230">
        <v>484500</v>
      </c>
      <c r="BO155" s="229">
        <v>6.7199999999999996E-2</v>
      </c>
      <c r="BP155" s="230">
        <v>23010900</v>
      </c>
      <c r="BQ155" s="230">
        <v>35093950</v>
      </c>
      <c r="BR155" s="230">
        <v>-12083050</v>
      </c>
      <c r="BS155" s="229">
        <v>-0.34429999999999999</v>
      </c>
      <c r="BT155" s="230">
        <v>3579154</v>
      </c>
      <c r="BU155" s="230">
        <v>4874038</v>
      </c>
      <c r="BV155" s="230">
        <v>-1294884</v>
      </c>
      <c r="BW155" s="229">
        <v>-0.26569999999999999</v>
      </c>
      <c r="BX155" s="230">
        <v>13925100</v>
      </c>
      <c r="BY155" s="230">
        <v>14499850</v>
      </c>
      <c r="BZ155" s="230">
        <v>-574750</v>
      </c>
      <c r="CA155" s="229">
        <v>-3.9600000000000003E-2</v>
      </c>
      <c r="CB155" s="230">
        <v>13555550</v>
      </c>
      <c r="CC155" s="230">
        <v>14148350</v>
      </c>
      <c r="CD155" s="230">
        <v>-592800</v>
      </c>
      <c r="CE155" s="229">
        <v>-4.19E-2</v>
      </c>
      <c r="CF155" s="230">
        <v>323000</v>
      </c>
      <c r="CG155" s="230">
        <v>309700</v>
      </c>
      <c r="CH155" s="230">
        <v>13300</v>
      </c>
      <c r="CI155" s="229">
        <v>4.2900000000000001E-2</v>
      </c>
      <c r="CJ155" s="230">
        <v>46550</v>
      </c>
      <c r="CK155" s="230">
        <v>41800</v>
      </c>
      <c r="CL155" s="230">
        <v>4750</v>
      </c>
      <c r="CM155" s="229">
        <v>0.11360000000000001</v>
      </c>
      <c r="CN155" s="230">
        <v>8427450</v>
      </c>
      <c r="CO155" s="230">
        <v>8567100</v>
      </c>
      <c r="CP155" s="230">
        <v>-139650</v>
      </c>
      <c r="CQ155" s="229">
        <v>-1.6299999999999999E-2</v>
      </c>
      <c r="CR155" s="230">
        <v>5530900</v>
      </c>
      <c r="CS155" s="230">
        <v>5567000</v>
      </c>
      <c r="CT155" s="230">
        <v>-36100</v>
      </c>
      <c r="CU155" s="229">
        <v>-6.4999999999999997E-3</v>
      </c>
      <c r="CV155" s="230">
        <v>27883450</v>
      </c>
      <c r="CW155" s="230">
        <v>28633950</v>
      </c>
      <c r="CX155" s="230">
        <v>-750500</v>
      </c>
      <c r="CY155" s="229">
        <v>-2.6200000000000001E-2</v>
      </c>
      <c r="CZ155" s="228">
        <v>53.95</v>
      </c>
      <c r="DA155" s="228">
        <v>54.09</v>
      </c>
      <c r="DB155" s="228">
        <v>-0.14000000000000001</v>
      </c>
      <c r="DC155" s="228">
        <v>-0.14000000000000001</v>
      </c>
      <c r="DD155" s="228">
        <v>64.819999999999993</v>
      </c>
      <c r="DE155" s="228">
        <v>64.8</v>
      </c>
      <c r="DF155" s="228">
        <v>-10.87</v>
      </c>
      <c r="DG155" s="228">
        <v>0.02</v>
      </c>
      <c r="DH155" s="228">
        <v>54.01</v>
      </c>
      <c r="DI155" s="228">
        <v>52.46</v>
      </c>
      <c r="DJ155" s="228">
        <v>1.55</v>
      </c>
      <c r="DK155" s="228">
        <v>1.55</v>
      </c>
      <c r="DL155" s="228">
        <v>53.88</v>
      </c>
      <c r="DM155" s="228">
        <v>58.94</v>
      </c>
      <c r="DN155" s="228">
        <v>-5.0599999999999996</v>
      </c>
      <c r="DO155" s="228">
        <v>-5.0599999999999996</v>
      </c>
      <c r="DP155" s="228">
        <v>0.66</v>
      </c>
      <c r="DQ155" s="228">
        <v>0.65</v>
      </c>
      <c r="DR155" s="228">
        <v>0.01</v>
      </c>
      <c r="DS155" s="229">
        <v>1.54E-2</v>
      </c>
      <c r="DT155" s="228">
        <v>600</v>
      </c>
      <c r="DU155" s="228">
        <v>550</v>
      </c>
      <c r="DV155" s="228">
        <v>0.74</v>
      </c>
      <c r="DW155" s="228">
        <v>0.34</v>
      </c>
      <c r="DX155" s="228">
        <v>0.4</v>
      </c>
      <c r="DY155" s="229">
        <v>1.1765000000000001</v>
      </c>
      <c r="DZ155" s="229">
        <v>2.6499999999999999E-2</v>
      </c>
      <c r="EA155" s="230">
        <v>351500</v>
      </c>
      <c r="EB155" s="229">
        <v>3.8E-3</v>
      </c>
      <c r="EC155" s="229">
        <v>2.6499999999999999E-2</v>
      </c>
      <c r="ED155" s="228">
        <v>2.0699999999999998</v>
      </c>
      <c r="EE155" s="229">
        <v>3.8999999999999998E-3</v>
      </c>
      <c r="EF155" s="230">
        <v>726617</v>
      </c>
      <c r="EG155" s="230">
        <v>872741</v>
      </c>
      <c r="EH155" s="229">
        <v>-0.16739999999999999</v>
      </c>
      <c r="EI155" s="229">
        <v>0.20300000000000001</v>
      </c>
      <c r="EJ155" s="231">
        <v>61422.83</v>
      </c>
      <c r="EK155" s="231">
        <v>41406.93</v>
      </c>
      <c r="EL155" s="231">
        <v>26484.89</v>
      </c>
      <c r="EM155" s="231">
        <v>8395</v>
      </c>
      <c r="EN155" s="231">
        <v>129314.65</v>
      </c>
      <c r="EO155" s="231">
        <v>203879.74</v>
      </c>
      <c r="EP155" s="231">
        <v>-74565.09</v>
      </c>
      <c r="EQ155" s="229">
        <v>-0.36570000000000003</v>
      </c>
      <c r="ER155" s="231">
        <v>50444</v>
      </c>
      <c r="ES155" s="231">
        <v>29780</v>
      </c>
      <c r="ET155" s="231">
        <v>74062</v>
      </c>
      <c r="EU155" s="231">
        <v>24030912</v>
      </c>
      <c r="EV155" s="231">
        <v>154286</v>
      </c>
      <c r="EW155" s="231">
        <v>161382</v>
      </c>
      <c r="EX155" s="231">
        <v>-7096</v>
      </c>
      <c r="EY155" s="229">
        <v>-4.3999999999999997E-2</v>
      </c>
      <c r="EZ155" s="229">
        <v>1.1603000000000001</v>
      </c>
      <c r="FA155" s="227" t="s">
        <v>568</v>
      </c>
      <c r="FB155" s="161">
        <f t="shared" si="3"/>
        <v>0</v>
      </c>
    </row>
    <row r="156" spans="1:158" ht="17.25" thickBot="1" x14ac:dyDescent="0.3">
      <c r="A156" s="226">
        <v>46093</v>
      </c>
      <c r="B156" s="227" t="s">
        <v>206</v>
      </c>
      <c r="C156" s="227" t="s">
        <v>645</v>
      </c>
      <c r="D156" s="228">
        <v>350</v>
      </c>
      <c r="E156" s="231">
        <v>1562</v>
      </c>
      <c r="F156" s="231">
        <v>1580.2</v>
      </c>
      <c r="G156" s="228">
        <v>-18.2</v>
      </c>
      <c r="H156" s="229">
        <v>-1.15E-2</v>
      </c>
      <c r="I156" s="231">
        <v>1560.2</v>
      </c>
      <c r="J156" s="231">
        <v>1575.7</v>
      </c>
      <c r="K156" s="228">
        <v>-15.5</v>
      </c>
      <c r="L156" s="229">
        <v>-9.7999999999999997E-3</v>
      </c>
      <c r="M156" s="231">
        <v>1562</v>
      </c>
      <c r="N156" s="231">
        <v>1580.2</v>
      </c>
      <c r="O156" s="228">
        <v>-18.2</v>
      </c>
      <c r="P156" s="229">
        <v>-1.15E-2</v>
      </c>
      <c r="Q156" s="231">
        <v>1569.8</v>
      </c>
      <c r="R156" s="231">
        <v>1584.4</v>
      </c>
      <c r="S156" s="228">
        <v>-14.6</v>
      </c>
      <c r="T156" s="229">
        <v>-9.1999999999999998E-3</v>
      </c>
      <c r="U156" s="231">
        <v>1580.3</v>
      </c>
      <c r="V156" s="231">
        <v>1631.7</v>
      </c>
      <c r="W156" s="228">
        <v>-51.4</v>
      </c>
      <c r="X156" s="229">
        <v>-3.15E-2</v>
      </c>
      <c r="Y156" s="228">
        <v>1.8</v>
      </c>
      <c r="Z156" s="228">
        <v>4.5</v>
      </c>
      <c r="AA156" s="228">
        <v>-2.7</v>
      </c>
      <c r="AB156" s="229">
        <v>1.1999999999999999E-3</v>
      </c>
      <c r="AC156" s="228">
        <v>1.8</v>
      </c>
      <c r="AD156" s="228">
        <v>4.5</v>
      </c>
      <c r="AE156" s="228">
        <v>-2.7</v>
      </c>
      <c r="AF156" s="229">
        <v>1.1999999999999999E-3</v>
      </c>
      <c r="AG156" s="228">
        <v>9.6</v>
      </c>
      <c r="AH156" s="228">
        <v>8.6999999999999993</v>
      </c>
      <c r="AI156" s="228">
        <v>0.9</v>
      </c>
      <c r="AJ156" s="229">
        <v>6.1999999999999998E-3</v>
      </c>
      <c r="AK156" s="228">
        <v>20.100000000000001</v>
      </c>
      <c r="AL156" s="228">
        <v>56</v>
      </c>
      <c r="AM156" s="228">
        <v>-35.9</v>
      </c>
      <c r="AN156" s="229">
        <v>1.29E-2</v>
      </c>
      <c r="AO156" s="231">
        <v>1566.31</v>
      </c>
      <c r="AP156" s="231">
        <v>1572.56</v>
      </c>
      <c r="AQ156" s="228">
        <v>0</v>
      </c>
      <c r="AR156" s="230">
        <v>620200</v>
      </c>
      <c r="AS156" s="230">
        <v>335300</v>
      </c>
      <c r="AT156" s="230">
        <v>284900</v>
      </c>
      <c r="AU156" s="229">
        <v>0.84970000000000001</v>
      </c>
      <c r="AV156" s="230">
        <v>606200</v>
      </c>
      <c r="AW156" s="230">
        <v>331450</v>
      </c>
      <c r="AX156" s="230">
        <v>274750</v>
      </c>
      <c r="AY156" s="229">
        <v>0.82889999999999997</v>
      </c>
      <c r="AZ156" s="230">
        <v>13300</v>
      </c>
      <c r="BA156" s="230">
        <v>3850</v>
      </c>
      <c r="BB156" s="230">
        <v>9450</v>
      </c>
      <c r="BC156" s="229">
        <v>2.4544999999999999</v>
      </c>
      <c r="BD156" s="228">
        <v>700</v>
      </c>
      <c r="BE156" s="228">
        <v>0</v>
      </c>
      <c r="BF156" s="228">
        <v>700</v>
      </c>
      <c r="BG156" s="229">
        <v>0</v>
      </c>
      <c r="BH156" s="230">
        <v>821100</v>
      </c>
      <c r="BI156" s="230">
        <v>413700</v>
      </c>
      <c r="BJ156" s="230">
        <v>407400</v>
      </c>
      <c r="BK156" s="229">
        <v>0.98480000000000001</v>
      </c>
      <c r="BL156" s="230">
        <v>137900</v>
      </c>
      <c r="BM156" s="230">
        <v>168350</v>
      </c>
      <c r="BN156" s="230">
        <v>-30450</v>
      </c>
      <c r="BO156" s="229">
        <v>-0.18090000000000001</v>
      </c>
      <c r="BP156" s="230">
        <v>1579200</v>
      </c>
      <c r="BQ156" s="230">
        <v>917350</v>
      </c>
      <c r="BR156" s="230">
        <v>661850</v>
      </c>
      <c r="BS156" s="229">
        <v>0.72150000000000003</v>
      </c>
      <c r="BT156" s="230">
        <v>478009</v>
      </c>
      <c r="BU156" s="230">
        <v>265933</v>
      </c>
      <c r="BV156" s="230">
        <v>212076</v>
      </c>
      <c r="BW156" s="229">
        <v>0.79749999999999999</v>
      </c>
      <c r="BX156" s="230">
        <v>4138050</v>
      </c>
      <c r="BY156" s="230">
        <v>4120200</v>
      </c>
      <c r="BZ156" s="230">
        <v>17850</v>
      </c>
      <c r="CA156" s="229">
        <v>4.3E-3</v>
      </c>
      <c r="CB156" s="230">
        <v>4063500</v>
      </c>
      <c r="CC156" s="230">
        <v>4048800</v>
      </c>
      <c r="CD156" s="230">
        <v>14700</v>
      </c>
      <c r="CE156" s="229">
        <v>3.5999999999999999E-3</v>
      </c>
      <c r="CF156" s="230">
        <v>73850</v>
      </c>
      <c r="CG156" s="230">
        <v>70700</v>
      </c>
      <c r="CH156" s="230">
        <v>3150</v>
      </c>
      <c r="CI156" s="229">
        <v>4.4600000000000001E-2</v>
      </c>
      <c r="CJ156" s="228">
        <v>700</v>
      </c>
      <c r="CK156" s="228">
        <v>700</v>
      </c>
      <c r="CL156" s="228">
        <v>0</v>
      </c>
      <c r="CM156" s="229">
        <v>0</v>
      </c>
      <c r="CN156" s="230">
        <v>1152200</v>
      </c>
      <c r="CO156" s="230">
        <v>1133300</v>
      </c>
      <c r="CP156" s="230">
        <v>18900</v>
      </c>
      <c r="CQ156" s="229">
        <v>1.67E-2</v>
      </c>
      <c r="CR156" s="230">
        <v>684600</v>
      </c>
      <c r="CS156" s="230">
        <v>686700</v>
      </c>
      <c r="CT156" s="230">
        <v>-2100</v>
      </c>
      <c r="CU156" s="229">
        <v>-3.0999999999999999E-3</v>
      </c>
      <c r="CV156" s="230">
        <v>5974850</v>
      </c>
      <c r="CW156" s="230">
        <v>5940200</v>
      </c>
      <c r="CX156" s="230">
        <v>34650</v>
      </c>
      <c r="CY156" s="229">
        <v>5.7999999999999996E-3</v>
      </c>
      <c r="CZ156" s="228">
        <v>29.87</v>
      </c>
      <c r="DA156" s="228">
        <v>31.69</v>
      </c>
      <c r="DB156" s="228">
        <v>-1.82</v>
      </c>
      <c r="DC156" s="228">
        <v>-1.82</v>
      </c>
      <c r="DD156" s="228">
        <v>38.369999999999997</v>
      </c>
      <c r="DE156" s="228">
        <v>38.44</v>
      </c>
      <c r="DF156" s="228">
        <v>-8.5</v>
      </c>
      <c r="DG156" s="228">
        <v>-7.0000000000000007E-2</v>
      </c>
      <c r="DH156" s="228">
        <v>29.88</v>
      </c>
      <c r="DI156" s="228">
        <v>31.01</v>
      </c>
      <c r="DJ156" s="228">
        <v>-1.1299999999999999</v>
      </c>
      <c r="DK156" s="228">
        <v>-1.1299999999999999</v>
      </c>
      <c r="DL156" s="228">
        <v>29.78</v>
      </c>
      <c r="DM156" s="228">
        <v>33.35</v>
      </c>
      <c r="DN156" s="228">
        <v>-3.57</v>
      </c>
      <c r="DO156" s="228">
        <v>-3.57</v>
      </c>
      <c r="DP156" s="228">
        <v>0.59</v>
      </c>
      <c r="DQ156" s="228">
        <v>0.61</v>
      </c>
      <c r="DR156" s="228">
        <v>-0.02</v>
      </c>
      <c r="DS156" s="229">
        <v>-3.2800000000000003E-2</v>
      </c>
      <c r="DT156" s="231">
        <v>1720</v>
      </c>
      <c r="DU156" s="231">
        <v>1600</v>
      </c>
      <c r="DV156" s="228">
        <v>0.17</v>
      </c>
      <c r="DW156" s="228">
        <v>0.41</v>
      </c>
      <c r="DX156" s="228">
        <v>-0.24</v>
      </c>
      <c r="DY156" s="229">
        <v>-0.58540000000000003</v>
      </c>
      <c r="DZ156" s="229">
        <v>1.7999999999999999E-2</v>
      </c>
      <c r="EA156" s="230">
        <v>71400</v>
      </c>
      <c r="EB156" s="229">
        <v>5.0000000000000001E-3</v>
      </c>
      <c r="EC156" s="229">
        <v>1.7999999999999999E-2</v>
      </c>
      <c r="ED156" s="228">
        <v>6.25</v>
      </c>
      <c r="EE156" s="229">
        <v>4.0000000000000001E-3</v>
      </c>
      <c r="EF156" s="230">
        <v>284017</v>
      </c>
      <c r="EG156" s="230">
        <v>141152</v>
      </c>
      <c r="EH156" s="229">
        <v>1.0121</v>
      </c>
      <c r="EI156" s="229">
        <v>0.59419999999999995</v>
      </c>
      <c r="EJ156" s="231">
        <v>13880.96</v>
      </c>
      <c r="EK156" s="231">
        <v>2167.04</v>
      </c>
      <c r="EL156" s="231">
        <v>9715.2199999999993</v>
      </c>
      <c r="EM156" s="231">
        <v>2219</v>
      </c>
      <c r="EN156" s="231">
        <v>25763.22</v>
      </c>
      <c r="EO156" s="231">
        <v>15017.46</v>
      </c>
      <c r="EP156" s="231">
        <v>10745.76</v>
      </c>
      <c r="EQ156" s="229">
        <v>0.71560000000000001</v>
      </c>
      <c r="ER156" s="231">
        <v>19634</v>
      </c>
      <c r="ES156" s="231">
        <v>11141</v>
      </c>
      <c r="ET156" s="231">
        <v>64642</v>
      </c>
      <c r="EU156" s="231">
        <v>19533471</v>
      </c>
      <c r="EV156" s="231">
        <v>95418</v>
      </c>
      <c r="EW156" s="231">
        <v>95776</v>
      </c>
      <c r="EX156" s="228">
        <v>-358</v>
      </c>
      <c r="EY156" s="229">
        <v>-3.7000000000000002E-3</v>
      </c>
      <c r="EZ156" s="229">
        <v>0.30590000000000001</v>
      </c>
      <c r="FA156" s="227" t="s">
        <v>567</v>
      </c>
      <c r="FB156" s="161">
        <f t="shared" si="3"/>
        <v>0</v>
      </c>
    </row>
    <row r="157" spans="1:158" ht="17.25" thickBot="1" x14ac:dyDescent="0.3">
      <c r="A157" s="226">
        <v>46093</v>
      </c>
      <c r="B157" s="227" t="s">
        <v>168</v>
      </c>
      <c r="C157" s="227" t="s">
        <v>274</v>
      </c>
      <c r="D157" s="228">
        <v>500</v>
      </c>
      <c r="E157" s="231">
        <v>1387</v>
      </c>
      <c r="F157" s="231">
        <v>1401.4</v>
      </c>
      <c r="G157" s="228">
        <v>-14.4</v>
      </c>
      <c r="H157" s="229">
        <v>-1.03E-2</v>
      </c>
      <c r="I157" s="231">
        <v>1387.4</v>
      </c>
      <c r="J157" s="231">
        <v>1403.4</v>
      </c>
      <c r="K157" s="228">
        <v>-16</v>
      </c>
      <c r="L157" s="229">
        <v>-1.14E-2</v>
      </c>
      <c r="M157" s="231">
        <v>1387</v>
      </c>
      <c r="N157" s="231">
        <v>1401.4</v>
      </c>
      <c r="O157" s="228">
        <v>-14.4</v>
      </c>
      <c r="P157" s="229">
        <v>-1.03E-2</v>
      </c>
      <c r="Q157" s="231">
        <v>1395.3</v>
      </c>
      <c r="R157" s="231">
        <v>1409.3</v>
      </c>
      <c r="S157" s="228">
        <v>-14</v>
      </c>
      <c r="T157" s="229">
        <v>-9.9000000000000008E-3</v>
      </c>
      <c r="U157" s="231">
        <v>1409.7</v>
      </c>
      <c r="V157" s="231">
        <v>1427</v>
      </c>
      <c r="W157" s="228">
        <v>-17.3</v>
      </c>
      <c r="X157" s="229">
        <v>-1.21E-2</v>
      </c>
      <c r="Y157" s="228">
        <v>-0.4</v>
      </c>
      <c r="Z157" s="228">
        <v>-2</v>
      </c>
      <c r="AA157" s="228">
        <v>1.6</v>
      </c>
      <c r="AB157" s="229">
        <v>-2.9999999999999997E-4</v>
      </c>
      <c r="AC157" s="228">
        <v>-0.4</v>
      </c>
      <c r="AD157" s="228">
        <v>-2</v>
      </c>
      <c r="AE157" s="228">
        <v>1.6</v>
      </c>
      <c r="AF157" s="229">
        <v>-2.9999999999999997E-4</v>
      </c>
      <c r="AG157" s="228">
        <v>7.9</v>
      </c>
      <c r="AH157" s="228">
        <v>5.9</v>
      </c>
      <c r="AI157" s="228">
        <v>2</v>
      </c>
      <c r="AJ157" s="229">
        <v>5.7000000000000002E-3</v>
      </c>
      <c r="AK157" s="228">
        <v>22.3</v>
      </c>
      <c r="AL157" s="228">
        <v>23.6</v>
      </c>
      <c r="AM157" s="228">
        <v>-1.3</v>
      </c>
      <c r="AN157" s="229">
        <v>1.61E-2</v>
      </c>
      <c r="AO157" s="231">
        <v>1386.65</v>
      </c>
      <c r="AP157" s="231">
        <v>1394.58</v>
      </c>
      <c r="AQ157" s="228">
        <v>0</v>
      </c>
      <c r="AR157" s="230">
        <v>626000</v>
      </c>
      <c r="AS157" s="230">
        <v>604000</v>
      </c>
      <c r="AT157" s="230">
        <v>22000</v>
      </c>
      <c r="AU157" s="229">
        <v>3.6400000000000002E-2</v>
      </c>
      <c r="AV157" s="230">
        <v>598000</v>
      </c>
      <c r="AW157" s="230">
        <v>584500</v>
      </c>
      <c r="AX157" s="230">
        <v>13500</v>
      </c>
      <c r="AY157" s="229">
        <v>2.3099999999999999E-2</v>
      </c>
      <c r="AZ157" s="230">
        <v>26000</v>
      </c>
      <c r="BA157" s="230">
        <v>17500</v>
      </c>
      <c r="BB157" s="230">
        <v>8500</v>
      </c>
      <c r="BC157" s="229">
        <v>0.48570000000000002</v>
      </c>
      <c r="BD157" s="230">
        <v>2000</v>
      </c>
      <c r="BE157" s="230">
        <v>2000</v>
      </c>
      <c r="BF157" s="228">
        <v>0</v>
      </c>
      <c r="BG157" s="229">
        <v>0</v>
      </c>
      <c r="BH157" s="230">
        <v>791500</v>
      </c>
      <c r="BI157" s="230">
        <v>1029500</v>
      </c>
      <c r="BJ157" s="230">
        <v>-238000</v>
      </c>
      <c r="BK157" s="229">
        <v>-0.23119999999999999</v>
      </c>
      <c r="BL157" s="230">
        <v>707500</v>
      </c>
      <c r="BM157" s="230">
        <v>775000</v>
      </c>
      <c r="BN157" s="230">
        <v>-67500</v>
      </c>
      <c r="BO157" s="229">
        <v>-8.7099999999999997E-2</v>
      </c>
      <c r="BP157" s="230">
        <v>2125000</v>
      </c>
      <c r="BQ157" s="230">
        <v>2408500</v>
      </c>
      <c r="BR157" s="230">
        <v>-283500</v>
      </c>
      <c r="BS157" s="229">
        <v>-0.1177</v>
      </c>
      <c r="BT157" s="230">
        <v>866632</v>
      </c>
      <c r="BU157" s="230">
        <v>290718</v>
      </c>
      <c r="BV157" s="230">
        <v>575914</v>
      </c>
      <c r="BW157" s="229">
        <v>1.9810000000000001</v>
      </c>
      <c r="BX157" s="230">
        <v>8116000</v>
      </c>
      <c r="BY157" s="230">
        <v>8090000</v>
      </c>
      <c r="BZ157" s="230">
        <v>26000</v>
      </c>
      <c r="CA157" s="229">
        <v>3.2000000000000002E-3</v>
      </c>
      <c r="CB157" s="230">
        <v>8041500</v>
      </c>
      <c r="CC157" s="230">
        <v>8022000</v>
      </c>
      <c r="CD157" s="230">
        <v>19500</v>
      </c>
      <c r="CE157" s="229">
        <v>2.3999999999999998E-3</v>
      </c>
      <c r="CF157" s="230">
        <v>61500</v>
      </c>
      <c r="CG157" s="230">
        <v>55500</v>
      </c>
      <c r="CH157" s="230">
        <v>6000</v>
      </c>
      <c r="CI157" s="229">
        <v>0.1081</v>
      </c>
      <c r="CJ157" s="230">
        <v>13000</v>
      </c>
      <c r="CK157" s="230">
        <v>12500</v>
      </c>
      <c r="CL157" s="228">
        <v>500</v>
      </c>
      <c r="CM157" s="229">
        <v>0.04</v>
      </c>
      <c r="CN157" s="230">
        <v>1738500</v>
      </c>
      <c r="CO157" s="230">
        <v>1744500</v>
      </c>
      <c r="CP157" s="230">
        <v>-6000</v>
      </c>
      <c r="CQ157" s="229">
        <v>-3.3999999999999998E-3</v>
      </c>
      <c r="CR157" s="230">
        <v>1013500</v>
      </c>
      <c r="CS157" s="230">
        <v>995000</v>
      </c>
      <c r="CT157" s="230">
        <v>18500</v>
      </c>
      <c r="CU157" s="229">
        <v>1.8599999999999998E-2</v>
      </c>
      <c r="CV157" s="230">
        <v>10868000</v>
      </c>
      <c r="CW157" s="230">
        <v>10829500</v>
      </c>
      <c r="CX157" s="230">
        <v>38500</v>
      </c>
      <c r="CY157" s="229">
        <v>3.5999999999999999E-3</v>
      </c>
      <c r="CZ157" s="228">
        <v>27.53</v>
      </c>
      <c r="DA157" s="228">
        <v>26.45</v>
      </c>
      <c r="DB157" s="228">
        <v>1.08</v>
      </c>
      <c r="DC157" s="228">
        <v>1.08</v>
      </c>
      <c r="DD157" s="228">
        <v>22.21</v>
      </c>
      <c r="DE157" s="228">
        <v>22.22</v>
      </c>
      <c r="DF157" s="228">
        <v>5.32</v>
      </c>
      <c r="DG157" s="228">
        <v>-0.01</v>
      </c>
      <c r="DH157" s="228">
        <v>26.52</v>
      </c>
      <c r="DI157" s="228">
        <v>25.67</v>
      </c>
      <c r="DJ157" s="228">
        <v>0.85</v>
      </c>
      <c r="DK157" s="228">
        <v>0.85</v>
      </c>
      <c r="DL157" s="228">
        <v>28.66</v>
      </c>
      <c r="DM157" s="228">
        <v>27.49</v>
      </c>
      <c r="DN157" s="228">
        <v>1.17</v>
      </c>
      <c r="DO157" s="228">
        <v>1.17</v>
      </c>
      <c r="DP157" s="228">
        <v>0.57999999999999996</v>
      </c>
      <c r="DQ157" s="228">
        <v>0.56999999999999995</v>
      </c>
      <c r="DR157" s="228">
        <v>0.01</v>
      </c>
      <c r="DS157" s="229">
        <v>1.7500000000000002E-2</v>
      </c>
      <c r="DT157" s="231">
        <v>1500</v>
      </c>
      <c r="DU157" s="231">
        <v>1400</v>
      </c>
      <c r="DV157" s="228">
        <v>0.89</v>
      </c>
      <c r="DW157" s="228">
        <v>0.75</v>
      </c>
      <c r="DX157" s="228">
        <v>0.14000000000000001</v>
      </c>
      <c r="DY157" s="229">
        <v>0.1867</v>
      </c>
      <c r="DZ157" s="229">
        <v>9.1999999999999998E-3</v>
      </c>
      <c r="EA157" s="230">
        <v>68000</v>
      </c>
      <c r="EB157" s="229">
        <v>6.0000000000000001E-3</v>
      </c>
      <c r="EC157" s="229">
        <v>9.1999999999999998E-3</v>
      </c>
      <c r="ED157" s="228">
        <v>7.93</v>
      </c>
      <c r="EE157" s="229">
        <v>5.7000000000000002E-3</v>
      </c>
      <c r="EF157" s="230">
        <v>676071</v>
      </c>
      <c r="EG157" s="230">
        <v>157800</v>
      </c>
      <c r="EH157" s="229">
        <v>3.2844000000000002</v>
      </c>
      <c r="EI157" s="229">
        <v>0.78010000000000002</v>
      </c>
      <c r="EJ157" s="231">
        <v>11678.82</v>
      </c>
      <c r="EK157" s="231">
        <v>9759.7199999999993</v>
      </c>
      <c r="EL157" s="231">
        <v>8682.8700000000008</v>
      </c>
      <c r="EM157" s="231">
        <v>1952</v>
      </c>
      <c r="EN157" s="231">
        <v>30121.41</v>
      </c>
      <c r="EO157" s="231">
        <v>34760.07</v>
      </c>
      <c r="EP157" s="231">
        <v>-4638.66</v>
      </c>
      <c r="EQ157" s="229">
        <v>-0.13339999999999999</v>
      </c>
      <c r="ER157" s="231">
        <v>26232</v>
      </c>
      <c r="ES157" s="231">
        <v>14248</v>
      </c>
      <c r="ET157" s="231">
        <v>112577</v>
      </c>
      <c r="EU157" s="231">
        <v>31214205</v>
      </c>
      <c r="EV157" s="231">
        <v>153057</v>
      </c>
      <c r="EW157" s="231">
        <v>153771</v>
      </c>
      <c r="EX157" s="228">
        <v>-714</v>
      </c>
      <c r="EY157" s="229">
        <v>-4.5999999999999999E-3</v>
      </c>
      <c r="EZ157" s="229">
        <v>0.34820000000000001</v>
      </c>
      <c r="FA157" s="227" t="s">
        <v>567</v>
      </c>
      <c r="FB157" s="161">
        <f t="shared" si="3"/>
        <v>0</v>
      </c>
    </row>
    <row r="158" spans="1:158" ht="17.25" thickBot="1" x14ac:dyDescent="0.3">
      <c r="A158" s="226">
        <v>46093</v>
      </c>
      <c r="B158" s="227" t="s">
        <v>498</v>
      </c>
      <c r="C158" s="227" t="s">
        <v>483</v>
      </c>
      <c r="D158" s="228">
        <v>175</v>
      </c>
      <c r="E158" s="231">
        <v>2958.8</v>
      </c>
      <c r="F158" s="231">
        <v>3009.8</v>
      </c>
      <c r="G158" s="228">
        <v>-51</v>
      </c>
      <c r="H158" s="229">
        <v>-1.6899999999999998E-2</v>
      </c>
      <c r="I158" s="231">
        <v>2952.4</v>
      </c>
      <c r="J158" s="231">
        <v>3012.3</v>
      </c>
      <c r="K158" s="228">
        <v>-59.9</v>
      </c>
      <c r="L158" s="229">
        <v>-1.9900000000000001E-2</v>
      </c>
      <c r="M158" s="231">
        <v>2958.8</v>
      </c>
      <c r="N158" s="231">
        <v>3009.8</v>
      </c>
      <c r="O158" s="228">
        <v>-51</v>
      </c>
      <c r="P158" s="229">
        <v>-1.6899999999999998E-2</v>
      </c>
      <c r="Q158" s="231">
        <v>2928.7</v>
      </c>
      <c r="R158" s="231">
        <v>2976.5</v>
      </c>
      <c r="S158" s="228">
        <v>-47.8</v>
      </c>
      <c r="T158" s="229">
        <v>-1.61E-2</v>
      </c>
      <c r="U158" s="231">
        <v>2917</v>
      </c>
      <c r="V158" s="231">
        <v>2975</v>
      </c>
      <c r="W158" s="228">
        <v>-58</v>
      </c>
      <c r="X158" s="229">
        <v>-1.95E-2</v>
      </c>
      <c r="Y158" s="228">
        <v>6.4</v>
      </c>
      <c r="Z158" s="228">
        <v>-2.5</v>
      </c>
      <c r="AA158" s="228">
        <v>8.9</v>
      </c>
      <c r="AB158" s="229">
        <v>2.2000000000000001E-3</v>
      </c>
      <c r="AC158" s="228">
        <v>6.4</v>
      </c>
      <c r="AD158" s="228">
        <v>-2.5</v>
      </c>
      <c r="AE158" s="228">
        <v>8.9</v>
      </c>
      <c r="AF158" s="229">
        <v>2.2000000000000001E-3</v>
      </c>
      <c r="AG158" s="228">
        <v>-23.7</v>
      </c>
      <c r="AH158" s="228">
        <v>-35.799999999999997</v>
      </c>
      <c r="AI158" s="228">
        <v>12.1</v>
      </c>
      <c r="AJ158" s="229">
        <v>-8.0000000000000002E-3</v>
      </c>
      <c r="AK158" s="228">
        <v>-35.4</v>
      </c>
      <c r="AL158" s="228">
        <v>-37.299999999999997</v>
      </c>
      <c r="AM158" s="228">
        <v>1.9</v>
      </c>
      <c r="AN158" s="229">
        <v>-1.2E-2</v>
      </c>
      <c r="AO158" s="231">
        <v>2971.46</v>
      </c>
      <c r="AP158" s="231">
        <v>2939.46</v>
      </c>
      <c r="AQ158" s="228">
        <v>0</v>
      </c>
      <c r="AR158" s="230">
        <v>359800</v>
      </c>
      <c r="AS158" s="230">
        <v>500150</v>
      </c>
      <c r="AT158" s="230">
        <v>-140350</v>
      </c>
      <c r="AU158" s="229">
        <v>-0.28060000000000002</v>
      </c>
      <c r="AV158" s="230">
        <v>325850</v>
      </c>
      <c r="AW158" s="230">
        <v>464275</v>
      </c>
      <c r="AX158" s="230">
        <v>-138425</v>
      </c>
      <c r="AY158" s="229">
        <v>-0.29820000000000002</v>
      </c>
      <c r="AZ158" s="230">
        <v>29750</v>
      </c>
      <c r="BA158" s="230">
        <v>33075</v>
      </c>
      <c r="BB158" s="230">
        <v>-3325</v>
      </c>
      <c r="BC158" s="229">
        <v>-0.10050000000000001</v>
      </c>
      <c r="BD158" s="230">
        <v>4200</v>
      </c>
      <c r="BE158" s="230">
        <v>2800</v>
      </c>
      <c r="BF158" s="230">
        <v>1400</v>
      </c>
      <c r="BG158" s="229">
        <v>0.5</v>
      </c>
      <c r="BH158" s="230">
        <v>694050</v>
      </c>
      <c r="BI158" s="230">
        <v>507325</v>
      </c>
      <c r="BJ158" s="230">
        <v>186725</v>
      </c>
      <c r="BK158" s="229">
        <v>0.36809999999999998</v>
      </c>
      <c r="BL158" s="230">
        <v>355600</v>
      </c>
      <c r="BM158" s="230">
        <v>463925</v>
      </c>
      <c r="BN158" s="230">
        <v>-108325</v>
      </c>
      <c r="BO158" s="229">
        <v>-0.23350000000000001</v>
      </c>
      <c r="BP158" s="230">
        <v>1409450</v>
      </c>
      <c r="BQ158" s="230">
        <v>1471400</v>
      </c>
      <c r="BR158" s="230">
        <v>-61950</v>
      </c>
      <c r="BS158" s="229">
        <v>-4.2099999999999999E-2</v>
      </c>
      <c r="BT158" s="230">
        <v>199733</v>
      </c>
      <c r="BU158" s="230">
        <v>147757</v>
      </c>
      <c r="BV158" s="230">
        <v>51976</v>
      </c>
      <c r="BW158" s="229">
        <v>0.3518</v>
      </c>
      <c r="BX158" s="230">
        <v>3421775</v>
      </c>
      <c r="BY158" s="230">
        <v>3454150</v>
      </c>
      <c r="BZ158" s="230">
        <v>-32375</v>
      </c>
      <c r="CA158" s="229">
        <v>-9.4000000000000004E-3</v>
      </c>
      <c r="CB158" s="230">
        <v>3169425</v>
      </c>
      <c r="CC158" s="230">
        <v>3218425</v>
      </c>
      <c r="CD158" s="230">
        <v>-49000</v>
      </c>
      <c r="CE158" s="229">
        <v>-1.52E-2</v>
      </c>
      <c r="CF158" s="230">
        <v>243950</v>
      </c>
      <c r="CG158" s="230">
        <v>229600</v>
      </c>
      <c r="CH158" s="230">
        <v>14350</v>
      </c>
      <c r="CI158" s="229">
        <v>6.25E-2</v>
      </c>
      <c r="CJ158" s="230">
        <v>8400</v>
      </c>
      <c r="CK158" s="230">
        <v>6125</v>
      </c>
      <c r="CL158" s="230">
        <v>2275</v>
      </c>
      <c r="CM158" s="229">
        <v>0.37140000000000001</v>
      </c>
      <c r="CN158" s="230">
        <v>749175</v>
      </c>
      <c r="CO158" s="230">
        <v>688975</v>
      </c>
      <c r="CP158" s="230">
        <v>60200</v>
      </c>
      <c r="CQ158" s="229">
        <v>8.7400000000000005E-2</v>
      </c>
      <c r="CR158" s="230">
        <v>439425</v>
      </c>
      <c r="CS158" s="230">
        <v>432075</v>
      </c>
      <c r="CT158" s="230">
        <v>7350</v>
      </c>
      <c r="CU158" s="229">
        <v>1.7000000000000001E-2</v>
      </c>
      <c r="CV158" s="230">
        <v>4610375</v>
      </c>
      <c r="CW158" s="230">
        <v>4575200</v>
      </c>
      <c r="CX158" s="230">
        <v>35175</v>
      </c>
      <c r="CY158" s="229">
        <v>7.7000000000000002E-3</v>
      </c>
      <c r="CZ158" s="228">
        <v>31.1</v>
      </c>
      <c r="DA158" s="228">
        <v>31.02</v>
      </c>
      <c r="DB158" s="228">
        <v>0.08</v>
      </c>
      <c r="DC158" s="228">
        <v>0.08</v>
      </c>
      <c r="DD158" s="228">
        <v>29.32</v>
      </c>
      <c r="DE158" s="228">
        <v>29.31</v>
      </c>
      <c r="DF158" s="228">
        <v>1.78</v>
      </c>
      <c r="DG158" s="228">
        <v>0.01</v>
      </c>
      <c r="DH158" s="228">
        <v>30.62</v>
      </c>
      <c r="DI158" s="228">
        <v>30.16</v>
      </c>
      <c r="DJ158" s="228">
        <v>0.46</v>
      </c>
      <c r="DK158" s="228">
        <v>0.46</v>
      </c>
      <c r="DL158" s="228">
        <v>32.04</v>
      </c>
      <c r="DM158" s="228">
        <v>31.95</v>
      </c>
      <c r="DN158" s="228">
        <v>0.09</v>
      </c>
      <c r="DO158" s="228">
        <v>0.09</v>
      </c>
      <c r="DP158" s="228">
        <v>0.59</v>
      </c>
      <c r="DQ158" s="228">
        <v>0.63</v>
      </c>
      <c r="DR158" s="228">
        <v>-0.04</v>
      </c>
      <c r="DS158" s="229">
        <v>-6.3500000000000001E-2</v>
      </c>
      <c r="DT158" s="231">
        <v>3100</v>
      </c>
      <c r="DU158" s="231">
        <v>2800</v>
      </c>
      <c r="DV158" s="228">
        <v>0.51</v>
      </c>
      <c r="DW158" s="228">
        <v>0.91</v>
      </c>
      <c r="DX158" s="228">
        <v>-0.4</v>
      </c>
      <c r="DY158" s="229">
        <v>-0.43959999999999999</v>
      </c>
      <c r="DZ158" s="229">
        <v>7.3700000000000002E-2</v>
      </c>
      <c r="EA158" s="230">
        <v>235725</v>
      </c>
      <c r="EB158" s="229">
        <v>-1.0200000000000001E-2</v>
      </c>
      <c r="EC158" s="229">
        <v>7.3700000000000002E-2</v>
      </c>
      <c r="ED158" s="228">
        <v>-32</v>
      </c>
      <c r="EE158" s="229">
        <v>-1.0800000000000001E-2</v>
      </c>
      <c r="EF158" s="230">
        <v>113492</v>
      </c>
      <c r="EG158" s="230">
        <v>54573</v>
      </c>
      <c r="EH158" s="229">
        <v>1.0795999999999999</v>
      </c>
      <c r="EI158" s="229">
        <v>0.56820000000000004</v>
      </c>
      <c r="EJ158" s="231">
        <v>21901.5</v>
      </c>
      <c r="EK158" s="231">
        <v>10486.52</v>
      </c>
      <c r="EL158" s="231">
        <v>10679.87</v>
      </c>
      <c r="EM158" s="231">
        <v>2362</v>
      </c>
      <c r="EN158" s="231">
        <v>43067.89</v>
      </c>
      <c r="EO158" s="231">
        <v>45580.86</v>
      </c>
      <c r="EP158" s="231">
        <v>-2512.9699999999998</v>
      </c>
      <c r="EQ158" s="229">
        <v>-5.5100000000000003E-2</v>
      </c>
      <c r="ER158" s="231">
        <v>23837</v>
      </c>
      <c r="ES158" s="231">
        <v>13142</v>
      </c>
      <c r="ET158" s="231">
        <v>101167</v>
      </c>
      <c r="EU158" s="231">
        <v>10712372</v>
      </c>
      <c r="EV158" s="231">
        <v>138146</v>
      </c>
      <c r="EW158" s="231">
        <v>138999</v>
      </c>
      <c r="EX158" s="228">
        <v>-853</v>
      </c>
      <c r="EY158" s="229">
        <v>-6.1000000000000004E-3</v>
      </c>
      <c r="EZ158" s="229">
        <v>0.4304</v>
      </c>
      <c r="FA158" s="227" t="s">
        <v>568</v>
      </c>
      <c r="FB158" s="161">
        <f t="shared" si="3"/>
        <v>0</v>
      </c>
    </row>
    <row r="159" spans="1:158" ht="17.25" thickBot="1" x14ac:dyDescent="0.3">
      <c r="A159" s="226">
        <v>46093</v>
      </c>
      <c r="B159" s="227" t="s">
        <v>172</v>
      </c>
      <c r="C159" s="227" t="s">
        <v>275</v>
      </c>
      <c r="D159" s="228">
        <v>8000</v>
      </c>
      <c r="E159" s="228">
        <v>116.96</v>
      </c>
      <c r="F159" s="228">
        <v>116.01</v>
      </c>
      <c r="G159" s="228">
        <v>0.95</v>
      </c>
      <c r="H159" s="229">
        <v>8.2000000000000007E-3</v>
      </c>
      <c r="I159" s="228">
        <v>116.61</v>
      </c>
      <c r="J159" s="228">
        <v>115.84</v>
      </c>
      <c r="K159" s="228">
        <v>0.77</v>
      </c>
      <c r="L159" s="229">
        <v>6.6E-3</v>
      </c>
      <c r="M159" s="228">
        <v>116.96</v>
      </c>
      <c r="N159" s="228">
        <v>116.01</v>
      </c>
      <c r="O159" s="228">
        <v>0.95</v>
      </c>
      <c r="P159" s="229">
        <v>8.2000000000000007E-3</v>
      </c>
      <c r="Q159" s="228">
        <v>117.73</v>
      </c>
      <c r="R159" s="228">
        <v>116.73</v>
      </c>
      <c r="S159" s="228">
        <v>1</v>
      </c>
      <c r="T159" s="229">
        <v>8.6E-3</v>
      </c>
      <c r="U159" s="228">
        <v>118.3</v>
      </c>
      <c r="V159" s="228">
        <v>117.45</v>
      </c>
      <c r="W159" s="228">
        <v>0.85</v>
      </c>
      <c r="X159" s="229">
        <v>7.1999999999999998E-3</v>
      </c>
      <c r="Y159" s="228">
        <v>0.35</v>
      </c>
      <c r="Z159" s="228">
        <v>0.17</v>
      </c>
      <c r="AA159" s="228">
        <v>0.18</v>
      </c>
      <c r="AB159" s="229">
        <v>3.0000000000000001E-3</v>
      </c>
      <c r="AC159" s="228">
        <v>0.35</v>
      </c>
      <c r="AD159" s="228">
        <v>0.17</v>
      </c>
      <c r="AE159" s="228">
        <v>0.18</v>
      </c>
      <c r="AF159" s="229">
        <v>3.0000000000000001E-3</v>
      </c>
      <c r="AG159" s="228">
        <v>1.1200000000000001</v>
      </c>
      <c r="AH159" s="228">
        <v>0.89</v>
      </c>
      <c r="AI159" s="228">
        <v>0.23</v>
      </c>
      <c r="AJ159" s="229">
        <v>9.5999999999999992E-3</v>
      </c>
      <c r="AK159" s="228">
        <v>1.69</v>
      </c>
      <c r="AL159" s="228">
        <v>1.61</v>
      </c>
      <c r="AM159" s="228">
        <v>0.08</v>
      </c>
      <c r="AN159" s="229">
        <v>1.4500000000000001E-2</v>
      </c>
      <c r="AO159" s="228">
        <v>116.41</v>
      </c>
      <c r="AP159" s="228">
        <v>117.17</v>
      </c>
      <c r="AQ159" s="228">
        <v>0</v>
      </c>
      <c r="AR159" s="230">
        <v>46720000</v>
      </c>
      <c r="AS159" s="230">
        <v>34664000</v>
      </c>
      <c r="AT159" s="230">
        <v>12056000</v>
      </c>
      <c r="AU159" s="229">
        <v>0.3478</v>
      </c>
      <c r="AV159" s="230">
        <v>40936000</v>
      </c>
      <c r="AW159" s="230">
        <v>29728000</v>
      </c>
      <c r="AX159" s="230">
        <v>11208000</v>
      </c>
      <c r="AY159" s="229">
        <v>0.377</v>
      </c>
      <c r="AZ159" s="230">
        <v>5280000</v>
      </c>
      <c r="BA159" s="230">
        <v>4464000</v>
      </c>
      <c r="BB159" s="230">
        <v>816000</v>
      </c>
      <c r="BC159" s="229">
        <v>0.18279999999999999</v>
      </c>
      <c r="BD159" s="230">
        <v>504000</v>
      </c>
      <c r="BE159" s="230">
        <v>472000</v>
      </c>
      <c r="BF159" s="230">
        <v>32000</v>
      </c>
      <c r="BG159" s="229">
        <v>6.7799999999999999E-2</v>
      </c>
      <c r="BH159" s="230">
        <v>76784000</v>
      </c>
      <c r="BI159" s="230">
        <v>63360000</v>
      </c>
      <c r="BJ159" s="230">
        <v>13424000</v>
      </c>
      <c r="BK159" s="229">
        <v>0.21190000000000001</v>
      </c>
      <c r="BL159" s="230">
        <v>47784000</v>
      </c>
      <c r="BM159" s="230">
        <v>43960000</v>
      </c>
      <c r="BN159" s="230">
        <v>3824000</v>
      </c>
      <c r="BO159" s="229">
        <v>8.6999999999999994E-2</v>
      </c>
      <c r="BP159" s="230">
        <v>171288000</v>
      </c>
      <c r="BQ159" s="230">
        <v>141984000</v>
      </c>
      <c r="BR159" s="230">
        <v>29304000</v>
      </c>
      <c r="BS159" s="229">
        <v>0.2064</v>
      </c>
      <c r="BT159" s="230">
        <v>13879582</v>
      </c>
      <c r="BU159" s="230">
        <v>15133356</v>
      </c>
      <c r="BV159" s="230">
        <v>-1253774</v>
      </c>
      <c r="BW159" s="229">
        <v>-8.2799999999999999E-2</v>
      </c>
      <c r="BX159" s="230">
        <v>266560000</v>
      </c>
      <c r="BY159" s="230">
        <v>266912000</v>
      </c>
      <c r="BZ159" s="230">
        <v>-352000</v>
      </c>
      <c r="CA159" s="229">
        <v>-1.2999999999999999E-3</v>
      </c>
      <c r="CB159" s="230">
        <v>243064000</v>
      </c>
      <c r="CC159" s="230">
        <v>244480000</v>
      </c>
      <c r="CD159" s="230">
        <v>-1416000</v>
      </c>
      <c r="CE159" s="229">
        <v>-5.7999999999999996E-3</v>
      </c>
      <c r="CF159" s="230">
        <v>18472000</v>
      </c>
      <c r="CG159" s="230">
        <v>17384000</v>
      </c>
      <c r="CH159" s="230">
        <v>1088000</v>
      </c>
      <c r="CI159" s="229">
        <v>6.2600000000000003E-2</v>
      </c>
      <c r="CJ159" s="230">
        <v>5024000</v>
      </c>
      <c r="CK159" s="230">
        <v>5048000</v>
      </c>
      <c r="CL159" s="230">
        <v>-24000</v>
      </c>
      <c r="CM159" s="229">
        <v>-4.7999999999999996E-3</v>
      </c>
      <c r="CN159" s="230">
        <v>125288000</v>
      </c>
      <c r="CO159" s="230">
        <v>129648000</v>
      </c>
      <c r="CP159" s="230">
        <v>-4360000</v>
      </c>
      <c r="CQ159" s="229">
        <v>-3.3599999999999998E-2</v>
      </c>
      <c r="CR159" s="230">
        <v>86312000</v>
      </c>
      <c r="CS159" s="230">
        <v>84824000</v>
      </c>
      <c r="CT159" s="230">
        <v>1488000</v>
      </c>
      <c r="CU159" s="229">
        <v>1.7500000000000002E-2</v>
      </c>
      <c r="CV159" s="230">
        <v>478160000</v>
      </c>
      <c r="CW159" s="230">
        <v>481384000</v>
      </c>
      <c r="CX159" s="230">
        <v>-3224000</v>
      </c>
      <c r="CY159" s="229">
        <v>-6.7000000000000002E-3</v>
      </c>
      <c r="CZ159" s="228">
        <v>38.450000000000003</v>
      </c>
      <c r="DA159" s="228">
        <v>38.340000000000003</v>
      </c>
      <c r="DB159" s="228">
        <v>0.11</v>
      </c>
      <c r="DC159" s="228">
        <v>0.11</v>
      </c>
      <c r="DD159" s="228">
        <v>35.380000000000003</v>
      </c>
      <c r="DE159" s="228">
        <v>35.450000000000003</v>
      </c>
      <c r="DF159" s="228">
        <v>3.07</v>
      </c>
      <c r="DG159" s="228">
        <v>-7.0000000000000007E-2</v>
      </c>
      <c r="DH159" s="228">
        <v>37.24</v>
      </c>
      <c r="DI159" s="228">
        <v>38</v>
      </c>
      <c r="DJ159" s="228">
        <v>-0.76</v>
      </c>
      <c r="DK159" s="228">
        <v>-0.76</v>
      </c>
      <c r="DL159" s="228">
        <v>40.409999999999997</v>
      </c>
      <c r="DM159" s="228">
        <v>38.83</v>
      </c>
      <c r="DN159" s="228">
        <v>1.58</v>
      </c>
      <c r="DO159" s="228">
        <v>1.58</v>
      </c>
      <c r="DP159" s="228">
        <v>0.69</v>
      </c>
      <c r="DQ159" s="228">
        <v>0.65</v>
      </c>
      <c r="DR159" s="228">
        <v>0.04</v>
      </c>
      <c r="DS159" s="229">
        <v>6.1499999999999999E-2</v>
      </c>
      <c r="DT159" s="228">
        <v>130</v>
      </c>
      <c r="DU159" s="228">
        <v>120</v>
      </c>
      <c r="DV159" s="228">
        <v>0.62</v>
      </c>
      <c r="DW159" s="228">
        <v>0.69</v>
      </c>
      <c r="DX159" s="228">
        <v>-7.0000000000000007E-2</v>
      </c>
      <c r="DY159" s="229">
        <v>-0.1014</v>
      </c>
      <c r="DZ159" s="229">
        <v>8.8099999999999998E-2</v>
      </c>
      <c r="EA159" s="230">
        <v>22432000</v>
      </c>
      <c r="EB159" s="229">
        <v>6.6E-3</v>
      </c>
      <c r="EC159" s="229">
        <v>8.8099999999999998E-2</v>
      </c>
      <c r="ED159" s="228">
        <v>0.76</v>
      </c>
      <c r="EE159" s="229">
        <v>6.4999999999999997E-3</v>
      </c>
      <c r="EF159" s="230">
        <v>3974518</v>
      </c>
      <c r="EG159" s="230">
        <v>6468536</v>
      </c>
      <c r="EH159" s="229">
        <v>-0.3856</v>
      </c>
      <c r="EI159" s="229">
        <v>0.28639999999999999</v>
      </c>
      <c r="EJ159" s="231">
        <v>96793.48</v>
      </c>
      <c r="EK159" s="231">
        <v>54894.51</v>
      </c>
      <c r="EL159" s="231">
        <v>54435.85</v>
      </c>
      <c r="EM159" s="231">
        <v>6922</v>
      </c>
      <c r="EN159" s="231">
        <v>206123.84</v>
      </c>
      <c r="EO159" s="231">
        <v>172067.66</v>
      </c>
      <c r="EP159" s="231">
        <v>34056.18</v>
      </c>
      <c r="EQ159" s="229">
        <v>0.19789999999999999</v>
      </c>
      <c r="ER159" s="231">
        <v>161547</v>
      </c>
      <c r="ES159" s="231">
        <v>102890</v>
      </c>
      <c r="ET159" s="231">
        <v>311978</v>
      </c>
      <c r="EU159" s="231">
        <v>515822637</v>
      </c>
      <c r="EV159" s="231">
        <v>576415</v>
      </c>
      <c r="EW159" s="231">
        <v>578865</v>
      </c>
      <c r="EX159" s="231">
        <v>-2450</v>
      </c>
      <c r="EY159" s="229">
        <v>-4.1999999999999997E-3</v>
      </c>
      <c r="EZ159" s="229">
        <v>0.92700000000000005</v>
      </c>
      <c r="FA159" s="227" t="s">
        <v>556</v>
      </c>
      <c r="FB159" s="161">
        <f t="shared" si="3"/>
        <v>0</v>
      </c>
    </row>
    <row r="160" spans="1:158" ht="17.25" thickBot="1" x14ac:dyDescent="0.3">
      <c r="A160" s="226">
        <v>46093</v>
      </c>
      <c r="B160" s="227" t="s">
        <v>175</v>
      </c>
      <c r="C160" s="227" t="s">
        <v>669</v>
      </c>
      <c r="D160" s="228">
        <v>650</v>
      </c>
      <c r="E160" s="228">
        <v>781.2</v>
      </c>
      <c r="F160" s="228">
        <v>777.35</v>
      </c>
      <c r="G160" s="228">
        <v>3.85</v>
      </c>
      <c r="H160" s="229">
        <v>5.0000000000000001E-3</v>
      </c>
      <c r="I160" s="228">
        <v>780.15</v>
      </c>
      <c r="J160" s="228">
        <v>776.5</v>
      </c>
      <c r="K160" s="228">
        <v>3.65</v>
      </c>
      <c r="L160" s="229">
        <v>4.7000000000000002E-3</v>
      </c>
      <c r="M160" s="228">
        <v>781.2</v>
      </c>
      <c r="N160" s="228">
        <v>777.35</v>
      </c>
      <c r="O160" s="228">
        <v>3.85</v>
      </c>
      <c r="P160" s="229">
        <v>5.0000000000000001E-3</v>
      </c>
      <c r="Q160" s="228">
        <v>786.25</v>
      </c>
      <c r="R160" s="228">
        <v>783.5</v>
      </c>
      <c r="S160" s="228">
        <v>2.75</v>
      </c>
      <c r="T160" s="229">
        <v>3.5000000000000001E-3</v>
      </c>
      <c r="U160" s="228">
        <v>791.85</v>
      </c>
      <c r="V160" s="228">
        <v>786</v>
      </c>
      <c r="W160" s="228">
        <v>5.85</v>
      </c>
      <c r="X160" s="229">
        <v>7.4000000000000003E-3</v>
      </c>
      <c r="Y160" s="228">
        <v>1.05</v>
      </c>
      <c r="Z160" s="228">
        <v>0.85</v>
      </c>
      <c r="AA160" s="228">
        <v>0.2</v>
      </c>
      <c r="AB160" s="229">
        <v>1.2999999999999999E-3</v>
      </c>
      <c r="AC160" s="228">
        <v>1.05</v>
      </c>
      <c r="AD160" s="228">
        <v>0.85</v>
      </c>
      <c r="AE160" s="228">
        <v>0.2</v>
      </c>
      <c r="AF160" s="229">
        <v>1.2999999999999999E-3</v>
      </c>
      <c r="AG160" s="228">
        <v>6.1</v>
      </c>
      <c r="AH160" s="228">
        <v>7</v>
      </c>
      <c r="AI160" s="228">
        <v>-0.9</v>
      </c>
      <c r="AJ160" s="229">
        <v>7.7999999999999996E-3</v>
      </c>
      <c r="AK160" s="228">
        <v>11.7</v>
      </c>
      <c r="AL160" s="228">
        <v>9.5</v>
      </c>
      <c r="AM160" s="228">
        <v>2.2000000000000002</v>
      </c>
      <c r="AN160" s="229">
        <v>1.4999999999999999E-2</v>
      </c>
      <c r="AO160" s="228">
        <v>773.53</v>
      </c>
      <c r="AP160" s="228">
        <v>778.02</v>
      </c>
      <c r="AQ160" s="228">
        <v>0</v>
      </c>
      <c r="AR160" s="230">
        <v>1895400</v>
      </c>
      <c r="AS160" s="230">
        <v>2048150</v>
      </c>
      <c r="AT160" s="230">
        <v>-152750</v>
      </c>
      <c r="AU160" s="229">
        <v>-7.46E-2</v>
      </c>
      <c r="AV160" s="230">
        <v>1792700</v>
      </c>
      <c r="AW160" s="230">
        <v>1934400</v>
      </c>
      <c r="AX160" s="230">
        <v>-141700</v>
      </c>
      <c r="AY160" s="229">
        <v>-7.3300000000000004E-2</v>
      </c>
      <c r="AZ160" s="230">
        <v>94900</v>
      </c>
      <c r="BA160" s="230">
        <v>102700</v>
      </c>
      <c r="BB160" s="230">
        <v>-7800</v>
      </c>
      <c r="BC160" s="229">
        <v>-7.5899999999999995E-2</v>
      </c>
      <c r="BD160" s="230">
        <v>7800</v>
      </c>
      <c r="BE160" s="230">
        <v>11050</v>
      </c>
      <c r="BF160" s="230">
        <v>-3250</v>
      </c>
      <c r="BG160" s="229">
        <v>-0.29409999999999997</v>
      </c>
      <c r="BH160" s="230">
        <v>2518750</v>
      </c>
      <c r="BI160" s="230">
        <v>4223700</v>
      </c>
      <c r="BJ160" s="230">
        <v>-1704950</v>
      </c>
      <c r="BK160" s="229">
        <v>-0.4037</v>
      </c>
      <c r="BL160" s="230">
        <v>3339050</v>
      </c>
      <c r="BM160" s="230">
        <v>3259100</v>
      </c>
      <c r="BN160" s="230">
        <v>79950</v>
      </c>
      <c r="BO160" s="229">
        <v>2.4500000000000001E-2</v>
      </c>
      <c r="BP160" s="230">
        <v>7753200</v>
      </c>
      <c r="BQ160" s="230">
        <v>9530950</v>
      </c>
      <c r="BR160" s="230">
        <v>-1777750</v>
      </c>
      <c r="BS160" s="229">
        <v>-0.1865</v>
      </c>
      <c r="BT160" s="230">
        <v>1043717</v>
      </c>
      <c r="BU160" s="230">
        <v>928142</v>
      </c>
      <c r="BV160" s="230">
        <v>115575</v>
      </c>
      <c r="BW160" s="229">
        <v>0.1245</v>
      </c>
      <c r="BX160" s="230">
        <v>13540150</v>
      </c>
      <c r="BY160" s="230">
        <v>13707200</v>
      </c>
      <c r="BZ160" s="230">
        <v>-167050</v>
      </c>
      <c r="CA160" s="229">
        <v>-1.2200000000000001E-2</v>
      </c>
      <c r="CB160" s="230">
        <v>13064350</v>
      </c>
      <c r="CC160" s="230">
        <v>13242450</v>
      </c>
      <c r="CD160" s="230">
        <v>-178100</v>
      </c>
      <c r="CE160" s="229">
        <v>-1.34E-2</v>
      </c>
      <c r="CF160" s="230">
        <v>442650</v>
      </c>
      <c r="CG160" s="230">
        <v>432900</v>
      </c>
      <c r="CH160" s="230">
        <v>9750</v>
      </c>
      <c r="CI160" s="229">
        <v>2.2499999999999999E-2</v>
      </c>
      <c r="CJ160" s="230">
        <v>33150</v>
      </c>
      <c r="CK160" s="230">
        <v>31850</v>
      </c>
      <c r="CL160" s="230">
        <v>1300</v>
      </c>
      <c r="CM160" s="229">
        <v>4.0800000000000003E-2</v>
      </c>
      <c r="CN160" s="230">
        <v>2687750</v>
      </c>
      <c r="CO160" s="230">
        <v>2583750</v>
      </c>
      <c r="CP160" s="230">
        <v>104000</v>
      </c>
      <c r="CQ160" s="229">
        <v>4.0300000000000002E-2</v>
      </c>
      <c r="CR160" s="230">
        <v>2276950</v>
      </c>
      <c r="CS160" s="230">
        <v>2163850</v>
      </c>
      <c r="CT160" s="230">
        <v>113100</v>
      </c>
      <c r="CU160" s="229">
        <v>5.2299999999999999E-2</v>
      </c>
      <c r="CV160" s="230">
        <v>18504850</v>
      </c>
      <c r="CW160" s="230">
        <v>18454800</v>
      </c>
      <c r="CX160" s="230">
        <v>50050</v>
      </c>
      <c r="CY160" s="229">
        <v>2.7000000000000001E-3</v>
      </c>
      <c r="CZ160" s="228">
        <v>36.24</v>
      </c>
      <c r="DA160" s="228">
        <v>34.33</v>
      </c>
      <c r="DB160" s="228">
        <v>1.91</v>
      </c>
      <c r="DC160" s="228">
        <v>1.91</v>
      </c>
      <c r="DD160" s="228">
        <v>45.43</v>
      </c>
      <c r="DE160" s="228">
        <v>45.54</v>
      </c>
      <c r="DF160" s="228">
        <v>-9.19</v>
      </c>
      <c r="DG160" s="228">
        <v>-0.11</v>
      </c>
      <c r="DH160" s="228">
        <v>33.130000000000003</v>
      </c>
      <c r="DI160" s="228">
        <v>32.51</v>
      </c>
      <c r="DJ160" s="228">
        <v>0.62</v>
      </c>
      <c r="DK160" s="228">
        <v>0.62</v>
      </c>
      <c r="DL160" s="228">
        <v>38.58</v>
      </c>
      <c r="DM160" s="228">
        <v>36.700000000000003</v>
      </c>
      <c r="DN160" s="228">
        <v>1.88</v>
      </c>
      <c r="DO160" s="228">
        <v>1.88</v>
      </c>
      <c r="DP160" s="228">
        <v>0.85</v>
      </c>
      <c r="DQ160" s="228">
        <v>0.84</v>
      </c>
      <c r="DR160" s="228">
        <v>0.01</v>
      </c>
      <c r="DS160" s="229">
        <v>1.1900000000000001E-2</v>
      </c>
      <c r="DT160" s="228">
        <v>900</v>
      </c>
      <c r="DU160" s="228">
        <v>800</v>
      </c>
      <c r="DV160" s="228">
        <v>1.33</v>
      </c>
      <c r="DW160" s="228">
        <v>0.77</v>
      </c>
      <c r="DX160" s="228">
        <v>0.56000000000000005</v>
      </c>
      <c r="DY160" s="229">
        <v>0.72729999999999995</v>
      </c>
      <c r="DZ160" s="229">
        <v>3.5099999999999999E-2</v>
      </c>
      <c r="EA160" s="230">
        <v>464750</v>
      </c>
      <c r="EB160" s="229">
        <v>6.4999999999999997E-3</v>
      </c>
      <c r="EC160" s="229">
        <v>3.5099999999999999E-2</v>
      </c>
      <c r="ED160" s="228">
        <v>4.49</v>
      </c>
      <c r="EE160" s="229">
        <v>5.7999999999999996E-3</v>
      </c>
      <c r="EF160" s="230">
        <v>391839</v>
      </c>
      <c r="EG160" s="230">
        <v>346861</v>
      </c>
      <c r="EH160" s="229">
        <v>0.12970000000000001</v>
      </c>
      <c r="EI160" s="229">
        <v>0.37540000000000001</v>
      </c>
      <c r="EJ160" s="231">
        <v>21186.84</v>
      </c>
      <c r="EK160" s="231">
        <v>25709.03</v>
      </c>
      <c r="EL160" s="231">
        <v>14666.28</v>
      </c>
      <c r="EM160" s="231">
        <v>3294</v>
      </c>
      <c r="EN160" s="231">
        <v>61562.15</v>
      </c>
      <c r="EO160" s="231">
        <v>76421.36</v>
      </c>
      <c r="EP160" s="231">
        <v>-14859.21</v>
      </c>
      <c r="EQ160" s="229">
        <v>-0.19439999999999999</v>
      </c>
      <c r="ER160" s="231">
        <v>22704</v>
      </c>
      <c r="ES160" s="231">
        <v>17581</v>
      </c>
      <c r="ET160" s="231">
        <v>105802</v>
      </c>
      <c r="EU160" s="231">
        <v>28118603</v>
      </c>
      <c r="EV160" s="231">
        <v>146087</v>
      </c>
      <c r="EW160" s="231">
        <v>145184</v>
      </c>
      <c r="EX160" s="228">
        <v>903</v>
      </c>
      <c r="EY160" s="229">
        <v>6.1999999999999998E-3</v>
      </c>
      <c r="EZ160" s="229">
        <v>0.65810000000000002</v>
      </c>
      <c r="FA160" s="227" t="s">
        <v>556</v>
      </c>
      <c r="FB160" s="161">
        <f t="shared" si="3"/>
        <v>0</v>
      </c>
    </row>
    <row r="161" spans="1:158" ht="17.25" thickBot="1" x14ac:dyDescent="0.3">
      <c r="A161" s="226">
        <v>46093</v>
      </c>
      <c r="B161" s="227" t="s">
        <v>615</v>
      </c>
      <c r="C161" s="227" t="s">
        <v>573</v>
      </c>
      <c r="D161" s="228">
        <v>350</v>
      </c>
      <c r="E161" s="231">
        <v>1463.9</v>
      </c>
      <c r="F161" s="231">
        <v>1465.8</v>
      </c>
      <c r="G161" s="228">
        <v>-1.9</v>
      </c>
      <c r="H161" s="229">
        <v>-1.2999999999999999E-3</v>
      </c>
      <c r="I161" s="231">
        <v>1462.7</v>
      </c>
      <c r="J161" s="231">
        <v>1463.2</v>
      </c>
      <c r="K161" s="228">
        <v>-0.5</v>
      </c>
      <c r="L161" s="229">
        <v>-2.9999999999999997E-4</v>
      </c>
      <c r="M161" s="231">
        <v>1463.9</v>
      </c>
      <c r="N161" s="231">
        <v>1465.8</v>
      </c>
      <c r="O161" s="228">
        <v>-1.9</v>
      </c>
      <c r="P161" s="229">
        <v>-1.2999999999999999E-3</v>
      </c>
      <c r="Q161" s="231">
        <v>1471.7</v>
      </c>
      <c r="R161" s="231">
        <v>1474.8</v>
      </c>
      <c r="S161" s="228">
        <v>-3.1</v>
      </c>
      <c r="T161" s="229">
        <v>-2.0999999999999999E-3</v>
      </c>
      <c r="U161" s="231">
        <v>1474.8</v>
      </c>
      <c r="V161" s="231">
        <v>1482.7</v>
      </c>
      <c r="W161" s="228">
        <v>-7.9</v>
      </c>
      <c r="X161" s="229">
        <v>-5.3E-3</v>
      </c>
      <c r="Y161" s="228">
        <v>1.2</v>
      </c>
      <c r="Z161" s="228">
        <v>2.6</v>
      </c>
      <c r="AA161" s="228">
        <v>-1.4</v>
      </c>
      <c r="AB161" s="229">
        <v>8.0000000000000004E-4</v>
      </c>
      <c r="AC161" s="228">
        <v>1.2</v>
      </c>
      <c r="AD161" s="228">
        <v>2.6</v>
      </c>
      <c r="AE161" s="228">
        <v>-1.4</v>
      </c>
      <c r="AF161" s="229">
        <v>8.0000000000000004E-4</v>
      </c>
      <c r="AG161" s="228">
        <v>9</v>
      </c>
      <c r="AH161" s="228">
        <v>11.6</v>
      </c>
      <c r="AI161" s="228">
        <v>-2.6</v>
      </c>
      <c r="AJ161" s="229">
        <v>6.1999999999999998E-3</v>
      </c>
      <c r="AK161" s="228">
        <v>12.1</v>
      </c>
      <c r="AL161" s="228">
        <v>19.5</v>
      </c>
      <c r="AM161" s="228">
        <v>-7.4</v>
      </c>
      <c r="AN161" s="229">
        <v>8.3000000000000001E-3</v>
      </c>
      <c r="AO161" s="231">
        <v>1460.4</v>
      </c>
      <c r="AP161" s="231">
        <v>1465.64</v>
      </c>
      <c r="AQ161" s="228">
        <v>0</v>
      </c>
      <c r="AR161" s="230">
        <v>1013950</v>
      </c>
      <c r="AS161" s="230">
        <v>1820350</v>
      </c>
      <c r="AT161" s="230">
        <v>-806400</v>
      </c>
      <c r="AU161" s="229">
        <v>-0.443</v>
      </c>
      <c r="AV161" s="230">
        <v>961450</v>
      </c>
      <c r="AW161" s="230">
        <v>1736000</v>
      </c>
      <c r="AX161" s="230">
        <v>-774550</v>
      </c>
      <c r="AY161" s="229">
        <v>-0.44619999999999999</v>
      </c>
      <c r="AZ161" s="230">
        <v>51100</v>
      </c>
      <c r="BA161" s="230">
        <v>81550</v>
      </c>
      <c r="BB161" s="230">
        <v>-30450</v>
      </c>
      <c r="BC161" s="229">
        <v>-0.37340000000000001</v>
      </c>
      <c r="BD161" s="230">
        <v>1400</v>
      </c>
      <c r="BE161" s="230">
        <v>2800</v>
      </c>
      <c r="BF161" s="230">
        <v>-1400</v>
      </c>
      <c r="BG161" s="229">
        <v>-0.5</v>
      </c>
      <c r="BH161" s="230">
        <v>803600</v>
      </c>
      <c r="BI161" s="230">
        <v>1627500</v>
      </c>
      <c r="BJ161" s="230">
        <v>-823900</v>
      </c>
      <c r="BK161" s="229">
        <v>-0.50619999999999998</v>
      </c>
      <c r="BL161" s="230">
        <v>821100</v>
      </c>
      <c r="BM161" s="230">
        <v>979300</v>
      </c>
      <c r="BN161" s="230">
        <v>-158200</v>
      </c>
      <c r="BO161" s="229">
        <v>-0.1615</v>
      </c>
      <c r="BP161" s="230">
        <v>2638650</v>
      </c>
      <c r="BQ161" s="230">
        <v>4427150</v>
      </c>
      <c r="BR161" s="230">
        <v>-1788500</v>
      </c>
      <c r="BS161" s="229">
        <v>-0.40400000000000003</v>
      </c>
      <c r="BT161" s="230">
        <v>1360972</v>
      </c>
      <c r="BU161" s="230">
        <v>2352596</v>
      </c>
      <c r="BV161" s="230">
        <v>-991624</v>
      </c>
      <c r="BW161" s="229">
        <v>-0.42149999999999999</v>
      </c>
      <c r="BX161" s="230">
        <v>7795900</v>
      </c>
      <c r="BY161" s="230">
        <v>7932050</v>
      </c>
      <c r="BZ161" s="230">
        <v>-136150</v>
      </c>
      <c r="CA161" s="229">
        <v>-1.72E-2</v>
      </c>
      <c r="CB161" s="230">
        <v>7510650</v>
      </c>
      <c r="CC161" s="230">
        <v>7661500</v>
      </c>
      <c r="CD161" s="230">
        <v>-150850</v>
      </c>
      <c r="CE161" s="229">
        <v>-1.9699999999999999E-2</v>
      </c>
      <c r="CF161" s="230">
        <v>277900</v>
      </c>
      <c r="CG161" s="230">
        <v>263900</v>
      </c>
      <c r="CH161" s="230">
        <v>14000</v>
      </c>
      <c r="CI161" s="229">
        <v>5.3100000000000001E-2</v>
      </c>
      <c r="CJ161" s="230">
        <v>7350</v>
      </c>
      <c r="CK161" s="230">
        <v>6650</v>
      </c>
      <c r="CL161" s="228">
        <v>700</v>
      </c>
      <c r="CM161" s="229">
        <v>0.1053</v>
      </c>
      <c r="CN161" s="230">
        <v>2251550</v>
      </c>
      <c r="CO161" s="230">
        <v>2141300</v>
      </c>
      <c r="CP161" s="230">
        <v>110250</v>
      </c>
      <c r="CQ161" s="229">
        <v>5.1499999999999997E-2</v>
      </c>
      <c r="CR161" s="230">
        <v>1802500</v>
      </c>
      <c r="CS161" s="230">
        <v>1744750</v>
      </c>
      <c r="CT161" s="230">
        <v>57750</v>
      </c>
      <c r="CU161" s="229">
        <v>3.3099999999999997E-2</v>
      </c>
      <c r="CV161" s="230">
        <v>11849950</v>
      </c>
      <c r="CW161" s="230">
        <v>11818100</v>
      </c>
      <c r="CX161" s="230">
        <v>31850</v>
      </c>
      <c r="CY161" s="229">
        <v>2.7000000000000001E-3</v>
      </c>
      <c r="CZ161" s="228">
        <v>42.43</v>
      </c>
      <c r="DA161" s="228">
        <v>41.75</v>
      </c>
      <c r="DB161" s="228">
        <v>0.68</v>
      </c>
      <c r="DC161" s="228">
        <v>0.68</v>
      </c>
      <c r="DD161" s="228">
        <v>46.04</v>
      </c>
      <c r="DE161" s="228">
        <v>46.16</v>
      </c>
      <c r="DF161" s="228">
        <v>-3.61</v>
      </c>
      <c r="DG161" s="228">
        <v>-0.12</v>
      </c>
      <c r="DH161" s="228">
        <v>40.36</v>
      </c>
      <c r="DI161" s="228">
        <v>40.28</v>
      </c>
      <c r="DJ161" s="228">
        <v>0.08</v>
      </c>
      <c r="DK161" s="228">
        <v>0.08</v>
      </c>
      <c r="DL161" s="228">
        <v>44.47</v>
      </c>
      <c r="DM161" s="228">
        <v>44.17</v>
      </c>
      <c r="DN161" s="228">
        <v>0.3</v>
      </c>
      <c r="DO161" s="228">
        <v>0.3</v>
      </c>
      <c r="DP161" s="228">
        <v>0.8</v>
      </c>
      <c r="DQ161" s="228">
        <v>0.81</v>
      </c>
      <c r="DR161" s="228">
        <v>-0.01</v>
      </c>
      <c r="DS161" s="229">
        <v>-1.23E-2</v>
      </c>
      <c r="DT161" s="231">
        <v>1600</v>
      </c>
      <c r="DU161" s="231">
        <v>1500</v>
      </c>
      <c r="DV161" s="228">
        <v>1.02</v>
      </c>
      <c r="DW161" s="228">
        <v>0.6</v>
      </c>
      <c r="DX161" s="228">
        <v>0.42</v>
      </c>
      <c r="DY161" s="229">
        <v>0.7</v>
      </c>
      <c r="DZ161" s="229">
        <v>3.6600000000000001E-2</v>
      </c>
      <c r="EA161" s="230">
        <v>270550</v>
      </c>
      <c r="EB161" s="229">
        <v>5.3E-3</v>
      </c>
      <c r="EC161" s="229">
        <v>3.6600000000000001E-2</v>
      </c>
      <c r="ED161" s="228">
        <v>5.24</v>
      </c>
      <c r="EE161" s="229">
        <v>3.5999999999999999E-3</v>
      </c>
      <c r="EF161" s="230">
        <v>840856</v>
      </c>
      <c r="EG161" s="230">
        <v>1413338</v>
      </c>
      <c r="EH161" s="229">
        <v>-0.40510000000000002</v>
      </c>
      <c r="EI161" s="229">
        <v>0.61780000000000002</v>
      </c>
      <c r="EJ161" s="231">
        <v>12473.73</v>
      </c>
      <c r="EK161" s="231">
        <v>11798.41</v>
      </c>
      <c r="EL161" s="231">
        <v>14810.49</v>
      </c>
      <c r="EM161" s="231">
        <v>5390</v>
      </c>
      <c r="EN161" s="231">
        <v>39082.629999999997</v>
      </c>
      <c r="EO161" s="231">
        <v>66942.36</v>
      </c>
      <c r="EP161" s="231">
        <v>-27859.73</v>
      </c>
      <c r="EQ161" s="229">
        <v>-0.41620000000000001</v>
      </c>
      <c r="ER161" s="231">
        <v>35069</v>
      </c>
      <c r="ES161" s="231">
        <v>26523</v>
      </c>
      <c r="ET161" s="231">
        <v>114147</v>
      </c>
      <c r="EU161" s="231">
        <v>60642005</v>
      </c>
      <c r="EV161" s="231">
        <v>175739</v>
      </c>
      <c r="EW161" s="231">
        <v>175502</v>
      </c>
      <c r="EX161" s="228">
        <v>237</v>
      </c>
      <c r="EY161" s="229">
        <v>1.4E-3</v>
      </c>
      <c r="EZ161" s="229">
        <v>0.19539999999999999</v>
      </c>
      <c r="FA161" s="227" t="s">
        <v>568</v>
      </c>
      <c r="FB161" s="161">
        <f t="shared" si="3"/>
        <v>0</v>
      </c>
    </row>
    <row r="162" spans="1:158" ht="17.25" thickBot="1" x14ac:dyDescent="0.3">
      <c r="A162" s="226">
        <v>46093</v>
      </c>
      <c r="B162" s="227" t="s">
        <v>184</v>
      </c>
      <c r="C162" s="227" t="s">
        <v>519</v>
      </c>
      <c r="D162" s="228">
        <v>125</v>
      </c>
      <c r="E162" s="231">
        <v>7458</v>
      </c>
      <c r="F162" s="231">
        <v>7449.5</v>
      </c>
      <c r="G162" s="228">
        <v>8.5</v>
      </c>
      <c r="H162" s="229">
        <v>1.1000000000000001E-3</v>
      </c>
      <c r="I162" s="231">
        <v>7455</v>
      </c>
      <c r="J162" s="231">
        <v>7429.5</v>
      </c>
      <c r="K162" s="228">
        <v>25.5</v>
      </c>
      <c r="L162" s="229">
        <v>3.3999999999999998E-3</v>
      </c>
      <c r="M162" s="231">
        <v>7458</v>
      </c>
      <c r="N162" s="231">
        <v>7449.5</v>
      </c>
      <c r="O162" s="228">
        <v>8.5</v>
      </c>
      <c r="P162" s="229">
        <v>1.1000000000000001E-3</v>
      </c>
      <c r="Q162" s="231">
        <v>7500.5</v>
      </c>
      <c r="R162" s="231">
        <v>7498.5</v>
      </c>
      <c r="S162" s="228">
        <v>2</v>
      </c>
      <c r="T162" s="229">
        <v>2.9999999999999997E-4</v>
      </c>
      <c r="U162" s="231">
        <v>7545.5</v>
      </c>
      <c r="V162" s="231">
        <v>7547.5</v>
      </c>
      <c r="W162" s="228">
        <v>-2</v>
      </c>
      <c r="X162" s="229">
        <v>-2.9999999999999997E-4</v>
      </c>
      <c r="Y162" s="228">
        <v>3</v>
      </c>
      <c r="Z162" s="228">
        <v>20</v>
      </c>
      <c r="AA162" s="228">
        <v>-17</v>
      </c>
      <c r="AB162" s="229">
        <v>4.0000000000000002E-4</v>
      </c>
      <c r="AC162" s="228">
        <v>3</v>
      </c>
      <c r="AD162" s="228">
        <v>20</v>
      </c>
      <c r="AE162" s="228">
        <v>-17</v>
      </c>
      <c r="AF162" s="229">
        <v>4.0000000000000002E-4</v>
      </c>
      <c r="AG162" s="228">
        <v>45.5</v>
      </c>
      <c r="AH162" s="228">
        <v>69</v>
      </c>
      <c r="AI162" s="228">
        <v>-23.5</v>
      </c>
      <c r="AJ162" s="229">
        <v>6.1000000000000004E-3</v>
      </c>
      <c r="AK162" s="228">
        <v>90.5</v>
      </c>
      <c r="AL162" s="228">
        <v>118</v>
      </c>
      <c r="AM162" s="228">
        <v>-27.5</v>
      </c>
      <c r="AN162" s="229">
        <v>1.21E-2</v>
      </c>
      <c r="AO162" s="231">
        <v>7453.49</v>
      </c>
      <c r="AP162" s="231">
        <v>7487.96</v>
      </c>
      <c r="AQ162" s="228">
        <v>0</v>
      </c>
      <c r="AR162" s="230">
        <v>873625</v>
      </c>
      <c r="AS162" s="230">
        <v>1580250</v>
      </c>
      <c r="AT162" s="230">
        <v>-706625</v>
      </c>
      <c r="AU162" s="229">
        <v>-0.44719999999999999</v>
      </c>
      <c r="AV162" s="230">
        <v>820250</v>
      </c>
      <c r="AW162" s="230">
        <v>1437375</v>
      </c>
      <c r="AX162" s="230">
        <v>-617125</v>
      </c>
      <c r="AY162" s="229">
        <v>-0.42930000000000001</v>
      </c>
      <c r="AZ162" s="230">
        <v>45250</v>
      </c>
      <c r="BA162" s="230">
        <v>132250</v>
      </c>
      <c r="BB162" s="230">
        <v>-87000</v>
      </c>
      <c r="BC162" s="229">
        <v>-0.65780000000000005</v>
      </c>
      <c r="BD162" s="230">
        <v>8125</v>
      </c>
      <c r="BE162" s="230">
        <v>10625</v>
      </c>
      <c r="BF162" s="230">
        <v>-2500</v>
      </c>
      <c r="BG162" s="229">
        <v>-0.23530000000000001</v>
      </c>
      <c r="BH162" s="230">
        <v>3212125</v>
      </c>
      <c r="BI162" s="230">
        <v>5025750</v>
      </c>
      <c r="BJ162" s="230">
        <v>-1813625</v>
      </c>
      <c r="BK162" s="229">
        <v>-0.3609</v>
      </c>
      <c r="BL162" s="230">
        <v>2110125</v>
      </c>
      <c r="BM162" s="230">
        <v>5773750</v>
      </c>
      <c r="BN162" s="230">
        <v>-3663625</v>
      </c>
      <c r="BO162" s="229">
        <v>-0.63449999999999995</v>
      </c>
      <c r="BP162" s="230">
        <v>6195875</v>
      </c>
      <c r="BQ162" s="230">
        <v>12379750</v>
      </c>
      <c r="BR162" s="230">
        <v>-6183875</v>
      </c>
      <c r="BS162" s="229">
        <v>-0.4995</v>
      </c>
      <c r="BT162" s="230">
        <v>530534</v>
      </c>
      <c r="BU162" s="230">
        <v>1153893</v>
      </c>
      <c r="BV162" s="230">
        <v>-623359</v>
      </c>
      <c r="BW162" s="229">
        <v>-0.54020000000000001</v>
      </c>
      <c r="BX162" s="230">
        <v>2060875</v>
      </c>
      <c r="BY162" s="230">
        <v>2099875</v>
      </c>
      <c r="BZ162" s="230">
        <v>-39000</v>
      </c>
      <c r="CA162" s="229">
        <v>-1.8599999999999998E-2</v>
      </c>
      <c r="CB162" s="230">
        <v>1934250</v>
      </c>
      <c r="CC162" s="230">
        <v>1979000</v>
      </c>
      <c r="CD162" s="230">
        <v>-44750</v>
      </c>
      <c r="CE162" s="229">
        <v>-2.2599999999999999E-2</v>
      </c>
      <c r="CF162" s="230">
        <v>110500</v>
      </c>
      <c r="CG162" s="230">
        <v>106250</v>
      </c>
      <c r="CH162" s="230">
        <v>4250</v>
      </c>
      <c r="CI162" s="229">
        <v>0.04</v>
      </c>
      <c r="CJ162" s="230">
        <v>16125</v>
      </c>
      <c r="CK162" s="230">
        <v>14625</v>
      </c>
      <c r="CL162" s="230">
        <v>1500</v>
      </c>
      <c r="CM162" s="229">
        <v>0.1026</v>
      </c>
      <c r="CN162" s="230">
        <v>1952500</v>
      </c>
      <c r="CO162" s="230">
        <v>1897375</v>
      </c>
      <c r="CP162" s="230">
        <v>55125</v>
      </c>
      <c r="CQ162" s="229">
        <v>2.9100000000000001E-2</v>
      </c>
      <c r="CR162" s="230">
        <v>1473875</v>
      </c>
      <c r="CS162" s="230">
        <v>1392125</v>
      </c>
      <c r="CT162" s="230">
        <v>81750</v>
      </c>
      <c r="CU162" s="229">
        <v>5.8700000000000002E-2</v>
      </c>
      <c r="CV162" s="230">
        <v>5487250</v>
      </c>
      <c r="CW162" s="230">
        <v>5389375</v>
      </c>
      <c r="CX162" s="230">
        <v>97875</v>
      </c>
      <c r="CY162" s="229">
        <v>1.8200000000000001E-2</v>
      </c>
      <c r="CZ162" s="228">
        <v>39.51</v>
      </c>
      <c r="DA162" s="228">
        <v>43.24</v>
      </c>
      <c r="DB162" s="228">
        <v>-3.73</v>
      </c>
      <c r="DC162" s="228">
        <v>-3.73</v>
      </c>
      <c r="DD162" s="228">
        <v>40.47</v>
      </c>
      <c r="DE162" s="228">
        <v>40.57</v>
      </c>
      <c r="DF162" s="228">
        <v>-0.96</v>
      </c>
      <c r="DG162" s="228">
        <v>-0.1</v>
      </c>
      <c r="DH162" s="228">
        <v>37.74</v>
      </c>
      <c r="DI162" s="228">
        <v>40.51</v>
      </c>
      <c r="DJ162" s="228">
        <v>-2.77</v>
      </c>
      <c r="DK162" s="228">
        <v>-2.77</v>
      </c>
      <c r="DL162" s="228">
        <v>42.19</v>
      </c>
      <c r="DM162" s="228">
        <v>45.61</v>
      </c>
      <c r="DN162" s="228">
        <v>-3.42</v>
      </c>
      <c r="DO162" s="228">
        <v>-3.42</v>
      </c>
      <c r="DP162" s="228">
        <v>0.75</v>
      </c>
      <c r="DQ162" s="228">
        <v>0.73</v>
      </c>
      <c r="DR162" s="228">
        <v>0.02</v>
      </c>
      <c r="DS162" s="229">
        <v>2.7400000000000001E-2</v>
      </c>
      <c r="DT162" s="231">
        <v>8500</v>
      </c>
      <c r="DU162" s="231">
        <v>7000</v>
      </c>
      <c r="DV162" s="228">
        <v>0.66</v>
      </c>
      <c r="DW162" s="228">
        <v>1.1499999999999999</v>
      </c>
      <c r="DX162" s="228">
        <v>-0.49</v>
      </c>
      <c r="DY162" s="229">
        <v>-0.42609999999999998</v>
      </c>
      <c r="DZ162" s="229">
        <v>6.1400000000000003E-2</v>
      </c>
      <c r="EA162" s="230">
        <v>120875</v>
      </c>
      <c r="EB162" s="229">
        <v>5.7000000000000002E-3</v>
      </c>
      <c r="EC162" s="229">
        <v>6.1400000000000003E-2</v>
      </c>
      <c r="ED162" s="228">
        <v>34.47</v>
      </c>
      <c r="EE162" s="229">
        <v>4.5999999999999999E-3</v>
      </c>
      <c r="EF162" s="230">
        <v>191125</v>
      </c>
      <c r="EG162" s="230">
        <v>514617</v>
      </c>
      <c r="EH162" s="229">
        <v>-0.62860000000000005</v>
      </c>
      <c r="EI162" s="229">
        <v>0.36030000000000001</v>
      </c>
      <c r="EJ162" s="231">
        <v>265143.26</v>
      </c>
      <c r="EK162" s="231">
        <v>152897.20000000001</v>
      </c>
      <c r="EL162" s="231">
        <v>65135.06</v>
      </c>
      <c r="EM162" s="231">
        <v>10120</v>
      </c>
      <c r="EN162" s="231">
        <v>483175.52</v>
      </c>
      <c r="EO162" s="231">
        <v>952633.28</v>
      </c>
      <c r="EP162" s="231">
        <v>-469457.76</v>
      </c>
      <c r="EQ162" s="229">
        <v>-0.49280000000000002</v>
      </c>
      <c r="ER162" s="231">
        <v>162541</v>
      </c>
      <c r="ES162" s="231">
        <v>109510</v>
      </c>
      <c r="ET162" s="231">
        <v>153761</v>
      </c>
      <c r="EU162" s="231">
        <v>8688405</v>
      </c>
      <c r="EV162" s="231">
        <v>425812</v>
      </c>
      <c r="EW162" s="231">
        <v>419107</v>
      </c>
      <c r="EX162" s="231">
        <v>6705</v>
      </c>
      <c r="EY162" s="229">
        <v>1.6E-2</v>
      </c>
      <c r="EZ162" s="229">
        <v>0.63160000000000005</v>
      </c>
      <c r="FA162" s="227" t="s">
        <v>556</v>
      </c>
      <c r="FB162" s="161">
        <f t="shared" ref="FB162:FB194" si="4">BX226-CB226</f>
        <v>0</v>
      </c>
    </row>
    <row r="163" spans="1:158" ht="17.25" thickBot="1" x14ac:dyDescent="0.3">
      <c r="A163" s="226">
        <v>46093</v>
      </c>
      <c r="B163" s="227" t="s">
        <v>161</v>
      </c>
      <c r="C163" s="227" t="s">
        <v>276</v>
      </c>
      <c r="D163" s="228">
        <v>1900</v>
      </c>
      <c r="E163" s="228">
        <v>304.60000000000002</v>
      </c>
      <c r="F163" s="228">
        <v>299.2</v>
      </c>
      <c r="G163" s="228">
        <v>5.4</v>
      </c>
      <c r="H163" s="229">
        <v>1.7999999999999999E-2</v>
      </c>
      <c r="I163" s="228">
        <v>303.60000000000002</v>
      </c>
      <c r="J163" s="228">
        <v>298.8</v>
      </c>
      <c r="K163" s="228">
        <v>4.8</v>
      </c>
      <c r="L163" s="229">
        <v>1.61E-2</v>
      </c>
      <c r="M163" s="228">
        <v>304.60000000000002</v>
      </c>
      <c r="N163" s="228">
        <v>299.2</v>
      </c>
      <c r="O163" s="228">
        <v>5.4</v>
      </c>
      <c r="P163" s="229">
        <v>1.7999999999999999E-2</v>
      </c>
      <c r="Q163" s="228">
        <v>306.5</v>
      </c>
      <c r="R163" s="228">
        <v>301.05</v>
      </c>
      <c r="S163" s="228">
        <v>5.45</v>
      </c>
      <c r="T163" s="229">
        <v>1.8100000000000002E-2</v>
      </c>
      <c r="U163" s="228">
        <v>307.2</v>
      </c>
      <c r="V163" s="228">
        <v>301.7</v>
      </c>
      <c r="W163" s="228">
        <v>5.5</v>
      </c>
      <c r="X163" s="229">
        <v>1.8200000000000001E-2</v>
      </c>
      <c r="Y163" s="228">
        <v>1</v>
      </c>
      <c r="Z163" s="228">
        <v>0.4</v>
      </c>
      <c r="AA163" s="228">
        <v>0.6</v>
      </c>
      <c r="AB163" s="229">
        <v>3.3E-3</v>
      </c>
      <c r="AC163" s="228">
        <v>1</v>
      </c>
      <c r="AD163" s="228">
        <v>0.4</v>
      </c>
      <c r="AE163" s="228">
        <v>0.6</v>
      </c>
      <c r="AF163" s="229">
        <v>3.3E-3</v>
      </c>
      <c r="AG163" s="228">
        <v>2.9</v>
      </c>
      <c r="AH163" s="228">
        <v>2.25</v>
      </c>
      <c r="AI163" s="228">
        <v>0.65</v>
      </c>
      <c r="AJ163" s="229">
        <v>9.5999999999999992E-3</v>
      </c>
      <c r="AK163" s="228">
        <v>3.6</v>
      </c>
      <c r="AL163" s="228">
        <v>2.9</v>
      </c>
      <c r="AM163" s="228">
        <v>0.7</v>
      </c>
      <c r="AN163" s="229">
        <v>1.1900000000000001E-2</v>
      </c>
      <c r="AO163" s="228">
        <v>303.39999999999998</v>
      </c>
      <c r="AP163" s="228">
        <v>305.2</v>
      </c>
      <c r="AQ163" s="228">
        <v>0</v>
      </c>
      <c r="AR163" s="230">
        <v>17231100</v>
      </c>
      <c r="AS163" s="230">
        <v>9587400</v>
      </c>
      <c r="AT163" s="230">
        <v>7643700</v>
      </c>
      <c r="AU163" s="229">
        <v>0.79730000000000001</v>
      </c>
      <c r="AV163" s="230">
        <v>15999900</v>
      </c>
      <c r="AW163" s="230">
        <v>8966100</v>
      </c>
      <c r="AX163" s="230">
        <v>7033800</v>
      </c>
      <c r="AY163" s="229">
        <v>0.78449999999999998</v>
      </c>
      <c r="AZ163" s="230">
        <v>1145700</v>
      </c>
      <c r="BA163" s="230">
        <v>585200</v>
      </c>
      <c r="BB163" s="230">
        <v>560500</v>
      </c>
      <c r="BC163" s="229">
        <v>0.95779999999999998</v>
      </c>
      <c r="BD163" s="230">
        <v>85500</v>
      </c>
      <c r="BE163" s="230">
        <v>36100</v>
      </c>
      <c r="BF163" s="230">
        <v>49400</v>
      </c>
      <c r="BG163" s="229">
        <v>1.3684000000000001</v>
      </c>
      <c r="BH163" s="230">
        <v>67108000</v>
      </c>
      <c r="BI163" s="230">
        <v>37342600</v>
      </c>
      <c r="BJ163" s="230">
        <v>29765400</v>
      </c>
      <c r="BK163" s="229">
        <v>0.79710000000000003</v>
      </c>
      <c r="BL163" s="230">
        <v>15838400</v>
      </c>
      <c r="BM163" s="230">
        <v>14012500</v>
      </c>
      <c r="BN163" s="230">
        <v>1825900</v>
      </c>
      <c r="BO163" s="229">
        <v>0.1303</v>
      </c>
      <c r="BP163" s="230">
        <v>100177500</v>
      </c>
      <c r="BQ163" s="230">
        <v>60942500</v>
      </c>
      <c r="BR163" s="230">
        <v>39235000</v>
      </c>
      <c r="BS163" s="229">
        <v>0.64380000000000004</v>
      </c>
      <c r="BT163" s="230">
        <v>15771703</v>
      </c>
      <c r="BU163" s="230">
        <v>12973197</v>
      </c>
      <c r="BV163" s="230">
        <v>2798506</v>
      </c>
      <c r="BW163" s="229">
        <v>0.2157</v>
      </c>
      <c r="BX163" s="230">
        <v>79488400</v>
      </c>
      <c r="BY163" s="230">
        <v>79478900</v>
      </c>
      <c r="BZ163" s="230">
        <v>9500</v>
      </c>
      <c r="CA163" s="229">
        <v>1E-4</v>
      </c>
      <c r="CB163" s="230">
        <v>77267300</v>
      </c>
      <c r="CC163" s="230">
        <v>77656800</v>
      </c>
      <c r="CD163" s="230">
        <v>-389500</v>
      </c>
      <c r="CE163" s="229">
        <v>-5.0000000000000001E-3</v>
      </c>
      <c r="CF163" s="230">
        <v>1926600</v>
      </c>
      <c r="CG163" s="230">
        <v>1548500</v>
      </c>
      <c r="CH163" s="230">
        <v>378100</v>
      </c>
      <c r="CI163" s="229">
        <v>0.2442</v>
      </c>
      <c r="CJ163" s="230">
        <v>294500</v>
      </c>
      <c r="CK163" s="230">
        <v>273600</v>
      </c>
      <c r="CL163" s="230">
        <v>20900</v>
      </c>
      <c r="CM163" s="229">
        <v>7.6399999999999996E-2</v>
      </c>
      <c r="CN163" s="230">
        <v>40772100</v>
      </c>
      <c r="CO163" s="230">
        <v>39844900</v>
      </c>
      <c r="CP163" s="230">
        <v>927200</v>
      </c>
      <c r="CQ163" s="229">
        <v>2.3300000000000001E-2</v>
      </c>
      <c r="CR163" s="230">
        <v>18230500</v>
      </c>
      <c r="CS163" s="230">
        <v>17310900</v>
      </c>
      <c r="CT163" s="230">
        <v>919600</v>
      </c>
      <c r="CU163" s="229">
        <v>5.3100000000000001E-2</v>
      </c>
      <c r="CV163" s="230">
        <v>138491000</v>
      </c>
      <c r="CW163" s="230">
        <v>136634700</v>
      </c>
      <c r="CX163" s="230">
        <v>1856300</v>
      </c>
      <c r="CY163" s="229">
        <v>1.3599999999999999E-2</v>
      </c>
      <c r="CZ163" s="228">
        <v>26.89</v>
      </c>
      <c r="DA163" s="228">
        <v>26.26</v>
      </c>
      <c r="DB163" s="228">
        <v>0.63</v>
      </c>
      <c r="DC163" s="228">
        <v>0.63</v>
      </c>
      <c r="DD163" s="228">
        <v>29.47</v>
      </c>
      <c r="DE163" s="228">
        <v>29.46</v>
      </c>
      <c r="DF163" s="228">
        <v>-2.58</v>
      </c>
      <c r="DG163" s="228">
        <v>0.01</v>
      </c>
      <c r="DH163" s="228">
        <v>26.44</v>
      </c>
      <c r="DI163" s="228">
        <v>25.64</v>
      </c>
      <c r="DJ163" s="228">
        <v>0.8</v>
      </c>
      <c r="DK163" s="228">
        <v>0.8</v>
      </c>
      <c r="DL163" s="228">
        <v>28.77</v>
      </c>
      <c r="DM163" s="228">
        <v>27.91</v>
      </c>
      <c r="DN163" s="228">
        <v>0.86</v>
      </c>
      <c r="DO163" s="228">
        <v>0.86</v>
      </c>
      <c r="DP163" s="228">
        <v>0.45</v>
      </c>
      <c r="DQ163" s="228">
        <v>0.43</v>
      </c>
      <c r="DR163" s="228">
        <v>0.02</v>
      </c>
      <c r="DS163" s="229">
        <v>4.65E-2</v>
      </c>
      <c r="DT163" s="228">
        <v>310</v>
      </c>
      <c r="DU163" s="228">
        <v>300</v>
      </c>
      <c r="DV163" s="228">
        <v>0.24</v>
      </c>
      <c r="DW163" s="228">
        <v>0.38</v>
      </c>
      <c r="DX163" s="228">
        <v>-0.14000000000000001</v>
      </c>
      <c r="DY163" s="229">
        <v>-0.36840000000000001</v>
      </c>
      <c r="DZ163" s="229">
        <v>2.7900000000000001E-2</v>
      </c>
      <c r="EA163" s="230">
        <v>1822100</v>
      </c>
      <c r="EB163" s="229">
        <v>6.1999999999999998E-3</v>
      </c>
      <c r="EC163" s="229">
        <v>2.7900000000000001E-2</v>
      </c>
      <c r="ED163" s="228">
        <v>1.8</v>
      </c>
      <c r="EE163" s="229">
        <v>5.8999999999999999E-3</v>
      </c>
      <c r="EF163" s="230">
        <v>9014422</v>
      </c>
      <c r="EG163" s="230">
        <v>8406261</v>
      </c>
      <c r="EH163" s="229">
        <v>7.2300000000000003E-2</v>
      </c>
      <c r="EI163" s="229">
        <v>0.5716</v>
      </c>
      <c r="EJ163" s="231">
        <v>212300.32</v>
      </c>
      <c r="EK163" s="231">
        <v>47323.13</v>
      </c>
      <c r="EL163" s="231">
        <v>52300.45</v>
      </c>
      <c r="EM163" s="231">
        <v>6138</v>
      </c>
      <c r="EN163" s="231">
        <v>311923.90000000002</v>
      </c>
      <c r="EO163" s="231">
        <v>187295.06</v>
      </c>
      <c r="EP163" s="231">
        <v>124628.84</v>
      </c>
      <c r="EQ163" s="229">
        <v>0.66539999999999999</v>
      </c>
      <c r="ER163" s="231">
        <v>126996</v>
      </c>
      <c r="ES163" s="231">
        <v>52716</v>
      </c>
      <c r="ET163" s="231">
        <v>242166</v>
      </c>
      <c r="EU163" s="231">
        <v>678857930</v>
      </c>
      <c r="EV163" s="231">
        <v>421878</v>
      </c>
      <c r="EW163" s="231">
        <v>411779</v>
      </c>
      <c r="EX163" s="231">
        <v>10099</v>
      </c>
      <c r="EY163" s="229">
        <v>2.4500000000000001E-2</v>
      </c>
      <c r="EZ163" s="229">
        <v>0.20399999999999999</v>
      </c>
      <c r="FA163" s="227" t="s">
        <v>555</v>
      </c>
      <c r="FB163" s="161">
        <f t="shared" si="4"/>
        <v>0</v>
      </c>
    </row>
    <row r="164" spans="1:158" ht="17.25" thickBot="1" x14ac:dyDescent="0.3">
      <c r="A164" s="226">
        <v>46093</v>
      </c>
      <c r="B164" s="227" t="s">
        <v>184</v>
      </c>
      <c r="C164" s="227" t="s">
        <v>686</v>
      </c>
      <c r="D164" s="228">
        <v>50</v>
      </c>
      <c r="E164" s="231">
        <v>24980</v>
      </c>
      <c r="F164" s="231">
        <v>25005</v>
      </c>
      <c r="G164" s="228">
        <v>-25</v>
      </c>
      <c r="H164" s="229">
        <v>-1E-3</v>
      </c>
      <c r="I164" s="231">
        <v>24880</v>
      </c>
      <c r="J164" s="231">
        <v>24955</v>
      </c>
      <c r="K164" s="228">
        <v>-75</v>
      </c>
      <c r="L164" s="229">
        <v>-3.0000000000000001E-3</v>
      </c>
      <c r="M164" s="231">
        <v>24980</v>
      </c>
      <c r="N164" s="231">
        <v>25005</v>
      </c>
      <c r="O164" s="228">
        <v>-25</v>
      </c>
      <c r="P164" s="229">
        <v>-1E-3</v>
      </c>
      <c r="Q164" s="231">
        <v>25085</v>
      </c>
      <c r="R164" s="231">
        <v>25140</v>
      </c>
      <c r="S164" s="228">
        <v>-55</v>
      </c>
      <c r="T164" s="229">
        <v>-2.2000000000000001E-3</v>
      </c>
      <c r="U164" s="231">
        <v>25205</v>
      </c>
      <c r="V164" s="231">
        <v>25190</v>
      </c>
      <c r="W164" s="228">
        <v>15</v>
      </c>
      <c r="X164" s="229">
        <v>5.9999999999999995E-4</v>
      </c>
      <c r="Y164" s="228">
        <v>100</v>
      </c>
      <c r="Z164" s="228">
        <v>50</v>
      </c>
      <c r="AA164" s="228">
        <v>50</v>
      </c>
      <c r="AB164" s="229">
        <v>4.0000000000000001E-3</v>
      </c>
      <c r="AC164" s="228">
        <v>100</v>
      </c>
      <c r="AD164" s="228">
        <v>50</v>
      </c>
      <c r="AE164" s="228">
        <v>50</v>
      </c>
      <c r="AF164" s="229">
        <v>4.0000000000000001E-3</v>
      </c>
      <c r="AG164" s="228">
        <v>205</v>
      </c>
      <c r="AH164" s="228">
        <v>185</v>
      </c>
      <c r="AI164" s="228">
        <v>20</v>
      </c>
      <c r="AJ164" s="229">
        <v>8.2000000000000007E-3</v>
      </c>
      <c r="AK164" s="228">
        <v>325</v>
      </c>
      <c r="AL164" s="228">
        <v>235</v>
      </c>
      <c r="AM164" s="228">
        <v>90</v>
      </c>
      <c r="AN164" s="229">
        <v>1.3100000000000001E-2</v>
      </c>
      <c r="AO164" s="231">
        <v>24910.45</v>
      </c>
      <c r="AP164" s="231">
        <v>24975.7</v>
      </c>
      <c r="AQ164" s="228">
        <v>0</v>
      </c>
      <c r="AR164" s="230">
        <v>116150</v>
      </c>
      <c r="AS164" s="230">
        <v>84250</v>
      </c>
      <c r="AT164" s="230">
        <v>31900</v>
      </c>
      <c r="AU164" s="229">
        <v>0.37859999999999999</v>
      </c>
      <c r="AV164" s="230">
        <v>106450</v>
      </c>
      <c r="AW164" s="230">
        <v>78850</v>
      </c>
      <c r="AX164" s="230">
        <v>27600</v>
      </c>
      <c r="AY164" s="229">
        <v>0.35</v>
      </c>
      <c r="AZ164" s="230">
        <v>8600</v>
      </c>
      <c r="BA164" s="230">
        <v>4600</v>
      </c>
      <c r="BB164" s="230">
        <v>4000</v>
      </c>
      <c r="BC164" s="229">
        <v>0.86960000000000004</v>
      </c>
      <c r="BD164" s="230">
        <v>1100</v>
      </c>
      <c r="BE164" s="228">
        <v>800</v>
      </c>
      <c r="BF164" s="228">
        <v>300</v>
      </c>
      <c r="BG164" s="229">
        <v>0.375</v>
      </c>
      <c r="BH164" s="230">
        <v>316600</v>
      </c>
      <c r="BI164" s="230">
        <v>228600</v>
      </c>
      <c r="BJ164" s="230">
        <v>88000</v>
      </c>
      <c r="BK164" s="229">
        <v>0.38500000000000001</v>
      </c>
      <c r="BL164" s="230">
        <v>114400</v>
      </c>
      <c r="BM164" s="230">
        <v>110000</v>
      </c>
      <c r="BN164" s="230">
        <v>4400</v>
      </c>
      <c r="BO164" s="229">
        <v>0.04</v>
      </c>
      <c r="BP164" s="230">
        <v>547150</v>
      </c>
      <c r="BQ164" s="230">
        <v>422850</v>
      </c>
      <c r="BR164" s="230">
        <v>124300</v>
      </c>
      <c r="BS164" s="229">
        <v>0.29399999999999998</v>
      </c>
      <c r="BT164" s="230">
        <v>147778</v>
      </c>
      <c r="BU164" s="230">
        <v>142286</v>
      </c>
      <c r="BV164" s="230">
        <v>5492</v>
      </c>
      <c r="BW164" s="229">
        <v>3.8600000000000002E-2</v>
      </c>
      <c r="BX164" s="230">
        <v>311750</v>
      </c>
      <c r="BY164" s="230">
        <v>302550</v>
      </c>
      <c r="BZ164" s="230">
        <v>9200</v>
      </c>
      <c r="CA164" s="229">
        <v>3.04E-2</v>
      </c>
      <c r="CB164" s="230">
        <v>296050</v>
      </c>
      <c r="CC164" s="230">
        <v>286800</v>
      </c>
      <c r="CD164" s="230">
        <v>9250</v>
      </c>
      <c r="CE164" s="229">
        <v>3.2300000000000002E-2</v>
      </c>
      <c r="CF164" s="230">
        <v>12200</v>
      </c>
      <c r="CG164" s="230">
        <v>12250</v>
      </c>
      <c r="CH164" s="228">
        <v>-50</v>
      </c>
      <c r="CI164" s="229">
        <v>-4.1000000000000003E-3</v>
      </c>
      <c r="CJ164" s="230">
        <v>3500</v>
      </c>
      <c r="CK164" s="230">
        <v>3500</v>
      </c>
      <c r="CL164" s="228">
        <v>0</v>
      </c>
      <c r="CM164" s="229">
        <v>0</v>
      </c>
      <c r="CN164" s="230">
        <v>216950</v>
      </c>
      <c r="CO164" s="230">
        <v>206550</v>
      </c>
      <c r="CP164" s="230">
        <v>10400</v>
      </c>
      <c r="CQ164" s="229">
        <v>5.04E-2</v>
      </c>
      <c r="CR164" s="230">
        <v>176650</v>
      </c>
      <c r="CS164" s="230">
        <v>170600</v>
      </c>
      <c r="CT164" s="230">
        <v>6050</v>
      </c>
      <c r="CU164" s="229">
        <v>3.5499999999999997E-2</v>
      </c>
      <c r="CV164" s="230">
        <v>705350</v>
      </c>
      <c r="CW164" s="230">
        <v>679700</v>
      </c>
      <c r="CX164" s="230">
        <v>25650</v>
      </c>
      <c r="CY164" s="229">
        <v>3.7699999999999997E-2</v>
      </c>
      <c r="CZ164" s="228">
        <v>49.53</v>
      </c>
      <c r="DA164" s="228">
        <v>49.34</v>
      </c>
      <c r="DB164" s="228">
        <v>0.19</v>
      </c>
      <c r="DC164" s="228">
        <v>0.19</v>
      </c>
      <c r="DD164" s="228">
        <v>58.48</v>
      </c>
      <c r="DE164" s="228">
        <v>58.62</v>
      </c>
      <c r="DF164" s="228">
        <v>-8.9499999999999993</v>
      </c>
      <c r="DG164" s="228">
        <v>-0.14000000000000001</v>
      </c>
      <c r="DH164" s="228">
        <v>48.17</v>
      </c>
      <c r="DI164" s="228">
        <v>47.6</v>
      </c>
      <c r="DJ164" s="228">
        <v>0.56999999999999995</v>
      </c>
      <c r="DK164" s="228">
        <v>0.56999999999999995</v>
      </c>
      <c r="DL164" s="228">
        <v>53.29</v>
      </c>
      <c r="DM164" s="228">
        <v>52.95</v>
      </c>
      <c r="DN164" s="228">
        <v>0.34</v>
      </c>
      <c r="DO164" s="228">
        <v>0.34</v>
      </c>
      <c r="DP164" s="228">
        <v>0.81</v>
      </c>
      <c r="DQ164" s="228">
        <v>0.83</v>
      </c>
      <c r="DR164" s="228">
        <v>-0.02</v>
      </c>
      <c r="DS164" s="229">
        <v>-2.41E-2</v>
      </c>
      <c r="DT164" s="231">
        <v>26000</v>
      </c>
      <c r="DU164" s="231">
        <v>25000</v>
      </c>
      <c r="DV164" s="228">
        <v>0.36</v>
      </c>
      <c r="DW164" s="228">
        <v>0.48</v>
      </c>
      <c r="DX164" s="228">
        <v>-0.12</v>
      </c>
      <c r="DY164" s="229">
        <v>-0.25</v>
      </c>
      <c r="DZ164" s="229">
        <v>5.04E-2</v>
      </c>
      <c r="EA164" s="230">
        <v>15750</v>
      </c>
      <c r="EB164" s="229">
        <v>4.1999999999999997E-3</v>
      </c>
      <c r="EC164" s="229">
        <v>5.04E-2</v>
      </c>
      <c r="ED164" s="228">
        <v>65.25</v>
      </c>
      <c r="EE164" s="229">
        <v>2.5999999999999999E-3</v>
      </c>
      <c r="EF164" s="230">
        <v>41526</v>
      </c>
      <c r="EG164" s="230">
        <v>55782</v>
      </c>
      <c r="EH164" s="229">
        <v>-0.25559999999999999</v>
      </c>
      <c r="EI164" s="229">
        <v>0.28100000000000003</v>
      </c>
      <c r="EJ164" s="231">
        <v>86249.54</v>
      </c>
      <c r="EK164" s="231">
        <v>27104.09</v>
      </c>
      <c r="EL164" s="231">
        <v>28941.02</v>
      </c>
      <c r="EM164" s="231">
        <v>2629</v>
      </c>
      <c r="EN164" s="231">
        <v>142294.65</v>
      </c>
      <c r="EO164" s="231">
        <v>110303.49</v>
      </c>
      <c r="EP164" s="231">
        <v>31991.16</v>
      </c>
      <c r="EQ164" s="229">
        <v>0.28999999999999998</v>
      </c>
      <c r="ER164" s="231">
        <v>56341</v>
      </c>
      <c r="ES164" s="231">
        <v>40676</v>
      </c>
      <c r="ET164" s="231">
        <v>77896</v>
      </c>
      <c r="EU164" s="231">
        <v>1917916</v>
      </c>
      <c r="EV164" s="231">
        <v>174913</v>
      </c>
      <c r="EW164" s="231">
        <v>168541</v>
      </c>
      <c r="EX164" s="231">
        <v>6372</v>
      </c>
      <c r="EY164" s="229">
        <v>3.78E-2</v>
      </c>
      <c r="EZ164" s="229">
        <v>0.36780000000000002</v>
      </c>
      <c r="FA164" s="227" t="s">
        <v>567</v>
      </c>
      <c r="FB164" s="161">
        <f t="shared" si="4"/>
        <v>0</v>
      </c>
    </row>
    <row r="165" spans="1:158" ht="17.25" thickBot="1" x14ac:dyDescent="0.3">
      <c r="A165" s="226">
        <v>46093</v>
      </c>
      <c r="B165" s="227" t="s">
        <v>170</v>
      </c>
      <c r="C165" s="227" t="s">
        <v>677</v>
      </c>
      <c r="D165" s="228">
        <v>2625</v>
      </c>
      <c r="E165" s="228">
        <v>146.11000000000001</v>
      </c>
      <c r="F165" s="228">
        <v>155.91</v>
      </c>
      <c r="G165" s="228">
        <v>-9.8000000000000007</v>
      </c>
      <c r="H165" s="229">
        <v>-6.2899999999999998E-2</v>
      </c>
      <c r="I165" s="228">
        <v>145.54</v>
      </c>
      <c r="J165" s="228">
        <v>155.41999999999999</v>
      </c>
      <c r="K165" s="228">
        <v>-9.8800000000000008</v>
      </c>
      <c r="L165" s="229">
        <v>-6.3600000000000004E-2</v>
      </c>
      <c r="M165" s="228">
        <v>146.11000000000001</v>
      </c>
      <c r="N165" s="228">
        <v>155.91</v>
      </c>
      <c r="O165" s="228">
        <v>-9.8000000000000007</v>
      </c>
      <c r="P165" s="229">
        <v>-6.2899999999999998E-2</v>
      </c>
      <c r="Q165" s="228">
        <v>145.44999999999999</v>
      </c>
      <c r="R165" s="228">
        <v>155.16999999999999</v>
      </c>
      <c r="S165" s="228">
        <v>-9.7200000000000006</v>
      </c>
      <c r="T165" s="229">
        <v>-6.2600000000000003E-2</v>
      </c>
      <c r="U165" s="228">
        <v>0</v>
      </c>
      <c r="V165" s="228">
        <v>0</v>
      </c>
      <c r="W165" s="228">
        <v>0</v>
      </c>
      <c r="X165" s="229">
        <v>0</v>
      </c>
      <c r="Y165" s="228">
        <v>0.56999999999999995</v>
      </c>
      <c r="Z165" s="228">
        <v>0.49</v>
      </c>
      <c r="AA165" s="228">
        <v>0.08</v>
      </c>
      <c r="AB165" s="229">
        <v>3.8999999999999998E-3</v>
      </c>
      <c r="AC165" s="228">
        <v>0.56999999999999995</v>
      </c>
      <c r="AD165" s="228">
        <v>0.49</v>
      </c>
      <c r="AE165" s="228">
        <v>0.08</v>
      </c>
      <c r="AF165" s="229">
        <v>3.8999999999999998E-3</v>
      </c>
      <c r="AG165" s="228">
        <v>-0.09</v>
      </c>
      <c r="AH165" s="228">
        <v>-0.25</v>
      </c>
      <c r="AI165" s="228">
        <v>0.16</v>
      </c>
      <c r="AJ165" s="229">
        <v>-5.9999999999999995E-4</v>
      </c>
      <c r="AK165" s="228">
        <v>0</v>
      </c>
      <c r="AL165" s="228">
        <v>0</v>
      </c>
      <c r="AM165" s="228">
        <v>0</v>
      </c>
      <c r="AN165" s="229">
        <v>0</v>
      </c>
      <c r="AO165" s="228">
        <v>148.09</v>
      </c>
      <c r="AP165" s="228">
        <v>147.44</v>
      </c>
      <c r="AQ165" s="228">
        <v>0</v>
      </c>
      <c r="AR165" s="230">
        <v>7187250</v>
      </c>
      <c r="AS165" s="230">
        <v>4060875</v>
      </c>
      <c r="AT165" s="230">
        <v>3126375</v>
      </c>
      <c r="AU165" s="229">
        <v>0.76990000000000003</v>
      </c>
      <c r="AV165" s="230">
        <v>6339375</v>
      </c>
      <c r="AW165" s="230">
        <v>3719625</v>
      </c>
      <c r="AX165" s="230">
        <v>2619750</v>
      </c>
      <c r="AY165" s="229">
        <v>0.70430000000000004</v>
      </c>
      <c r="AZ165" s="230">
        <v>847875</v>
      </c>
      <c r="BA165" s="230">
        <v>341250</v>
      </c>
      <c r="BB165" s="230">
        <v>506625</v>
      </c>
      <c r="BC165" s="229">
        <v>1.4845999999999999</v>
      </c>
      <c r="BD165" s="228">
        <v>0</v>
      </c>
      <c r="BE165" s="228">
        <v>0</v>
      </c>
      <c r="BF165" s="228">
        <v>0</v>
      </c>
      <c r="BG165" s="229">
        <v>0</v>
      </c>
      <c r="BH165" s="230">
        <v>13148625</v>
      </c>
      <c r="BI165" s="230">
        <v>10389750</v>
      </c>
      <c r="BJ165" s="230">
        <v>2758875</v>
      </c>
      <c r="BK165" s="229">
        <v>0.26550000000000001</v>
      </c>
      <c r="BL165" s="230">
        <v>13978125</v>
      </c>
      <c r="BM165" s="230">
        <v>2126250</v>
      </c>
      <c r="BN165" s="230">
        <v>11851875</v>
      </c>
      <c r="BO165" s="229">
        <v>5.5740999999999996</v>
      </c>
      <c r="BP165" s="230">
        <v>34314000</v>
      </c>
      <c r="BQ165" s="230">
        <v>16576875</v>
      </c>
      <c r="BR165" s="230">
        <v>17737125</v>
      </c>
      <c r="BS165" s="229">
        <v>1.07</v>
      </c>
      <c r="BT165" s="230">
        <v>8819717</v>
      </c>
      <c r="BU165" s="230">
        <v>2845117</v>
      </c>
      <c r="BV165" s="230">
        <v>5974600</v>
      </c>
      <c r="BW165" s="229">
        <v>2.0998999999999999</v>
      </c>
      <c r="BX165" s="230">
        <v>17348625</v>
      </c>
      <c r="BY165" s="230">
        <v>17049375</v>
      </c>
      <c r="BZ165" s="230">
        <v>299250</v>
      </c>
      <c r="CA165" s="229">
        <v>1.7600000000000001E-2</v>
      </c>
      <c r="CB165" s="230">
        <v>15563625</v>
      </c>
      <c r="CC165" s="230">
        <v>15519000</v>
      </c>
      <c r="CD165" s="230">
        <v>44625</v>
      </c>
      <c r="CE165" s="229">
        <v>2.8999999999999998E-3</v>
      </c>
      <c r="CF165" s="230">
        <v>1785000</v>
      </c>
      <c r="CG165" s="230">
        <v>1530375</v>
      </c>
      <c r="CH165" s="230">
        <v>254625</v>
      </c>
      <c r="CI165" s="229">
        <v>0.16639999999999999</v>
      </c>
      <c r="CJ165" s="228">
        <v>0</v>
      </c>
      <c r="CK165" s="228">
        <v>0</v>
      </c>
      <c r="CL165" s="228">
        <v>0</v>
      </c>
      <c r="CM165" s="229">
        <v>0</v>
      </c>
      <c r="CN165" s="230">
        <v>9867375</v>
      </c>
      <c r="CO165" s="230">
        <v>7712250</v>
      </c>
      <c r="CP165" s="230">
        <v>2155125</v>
      </c>
      <c r="CQ165" s="229">
        <v>0.27939999999999998</v>
      </c>
      <c r="CR165" s="230">
        <v>5575500</v>
      </c>
      <c r="CS165" s="230">
        <v>4375875</v>
      </c>
      <c r="CT165" s="230">
        <v>1199625</v>
      </c>
      <c r="CU165" s="229">
        <v>0.27410000000000001</v>
      </c>
      <c r="CV165" s="230">
        <v>32791500</v>
      </c>
      <c r="CW165" s="230">
        <v>29137500</v>
      </c>
      <c r="CX165" s="230">
        <v>3654000</v>
      </c>
      <c r="CY165" s="229">
        <v>0.12540000000000001</v>
      </c>
      <c r="CZ165" s="228">
        <v>47.15</v>
      </c>
      <c r="DA165" s="228">
        <v>39.020000000000003</v>
      </c>
      <c r="DB165" s="228">
        <v>8.1300000000000008</v>
      </c>
      <c r="DC165" s="228">
        <v>8.1300000000000008</v>
      </c>
      <c r="DD165" s="228">
        <v>42.49</v>
      </c>
      <c r="DE165" s="228">
        <v>41.68</v>
      </c>
      <c r="DF165" s="228">
        <v>4.66</v>
      </c>
      <c r="DG165" s="228">
        <v>0.81</v>
      </c>
      <c r="DH165" s="228">
        <v>45.82</v>
      </c>
      <c r="DI165" s="228">
        <v>39.17</v>
      </c>
      <c r="DJ165" s="228">
        <v>6.65</v>
      </c>
      <c r="DK165" s="228">
        <v>6.65</v>
      </c>
      <c r="DL165" s="228">
        <v>48.4</v>
      </c>
      <c r="DM165" s="228">
        <v>38.29</v>
      </c>
      <c r="DN165" s="228">
        <v>10.11</v>
      </c>
      <c r="DO165" s="228">
        <v>10.11</v>
      </c>
      <c r="DP165" s="228">
        <v>0.56999999999999995</v>
      </c>
      <c r="DQ165" s="228">
        <v>0.56999999999999995</v>
      </c>
      <c r="DR165" s="228">
        <v>0</v>
      </c>
      <c r="DS165" s="229">
        <v>0</v>
      </c>
      <c r="DT165" s="228">
        <v>170</v>
      </c>
      <c r="DU165" s="228">
        <v>145</v>
      </c>
      <c r="DV165" s="228">
        <v>1.06</v>
      </c>
      <c r="DW165" s="228">
        <v>0.2</v>
      </c>
      <c r="DX165" s="228">
        <v>0.86</v>
      </c>
      <c r="DY165" s="229">
        <v>4.3</v>
      </c>
      <c r="DZ165" s="229">
        <v>0.10290000000000001</v>
      </c>
      <c r="EA165" s="230">
        <v>1530375</v>
      </c>
      <c r="EB165" s="229">
        <v>-4.4999999999999997E-3</v>
      </c>
      <c r="EC165" s="229">
        <v>0.10290000000000001</v>
      </c>
      <c r="ED165" s="228">
        <v>-0.65</v>
      </c>
      <c r="EE165" s="229">
        <v>-4.4000000000000003E-3</v>
      </c>
      <c r="EF165" s="230">
        <v>2794218</v>
      </c>
      <c r="EG165" s="230">
        <v>1020272</v>
      </c>
      <c r="EH165" s="229">
        <v>1.7386999999999999</v>
      </c>
      <c r="EI165" s="229">
        <v>0.31680000000000003</v>
      </c>
      <c r="EJ165" s="231">
        <v>21216.82</v>
      </c>
      <c r="EK165" s="231">
        <v>20728.599999999999</v>
      </c>
      <c r="EL165" s="231">
        <v>10637.87</v>
      </c>
      <c r="EM165" s="231">
        <v>1081</v>
      </c>
      <c r="EN165" s="231">
        <v>52583.29</v>
      </c>
      <c r="EO165" s="231">
        <v>27193.47</v>
      </c>
      <c r="EP165" s="231">
        <v>25389.82</v>
      </c>
      <c r="EQ165" s="229">
        <v>0.93369999999999997</v>
      </c>
      <c r="ER165" s="231">
        <v>16302</v>
      </c>
      <c r="ES165" s="231">
        <v>8468</v>
      </c>
      <c r="ET165" s="231">
        <v>25336</v>
      </c>
      <c r="EU165" s="231">
        <v>107697729</v>
      </c>
      <c r="EV165" s="231">
        <v>50107</v>
      </c>
      <c r="EW165" s="231">
        <v>46378</v>
      </c>
      <c r="EX165" s="231">
        <v>3729</v>
      </c>
      <c r="EY165" s="229">
        <v>8.0399999999999999E-2</v>
      </c>
      <c r="EZ165" s="229">
        <v>0.30449999999999999</v>
      </c>
      <c r="FA165" s="227" t="s">
        <v>567</v>
      </c>
      <c r="FB165" s="161">
        <f t="shared" si="4"/>
        <v>0</v>
      </c>
    </row>
    <row r="166" spans="1:158" ht="17.25" thickBot="1" x14ac:dyDescent="0.3">
      <c r="A166" s="226">
        <v>46093</v>
      </c>
      <c r="B166" s="227" t="s">
        <v>184</v>
      </c>
      <c r="C166" s="227" t="s">
        <v>689</v>
      </c>
      <c r="D166" s="228">
        <v>575</v>
      </c>
      <c r="E166" s="228">
        <v>776.35</v>
      </c>
      <c r="F166" s="228">
        <v>769.4</v>
      </c>
      <c r="G166" s="228">
        <v>6.95</v>
      </c>
      <c r="H166" s="229">
        <v>8.9999999999999993E-3</v>
      </c>
      <c r="I166" s="228">
        <v>789.35</v>
      </c>
      <c r="J166" s="228">
        <v>788.1</v>
      </c>
      <c r="K166" s="228">
        <v>1.25</v>
      </c>
      <c r="L166" s="229">
        <v>1.6000000000000001E-3</v>
      </c>
      <c r="M166" s="228">
        <v>776.35</v>
      </c>
      <c r="N166" s="228">
        <v>769.4</v>
      </c>
      <c r="O166" s="228">
        <v>6.95</v>
      </c>
      <c r="P166" s="229">
        <v>8.9999999999999993E-3</v>
      </c>
      <c r="Q166" s="228">
        <v>766.2</v>
      </c>
      <c r="R166" s="228">
        <v>764.05</v>
      </c>
      <c r="S166" s="228">
        <v>2.15</v>
      </c>
      <c r="T166" s="229">
        <v>2.8E-3</v>
      </c>
      <c r="U166" s="228">
        <v>764.85</v>
      </c>
      <c r="V166" s="228">
        <v>762.6</v>
      </c>
      <c r="W166" s="228">
        <v>2.25</v>
      </c>
      <c r="X166" s="229">
        <v>3.0000000000000001E-3</v>
      </c>
      <c r="Y166" s="228">
        <v>-13</v>
      </c>
      <c r="Z166" s="228">
        <v>-18.7</v>
      </c>
      <c r="AA166" s="228">
        <v>5.7</v>
      </c>
      <c r="AB166" s="229">
        <v>-1.6500000000000001E-2</v>
      </c>
      <c r="AC166" s="228">
        <v>-13</v>
      </c>
      <c r="AD166" s="228">
        <v>-18.7</v>
      </c>
      <c r="AE166" s="228">
        <v>5.7</v>
      </c>
      <c r="AF166" s="229">
        <v>-1.6500000000000001E-2</v>
      </c>
      <c r="AG166" s="228">
        <v>-23.15</v>
      </c>
      <c r="AH166" s="228">
        <v>-24.05</v>
      </c>
      <c r="AI166" s="228">
        <v>0.9</v>
      </c>
      <c r="AJ166" s="229">
        <v>-2.93E-2</v>
      </c>
      <c r="AK166" s="228">
        <v>-24.5</v>
      </c>
      <c r="AL166" s="228">
        <v>-25.5</v>
      </c>
      <c r="AM166" s="228">
        <v>1</v>
      </c>
      <c r="AN166" s="229">
        <v>-3.1E-2</v>
      </c>
      <c r="AO166" s="228">
        <v>777.17</v>
      </c>
      <c r="AP166" s="228">
        <v>771</v>
      </c>
      <c r="AQ166" s="228">
        <v>0</v>
      </c>
      <c r="AR166" s="230">
        <v>2247675</v>
      </c>
      <c r="AS166" s="230">
        <v>5694225</v>
      </c>
      <c r="AT166" s="230">
        <v>-3446550</v>
      </c>
      <c r="AU166" s="229">
        <v>-0.60529999999999995</v>
      </c>
      <c r="AV166" s="230">
        <v>2042400</v>
      </c>
      <c r="AW166" s="230">
        <v>5138200</v>
      </c>
      <c r="AX166" s="230">
        <v>-3095800</v>
      </c>
      <c r="AY166" s="229">
        <v>-0.60250000000000004</v>
      </c>
      <c r="AZ166" s="230">
        <v>196075</v>
      </c>
      <c r="BA166" s="230">
        <v>514050</v>
      </c>
      <c r="BB166" s="230">
        <v>-317975</v>
      </c>
      <c r="BC166" s="229">
        <v>-0.61860000000000004</v>
      </c>
      <c r="BD166" s="230">
        <v>9200</v>
      </c>
      <c r="BE166" s="230">
        <v>41975</v>
      </c>
      <c r="BF166" s="230">
        <v>-32775</v>
      </c>
      <c r="BG166" s="229">
        <v>-0.78080000000000005</v>
      </c>
      <c r="BH166" s="230">
        <v>5388325</v>
      </c>
      <c r="BI166" s="230">
        <v>14707925</v>
      </c>
      <c r="BJ166" s="230">
        <v>-9319600</v>
      </c>
      <c r="BK166" s="229">
        <v>-0.63360000000000005</v>
      </c>
      <c r="BL166" s="230">
        <v>2408675</v>
      </c>
      <c r="BM166" s="230">
        <v>6345125</v>
      </c>
      <c r="BN166" s="230">
        <v>-3936450</v>
      </c>
      <c r="BO166" s="229">
        <v>-0.62039999999999995</v>
      </c>
      <c r="BP166" s="230">
        <v>10044675</v>
      </c>
      <c r="BQ166" s="230">
        <v>26747275</v>
      </c>
      <c r="BR166" s="230">
        <v>-16702600</v>
      </c>
      <c r="BS166" s="229">
        <v>-0.62450000000000006</v>
      </c>
      <c r="BT166" s="230">
        <v>1671737</v>
      </c>
      <c r="BU166" s="230">
        <v>5224183</v>
      </c>
      <c r="BV166" s="230">
        <v>-3552446</v>
      </c>
      <c r="BW166" s="229">
        <v>-0.68</v>
      </c>
      <c r="BX166" s="230">
        <v>8197200</v>
      </c>
      <c r="BY166" s="230">
        <v>8159250</v>
      </c>
      <c r="BZ166" s="230">
        <v>37950</v>
      </c>
      <c r="CA166" s="229">
        <v>4.7000000000000002E-3</v>
      </c>
      <c r="CB166" s="230">
        <v>7901650</v>
      </c>
      <c r="CC166" s="230">
        <v>7935000</v>
      </c>
      <c r="CD166" s="230">
        <v>-33350</v>
      </c>
      <c r="CE166" s="229">
        <v>-4.1999999999999997E-3</v>
      </c>
      <c r="CF166" s="230">
        <v>260475</v>
      </c>
      <c r="CG166" s="230">
        <v>191475</v>
      </c>
      <c r="CH166" s="230">
        <v>69000</v>
      </c>
      <c r="CI166" s="229">
        <v>0.3604</v>
      </c>
      <c r="CJ166" s="230">
        <v>35075</v>
      </c>
      <c r="CK166" s="230">
        <v>32775</v>
      </c>
      <c r="CL166" s="230">
        <v>2300</v>
      </c>
      <c r="CM166" s="229">
        <v>7.0199999999999999E-2</v>
      </c>
      <c r="CN166" s="230">
        <v>3643200</v>
      </c>
      <c r="CO166" s="230">
        <v>3615025</v>
      </c>
      <c r="CP166" s="230">
        <v>28175</v>
      </c>
      <c r="CQ166" s="229">
        <v>7.7999999999999996E-3</v>
      </c>
      <c r="CR166" s="230">
        <v>3059000</v>
      </c>
      <c r="CS166" s="230">
        <v>2987700</v>
      </c>
      <c r="CT166" s="230">
        <v>71300</v>
      </c>
      <c r="CU166" s="229">
        <v>2.3900000000000001E-2</v>
      </c>
      <c r="CV166" s="230">
        <v>14899400</v>
      </c>
      <c r="CW166" s="230">
        <v>14761975</v>
      </c>
      <c r="CX166" s="230">
        <v>137425</v>
      </c>
      <c r="CY166" s="229">
        <v>9.2999999999999992E-3</v>
      </c>
      <c r="CZ166" s="228">
        <v>45.88</v>
      </c>
      <c r="DA166" s="228">
        <v>47.2</v>
      </c>
      <c r="DB166" s="228">
        <v>-1.32</v>
      </c>
      <c r="DC166" s="228">
        <v>-1.32</v>
      </c>
      <c r="DD166" s="228">
        <v>48.12</v>
      </c>
      <c r="DE166" s="228">
        <v>48.23</v>
      </c>
      <c r="DF166" s="228">
        <v>-2.2400000000000002</v>
      </c>
      <c r="DG166" s="228">
        <v>-0.11</v>
      </c>
      <c r="DH166" s="228">
        <v>45.11</v>
      </c>
      <c r="DI166" s="228">
        <v>46.81</v>
      </c>
      <c r="DJ166" s="228">
        <v>-1.7</v>
      </c>
      <c r="DK166" s="228">
        <v>-1.7</v>
      </c>
      <c r="DL166" s="228">
        <v>47.61</v>
      </c>
      <c r="DM166" s="228">
        <v>48.1</v>
      </c>
      <c r="DN166" s="228">
        <v>-0.49</v>
      </c>
      <c r="DO166" s="228">
        <v>-0.49</v>
      </c>
      <c r="DP166" s="228">
        <v>0.84</v>
      </c>
      <c r="DQ166" s="228">
        <v>0.83</v>
      </c>
      <c r="DR166" s="228">
        <v>0.01</v>
      </c>
      <c r="DS166" s="229">
        <v>1.2E-2</v>
      </c>
      <c r="DT166" s="228">
        <v>800</v>
      </c>
      <c r="DU166" s="228">
        <v>700</v>
      </c>
      <c r="DV166" s="228">
        <v>0.45</v>
      </c>
      <c r="DW166" s="228">
        <v>0.43</v>
      </c>
      <c r="DX166" s="228">
        <v>0.02</v>
      </c>
      <c r="DY166" s="229">
        <v>4.65E-2</v>
      </c>
      <c r="DZ166" s="229">
        <v>3.61E-2</v>
      </c>
      <c r="EA166" s="230">
        <v>224250</v>
      </c>
      <c r="EB166" s="229">
        <v>-1.3100000000000001E-2</v>
      </c>
      <c r="EC166" s="229">
        <v>3.61E-2</v>
      </c>
      <c r="ED166" s="228">
        <v>-6.17</v>
      </c>
      <c r="EE166" s="229">
        <v>-7.9000000000000008E-3</v>
      </c>
      <c r="EF166" s="230">
        <v>461468</v>
      </c>
      <c r="EG166" s="230">
        <v>1826731</v>
      </c>
      <c r="EH166" s="229">
        <v>-0.74739999999999995</v>
      </c>
      <c r="EI166" s="229">
        <v>0.27600000000000002</v>
      </c>
      <c r="EJ166" s="231">
        <v>44589.81</v>
      </c>
      <c r="EK166" s="231">
        <v>18185.23</v>
      </c>
      <c r="EL166" s="231">
        <v>17455.71</v>
      </c>
      <c r="EM166" s="231">
        <v>4697</v>
      </c>
      <c r="EN166" s="231">
        <v>80230.75</v>
      </c>
      <c r="EO166" s="231">
        <v>212267.76</v>
      </c>
      <c r="EP166" s="231">
        <v>-132037.01</v>
      </c>
      <c r="EQ166" s="229">
        <v>-0.622</v>
      </c>
      <c r="ER166" s="231">
        <v>28942</v>
      </c>
      <c r="ES166" s="231">
        <v>21487</v>
      </c>
      <c r="ET166" s="231">
        <v>63608</v>
      </c>
      <c r="EU166" s="231">
        <v>23923093</v>
      </c>
      <c r="EV166" s="231">
        <v>114037</v>
      </c>
      <c r="EW166" s="231">
        <v>112340</v>
      </c>
      <c r="EX166" s="231">
        <v>1697</v>
      </c>
      <c r="EY166" s="229">
        <v>1.5100000000000001E-2</v>
      </c>
      <c r="EZ166" s="229">
        <v>0.62280000000000002</v>
      </c>
      <c r="FA166" s="227" t="s">
        <v>555</v>
      </c>
      <c r="FB166" s="161">
        <f t="shared" si="4"/>
        <v>0</v>
      </c>
    </row>
    <row r="167" spans="1:158" ht="17.25" thickBot="1" x14ac:dyDescent="0.3">
      <c r="A167" s="226">
        <v>46093</v>
      </c>
      <c r="B167" s="227" t="s">
        <v>206</v>
      </c>
      <c r="C167" s="227" t="s">
        <v>605</v>
      </c>
      <c r="D167" s="228">
        <v>450</v>
      </c>
      <c r="E167" s="231">
        <v>1256.4000000000001</v>
      </c>
      <c r="F167" s="231">
        <v>1276</v>
      </c>
      <c r="G167" s="228">
        <v>-19.600000000000001</v>
      </c>
      <c r="H167" s="229">
        <v>-1.54E-2</v>
      </c>
      <c r="I167" s="231">
        <v>1252.7</v>
      </c>
      <c r="J167" s="231">
        <v>1271.5</v>
      </c>
      <c r="K167" s="228">
        <v>-18.8</v>
      </c>
      <c r="L167" s="229">
        <v>-1.4800000000000001E-2</v>
      </c>
      <c r="M167" s="231">
        <v>1256.4000000000001</v>
      </c>
      <c r="N167" s="231">
        <v>1276</v>
      </c>
      <c r="O167" s="228">
        <v>-19.600000000000001</v>
      </c>
      <c r="P167" s="229">
        <v>-1.54E-2</v>
      </c>
      <c r="Q167" s="231">
        <v>1264.8</v>
      </c>
      <c r="R167" s="231">
        <v>1285.8</v>
      </c>
      <c r="S167" s="228">
        <v>-21</v>
      </c>
      <c r="T167" s="229">
        <v>-1.6299999999999999E-2</v>
      </c>
      <c r="U167" s="231">
        <v>1283.8</v>
      </c>
      <c r="V167" s="231">
        <v>1283.8</v>
      </c>
      <c r="W167" s="228">
        <v>0</v>
      </c>
      <c r="X167" s="229">
        <v>0</v>
      </c>
      <c r="Y167" s="228">
        <v>3.7</v>
      </c>
      <c r="Z167" s="228">
        <v>4.5</v>
      </c>
      <c r="AA167" s="228">
        <v>-0.8</v>
      </c>
      <c r="AB167" s="229">
        <v>3.0000000000000001E-3</v>
      </c>
      <c r="AC167" s="228">
        <v>3.7</v>
      </c>
      <c r="AD167" s="228">
        <v>4.5</v>
      </c>
      <c r="AE167" s="228">
        <v>-0.8</v>
      </c>
      <c r="AF167" s="229">
        <v>3.0000000000000001E-3</v>
      </c>
      <c r="AG167" s="228">
        <v>12.1</v>
      </c>
      <c r="AH167" s="228">
        <v>14.3</v>
      </c>
      <c r="AI167" s="228">
        <v>-2.2000000000000002</v>
      </c>
      <c r="AJ167" s="229">
        <v>9.7000000000000003E-3</v>
      </c>
      <c r="AK167" s="228">
        <v>31.1</v>
      </c>
      <c r="AL167" s="228">
        <v>12.3</v>
      </c>
      <c r="AM167" s="228">
        <v>18.8</v>
      </c>
      <c r="AN167" s="229">
        <v>2.4799999999999999E-2</v>
      </c>
      <c r="AO167" s="231">
        <v>1262.43</v>
      </c>
      <c r="AP167" s="231">
        <v>1265.01</v>
      </c>
      <c r="AQ167" s="228">
        <v>0</v>
      </c>
      <c r="AR167" s="230">
        <v>1034100</v>
      </c>
      <c r="AS167" s="230">
        <v>1155150</v>
      </c>
      <c r="AT167" s="230">
        <v>-121050</v>
      </c>
      <c r="AU167" s="229">
        <v>-0.1048</v>
      </c>
      <c r="AV167" s="230">
        <v>960300</v>
      </c>
      <c r="AW167" s="230">
        <v>1112400</v>
      </c>
      <c r="AX167" s="230">
        <v>-152100</v>
      </c>
      <c r="AY167" s="229">
        <v>-0.13669999999999999</v>
      </c>
      <c r="AZ167" s="230">
        <v>73800</v>
      </c>
      <c r="BA167" s="230">
        <v>42300</v>
      </c>
      <c r="BB167" s="230">
        <v>31500</v>
      </c>
      <c r="BC167" s="229">
        <v>0.74470000000000003</v>
      </c>
      <c r="BD167" s="228">
        <v>0</v>
      </c>
      <c r="BE167" s="228">
        <v>450</v>
      </c>
      <c r="BF167" s="228">
        <v>-450</v>
      </c>
      <c r="BG167" s="229">
        <v>-1</v>
      </c>
      <c r="BH167" s="230">
        <v>1005300</v>
      </c>
      <c r="BI167" s="230">
        <v>921150</v>
      </c>
      <c r="BJ167" s="230">
        <v>84150</v>
      </c>
      <c r="BK167" s="229">
        <v>9.1399999999999995E-2</v>
      </c>
      <c r="BL167" s="230">
        <v>1018350</v>
      </c>
      <c r="BM167" s="230">
        <v>733050</v>
      </c>
      <c r="BN167" s="230">
        <v>285300</v>
      </c>
      <c r="BO167" s="229">
        <v>0.38919999999999999</v>
      </c>
      <c r="BP167" s="230">
        <v>3057750</v>
      </c>
      <c r="BQ167" s="230">
        <v>2809350</v>
      </c>
      <c r="BR167" s="230">
        <v>248400</v>
      </c>
      <c r="BS167" s="229">
        <v>8.8400000000000006E-2</v>
      </c>
      <c r="BT167" s="230">
        <v>495102</v>
      </c>
      <c r="BU167" s="230">
        <v>1477143</v>
      </c>
      <c r="BV167" s="230">
        <v>-982041</v>
      </c>
      <c r="BW167" s="229">
        <v>-0.66479999999999995</v>
      </c>
      <c r="BX167" s="230">
        <v>5769450</v>
      </c>
      <c r="BY167" s="230">
        <v>5821650</v>
      </c>
      <c r="BZ167" s="230">
        <v>-52200</v>
      </c>
      <c r="CA167" s="229">
        <v>-8.9999999999999993E-3</v>
      </c>
      <c r="CB167" s="230">
        <v>5672700</v>
      </c>
      <c r="CC167" s="230">
        <v>5717250</v>
      </c>
      <c r="CD167" s="230">
        <v>-44550</v>
      </c>
      <c r="CE167" s="229">
        <v>-7.7999999999999996E-3</v>
      </c>
      <c r="CF167" s="230">
        <v>94950</v>
      </c>
      <c r="CG167" s="230">
        <v>102600</v>
      </c>
      <c r="CH167" s="230">
        <v>-7650</v>
      </c>
      <c r="CI167" s="229">
        <v>-7.46E-2</v>
      </c>
      <c r="CJ167" s="230">
        <v>1800</v>
      </c>
      <c r="CK167" s="230">
        <v>1800</v>
      </c>
      <c r="CL167" s="228">
        <v>0</v>
      </c>
      <c r="CM167" s="229">
        <v>0</v>
      </c>
      <c r="CN167" s="230">
        <v>1396350</v>
      </c>
      <c r="CO167" s="230">
        <v>1359450</v>
      </c>
      <c r="CP167" s="230">
        <v>36900</v>
      </c>
      <c r="CQ167" s="229">
        <v>2.7099999999999999E-2</v>
      </c>
      <c r="CR167" s="230">
        <v>1129050</v>
      </c>
      <c r="CS167" s="230">
        <v>1042200</v>
      </c>
      <c r="CT167" s="230">
        <v>86850</v>
      </c>
      <c r="CU167" s="229">
        <v>8.3299999999999999E-2</v>
      </c>
      <c r="CV167" s="230">
        <v>8294850</v>
      </c>
      <c r="CW167" s="230">
        <v>8223300</v>
      </c>
      <c r="CX167" s="230">
        <v>71550</v>
      </c>
      <c r="CY167" s="229">
        <v>8.6999999999999994E-3</v>
      </c>
      <c r="CZ167" s="228">
        <v>41.83</v>
      </c>
      <c r="DA167" s="228">
        <v>42.09</v>
      </c>
      <c r="DB167" s="228">
        <v>-0.26</v>
      </c>
      <c r="DC167" s="228">
        <v>-0.26</v>
      </c>
      <c r="DD167" s="228">
        <v>43.03</v>
      </c>
      <c r="DE167" s="228">
        <v>43.09</v>
      </c>
      <c r="DF167" s="228">
        <v>-1.2</v>
      </c>
      <c r="DG167" s="228">
        <v>-0.06</v>
      </c>
      <c r="DH167" s="228">
        <v>40.659999999999997</v>
      </c>
      <c r="DI167" s="228">
        <v>40.75</v>
      </c>
      <c r="DJ167" s="228">
        <v>-0.09</v>
      </c>
      <c r="DK167" s="228">
        <v>-0.09</v>
      </c>
      <c r="DL167" s="228">
        <v>42.99</v>
      </c>
      <c r="DM167" s="228">
        <v>43.76</v>
      </c>
      <c r="DN167" s="228">
        <v>-0.77</v>
      </c>
      <c r="DO167" s="228">
        <v>-0.77</v>
      </c>
      <c r="DP167" s="228">
        <v>0.81</v>
      </c>
      <c r="DQ167" s="228">
        <v>0.77</v>
      </c>
      <c r="DR167" s="228">
        <v>0.04</v>
      </c>
      <c r="DS167" s="229">
        <v>5.1900000000000002E-2</v>
      </c>
      <c r="DT167" s="231">
        <v>1400</v>
      </c>
      <c r="DU167" s="231">
        <v>1240</v>
      </c>
      <c r="DV167" s="228">
        <v>1.01</v>
      </c>
      <c r="DW167" s="228">
        <v>0.8</v>
      </c>
      <c r="DX167" s="228">
        <v>0.21</v>
      </c>
      <c r="DY167" s="229">
        <v>0.26250000000000001</v>
      </c>
      <c r="DZ167" s="229">
        <v>1.6799999999999999E-2</v>
      </c>
      <c r="EA167" s="230">
        <v>104400</v>
      </c>
      <c r="EB167" s="229">
        <v>6.7000000000000002E-3</v>
      </c>
      <c r="EC167" s="229">
        <v>1.6799999999999999E-2</v>
      </c>
      <c r="ED167" s="228">
        <v>2.58</v>
      </c>
      <c r="EE167" s="229">
        <v>2E-3</v>
      </c>
      <c r="EF167" s="230">
        <v>245417</v>
      </c>
      <c r="EG167" s="230">
        <v>910148</v>
      </c>
      <c r="EH167" s="229">
        <v>-0.73040000000000005</v>
      </c>
      <c r="EI167" s="229">
        <v>0.49569999999999997</v>
      </c>
      <c r="EJ167" s="231">
        <v>13998.27</v>
      </c>
      <c r="EK167" s="231">
        <v>13195.14</v>
      </c>
      <c r="EL167" s="231">
        <v>13056.65</v>
      </c>
      <c r="EM167" s="231">
        <v>2502</v>
      </c>
      <c r="EN167" s="231">
        <v>40250.06</v>
      </c>
      <c r="EO167" s="231">
        <v>37670.03</v>
      </c>
      <c r="EP167" s="231">
        <v>2580.0300000000002</v>
      </c>
      <c r="EQ167" s="229">
        <v>6.8500000000000005E-2</v>
      </c>
      <c r="ER167" s="231">
        <v>20345</v>
      </c>
      <c r="ES167" s="231">
        <v>14895</v>
      </c>
      <c r="ET167" s="231">
        <v>72496</v>
      </c>
      <c r="EU167" s="231">
        <v>22697169</v>
      </c>
      <c r="EV167" s="231">
        <v>107736</v>
      </c>
      <c r="EW167" s="231">
        <v>108213</v>
      </c>
      <c r="EX167" s="228">
        <v>-477</v>
      </c>
      <c r="EY167" s="229">
        <v>-4.4000000000000003E-3</v>
      </c>
      <c r="EZ167" s="229">
        <v>0.36549999999999999</v>
      </c>
      <c r="FA167" s="227" t="s">
        <v>568</v>
      </c>
      <c r="FB167" s="161">
        <f t="shared" si="4"/>
        <v>0</v>
      </c>
    </row>
    <row r="168" spans="1:158" ht="17.25" thickBot="1" x14ac:dyDescent="0.3">
      <c r="A168" s="226">
        <v>46093</v>
      </c>
      <c r="B168" s="227" t="s">
        <v>172</v>
      </c>
      <c r="C168" s="227" t="s">
        <v>279</v>
      </c>
      <c r="D168" s="228">
        <v>3175</v>
      </c>
      <c r="E168" s="228">
        <v>300.39999999999998</v>
      </c>
      <c r="F168" s="228">
        <v>299.2</v>
      </c>
      <c r="G168" s="228">
        <v>1.2</v>
      </c>
      <c r="H168" s="229">
        <v>4.0000000000000001E-3</v>
      </c>
      <c r="I168" s="228">
        <v>299.8</v>
      </c>
      <c r="J168" s="228">
        <v>297.7</v>
      </c>
      <c r="K168" s="228">
        <v>2.1</v>
      </c>
      <c r="L168" s="229">
        <v>7.1000000000000004E-3</v>
      </c>
      <c r="M168" s="228">
        <v>300.39999999999998</v>
      </c>
      <c r="N168" s="228">
        <v>299.2</v>
      </c>
      <c r="O168" s="228">
        <v>1.2</v>
      </c>
      <c r="P168" s="229">
        <v>4.0000000000000001E-3</v>
      </c>
      <c r="Q168" s="228">
        <v>302.45</v>
      </c>
      <c r="R168" s="228">
        <v>301</v>
      </c>
      <c r="S168" s="228">
        <v>1.45</v>
      </c>
      <c r="T168" s="229">
        <v>4.7999999999999996E-3</v>
      </c>
      <c r="U168" s="228">
        <v>303.5</v>
      </c>
      <c r="V168" s="228">
        <v>302.3</v>
      </c>
      <c r="W168" s="228">
        <v>1.2</v>
      </c>
      <c r="X168" s="229">
        <v>4.0000000000000001E-3</v>
      </c>
      <c r="Y168" s="228">
        <v>0.6</v>
      </c>
      <c r="Z168" s="228">
        <v>1.5</v>
      </c>
      <c r="AA168" s="228">
        <v>-0.9</v>
      </c>
      <c r="AB168" s="229">
        <v>2E-3</v>
      </c>
      <c r="AC168" s="228">
        <v>0.6</v>
      </c>
      <c r="AD168" s="228">
        <v>1.5</v>
      </c>
      <c r="AE168" s="228">
        <v>-0.9</v>
      </c>
      <c r="AF168" s="229">
        <v>2E-3</v>
      </c>
      <c r="AG168" s="228">
        <v>2.65</v>
      </c>
      <c r="AH168" s="228">
        <v>3.3</v>
      </c>
      <c r="AI168" s="228">
        <v>-0.65</v>
      </c>
      <c r="AJ168" s="229">
        <v>8.8000000000000005E-3</v>
      </c>
      <c r="AK168" s="228">
        <v>3.7</v>
      </c>
      <c r="AL168" s="228">
        <v>4.5999999999999996</v>
      </c>
      <c r="AM168" s="228">
        <v>-0.9</v>
      </c>
      <c r="AN168" s="229">
        <v>1.23E-2</v>
      </c>
      <c r="AO168" s="228">
        <v>298.58999999999997</v>
      </c>
      <c r="AP168" s="228">
        <v>299.89999999999998</v>
      </c>
      <c r="AQ168" s="228">
        <v>0</v>
      </c>
      <c r="AR168" s="230">
        <v>12506325</v>
      </c>
      <c r="AS168" s="230">
        <v>13776325</v>
      </c>
      <c r="AT168" s="230">
        <v>-1270000</v>
      </c>
      <c r="AU168" s="229">
        <v>-9.2200000000000004E-2</v>
      </c>
      <c r="AV168" s="230">
        <v>11906250</v>
      </c>
      <c r="AW168" s="230">
        <v>13265150</v>
      </c>
      <c r="AX168" s="230">
        <v>-1358900</v>
      </c>
      <c r="AY168" s="229">
        <v>-0.1024</v>
      </c>
      <c r="AZ168" s="230">
        <v>558800</v>
      </c>
      <c r="BA168" s="230">
        <v>488950</v>
      </c>
      <c r="BB168" s="230">
        <v>69850</v>
      </c>
      <c r="BC168" s="229">
        <v>0.1429</v>
      </c>
      <c r="BD168" s="230">
        <v>41275</v>
      </c>
      <c r="BE168" s="230">
        <v>22225</v>
      </c>
      <c r="BF168" s="230">
        <v>19050</v>
      </c>
      <c r="BG168" s="229">
        <v>0.85709999999999997</v>
      </c>
      <c r="BH168" s="230">
        <v>22310725</v>
      </c>
      <c r="BI168" s="230">
        <v>25488900</v>
      </c>
      <c r="BJ168" s="230">
        <v>-3178175</v>
      </c>
      <c r="BK168" s="229">
        <v>-0.12470000000000001</v>
      </c>
      <c r="BL168" s="230">
        <v>14909800</v>
      </c>
      <c r="BM168" s="230">
        <v>22129750</v>
      </c>
      <c r="BN168" s="230">
        <v>-7219950</v>
      </c>
      <c r="BO168" s="229">
        <v>-0.32629999999999998</v>
      </c>
      <c r="BP168" s="230">
        <v>49726850</v>
      </c>
      <c r="BQ168" s="230">
        <v>61394975</v>
      </c>
      <c r="BR168" s="230">
        <v>-11668125</v>
      </c>
      <c r="BS168" s="229">
        <v>-0.19009999999999999</v>
      </c>
      <c r="BT168" s="230">
        <v>3247390</v>
      </c>
      <c r="BU168" s="230">
        <v>3411717</v>
      </c>
      <c r="BV168" s="230">
        <v>-164327</v>
      </c>
      <c r="BW168" s="229">
        <v>-4.82E-2</v>
      </c>
      <c r="BX168" s="230">
        <v>66855975</v>
      </c>
      <c r="BY168" s="230">
        <v>66040000</v>
      </c>
      <c r="BZ168" s="230">
        <v>815975</v>
      </c>
      <c r="CA168" s="229">
        <v>1.24E-2</v>
      </c>
      <c r="CB168" s="230">
        <v>61125100</v>
      </c>
      <c r="CC168" s="230">
        <v>60369450</v>
      </c>
      <c r="CD168" s="230">
        <v>755650</v>
      </c>
      <c r="CE168" s="229">
        <v>1.2500000000000001E-2</v>
      </c>
      <c r="CF168" s="230">
        <v>5603875</v>
      </c>
      <c r="CG168" s="230">
        <v>5556250</v>
      </c>
      <c r="CH168" s="230">
        <v>47625</v>
      </c>
      <c r="CI168" s="229">
        <v>8.6E-3</v>
      </c>
      <c r="CJ168" s="230">
        <v>127000</v>
      </c>
      <c r="CK168" s="230">
        <v>114300</v>
      </c>
      <c r="CL168" s="230">
        <v>12700</v>
      </c>
      <c r="CM168" s="229">
        <v>0.1111</v>
      </c>
      <c r="CN168" s="230">
        <v>25765125</v>
      </c>
      <c r="CO168" s="230">
        <v>25199975</v>
      </c>
      <c r="CP168" s="230">
        <v>565150</v>
      </c>
      <c r="CQ168" s="229">
        <v>2.24E-2</v>
      </c>
      <c r="CR168" s="230">
        <v>30226000</v>
      </c>
      <c r="CS168" s="230">
        <v>28397200</v>
      </c>
      <c r="CT168" s="230">
        <v>1828800</v>
      </c>
      <c r="CU168" s="229">
        <v>6.4399999999999999E-2</v>
      </c>
      <c r="CV168" s="230">
        <v>122847100</v>
      </c>
      <c r="CW168" s="230">
        <v>119637175</v>
      </c>
      <c r="CX168" s="230">
        <v>3209925</v>
      </c>
      <c r="CY168" s="229">
        <v>2.6800000000000001E-2</v>
      </c>
      <c r="CZ168" s="228">
        <v>33.67</v>
      </c>
      <c r="DA168" s="228">
        <v>33.130000000000003</v>
      </c>
      <c r="DB168" s="228">
        <v>0.54</v>
      </c>
      <c r="DC168" s="228">
        <v>0.54</v>
      </c>
      <c r="DD168" s="228">
        <v>43.03</v>
      </c>
      <c r="DE168" s="228">
        <v>43.12</v>
      </c>
      <c r="DF168" s="228">
        <v>-9.36</v>
      </c>
      <c r="DG168" s="228">
        <v>-0.09</v>
      </c>
      <c r="DH168" s="228">
        <v>33.33</v>
      </c>
      <c r="DI168" s="228">
        <v>33.35</v>
      </c>
      <c r="DJ168" s="228">
        <v>-0.02</v>
      </c>
      <c r="DK168" s="228">
        <v>-0.02</v>
      </c>
      <c r="DL168" s="228">
        <v>34.17</v>
      </c>
      <c r="DM168" s="228">
        <v>32.869999999999997</v>
      </c>
      <c r="DN168" s="228">
        <v>1.3</v>
      </c>
      <c r="DO168" s="228">
        <v>1.3</v>
      </c>
      <c r="DP168" s="228">
        <v>1.17</v>
      </c>
      <c r="DQ168" s="228">
        <v>1.1299999999999999</v>
      </c>
      <c r="DR168" s="228">
        <v>0.04</v>
      </c>
      <c r="DS168" s="229">
        <v>3.5400000000000001E-2</v>
      </c>
      <c r="DT168" s="228">
        <v>330</v>
      </c>
      <c r="DU168" s="228">
        <v>280</v>
      </c>
      <c r="DV168" s="228">
        <v>0.67</v>
      </c>
      <c r="DW168" s="228">
        <v>0.87</v>
      </c>
      <c r="DX168" s="228">
        <v>-0.2</v>
      </c>
      <c r="DY168" s="229">
        <v>-0.22989999999999999</v>
      </c>
      <c r="DZ168" s="229">
        <v>8.5699999999999998E-2</v>
      </c>
      <c r="EA168" s="230">
        <v>5670550</v>
      </c>
      <c r="EB168" s="229">
        <v>6.7999999999999996E-3</v>
      </c>
      <c r="EC168" s="229">
        <v>8.5699999999999998E-2</v>
      </c>
      <c r="ED168" s="228">
        <v>1.31</v>
      </c>
      <c r="EE168" s="229">
        <v>4.4000000000000003E-3</v>
      </c>
      <c r="EF168" s="230">
        <v>920584</v>
      </c>
      <c r="EG168" s="230">
        <v>940443</v>
      </c>
      <c r="EH168" s="229">
        <v>-2.1100000000000001E-2</v>
      </c>
      <c r="EI168" s="229">
        <v>0.28349999999999997</v>
      </c>
      <c r="EJ168" s="231">
        <v>70711.75</v>
      </c>
      <c r="EK168" s="231">
        <v>44454.06</v>
      </c>
      <c r="EL168" s="231">
        <v>37351.31</v>
      </c>
      <c r="EM168" s="231">
        <v>5089</v>
      </c>
      <c r="EN168" s="231">
        <v>152517.12</v>
      </c>
      <c r="EO168" s="231">
        <v>191257.77</v>
      </c>
      <c r="EP168" s="231">
        <v>-38740.65</v>
      </c>
      <c r="EQ168" s="229">
        <v>-0.2026</v>
      </c>
      <c r="ER168" s="231">
        <v>83964</v>
      </c>
      <c r="ES168" s="231">
        <v>89038</v>
      </c>
      <c r="ET168" s="231">
        <v>200954</v>
      </c>
      <c r="EU168" s="231">
        <v>91953095</v>
      </c>
      <c r="EV168" s="231">
        <v>373956</v>
      </c>
      <c r="EW168" s="231">
        <v>363803</v>
      </c>
      <c r="EX168" s="231">
        <v>10153</v>
      </c>
      <c r="EY168" s="229">
        <v>2.7900000000000001E-2</v>
      </c>
      <c r="EZ168" s="229">
        <v>1.3360000000000001</v>
      </c>
      <c r="FA168" s="227" t="s">
        <v>555</v>
      </c>
      <c r="FB168" s="161">
        <f t="shared" si="4"/>
        <v>0</v>
      </c>
    </row>
    <row r="169" spans="1:158" ht="17.25" thickBot="1" x14ac:dyDescent="0.3">
      <c r="A169" s="226">
        <v>46093</v>
      </c>
      <c r="B169" s="227" t="s">
        <v>175</v>
      </c>
      <c r="C169" s="227" t="s">
        <v>280</v>
      </c>
      <c r="D169" s="228">
        <v>1400</v>
      </c>
      <c r="E169" s="228">
        <v>341.15</v>
      </c>
      <c r="F169" s="228">
        <v>332.2</v>
      </c>
      <c r="G169" s="228">
        <v>8.9499999999999993</v>
      </c>
      <c r="H169" s="229">
        <v>2.69E-2</v>
      </c>
      <c r="I169" s="228">
        <v>343.5</v>
      </c>
      <c r="J169" s="228">
        <v>333.05</v>
      </c>
      <c r="K169" s="228">
        <v>10.45</v>
      </c>
      <c r="L169" s="229">
        <v>3.1399999999999997E-2</v>
      </c>
      <c r="M169" s="228">
        <v>341.15</v>
      </c>
      <c r="N169" s="228">
        <v>332.2</v>
      </c>
      <c r="O169" s="228">
        <v>8.9499999999999993</v>
      </c>
      <c r="P169" s="229">
        <v>2.69E-2</v>
      </c>
      <c r="Q169" s="228">
        <v>343.5</v>
      </c>
      <c r="R169" s="228">
        <v>334.1</v>
      </c>
      <c r="S169" s="228">
        <v>9.4</v>
      </c>
      <c r="T169" s="229">
        <v>2.81E-2</v>
      </c>
      <c r="U169" s="228">
        <v>344.85</v>
      </c>
      <c r="V169" s="228">
        <v>335.3</v>
      </c>
      <c r="W169" s="228">
        <v>9.5500000000000007</v>
      </c>
      <c r="X169" s="229">
        <v>2.8500000000000001E-2</v>
      </c>
      <c r="Y169" s="228">
        <v>-2.35</v>
      </c>
      <c r="Z169" s="228">
        <v>-0.85</v>
      </c>
      <c r="AA169" s="228">
        <v>-1.5</v>
      </c>
      <c r="AB169" s="229">
        <v>-6.7999999999999996E-3</v>
      </c>
      <c r="AC169" s="228">
        <v>-2.35</v>
      </c>
      <c r="AD169" s="228">
        <v>-0.85</v>
      </c>
      <c r="AE169" s="228">
        <v>-1.5</v>
      </c>
      <c r="AF169" s="229">
        <v>-6.7999999999999996E-3</v>
      </c>
      <c r="AG169" s="228">
        <v>0</v>
      </c>
      <c r="AH169" s="228">
        <v>1.05</v>
      </c>
      <c r="AI169" s="228">
        <v>-1.05</v>
      </c>
      <c r="AJ169" s="229">
        <v>0</v>
      </c>
      <c r="AK169" s="228">
        <v>1.35</v>
      </c>
      <c r="AL169" s="228">
        <v>2.25</v>
      </c>
      <c r="AM169" s="228">
        <v>-0.9</v>
      </c>
      <c r="AN169" s="229">
        <v>3.8999999999999998E-3</v>
      </c>
      <c r="AO169" s="228">
        <v>338.31</v>
      </c>
      <c r="AP169" s="228">
        <v>340.63</v>
      </c>
      <c r="AQ169" s="228">
        <v>0</v>
      </c>
      <c r="AR169" s="230">
        <v>16697800</v>
      </c>
      <c r="AS169" s="230">
        <v>8608600</v>
      </c>
      <c r="AT169" s="230">
        <v>8089200</v>
      </c>
      <c r="AU169" s="229">
        <v>0.93969999999999998</v>
      </c>
      <c r="AV169" s="230">
        <v>13703200</v>
      </c>
      <c r="AW169" s="230">
        <v>7428400</v>
      </c>
      <c r="AX169" s="230">
        <v>6274800</v>
      </c>
      <c r="AY169" s="229">
        <v>0.84470000000000001</v>
      </c>
      <c r="AZ169" s="230">
        <v>2737000</v>
      </c>
      <c r="BA169" s="230">
        <v>1038800</v>
      </c>
      <c r="BB169" s="230">
        <v>1698200</v>
      </c>
      <c r="BC169" s="229">
        <v>1.6348</v>
      </c>
      <c r="BD169" s="230">
        <v>257600</v>
      </c>
      <c r="BE169" s="230">
        <v>141400</v>
      </c>
      <c r="BF169" s="230">
        <v>116200</v>
      </c>
      <c r="BG169" s="229">
        <v>0.82179999999999997</v>
      </c>
      <c r="BH169" s="230">
        <v>46468800</v>
      </c>
      <c r="BI169" s="230">
        <v>17780000</v>
      </c>
      <c r="BJ169" s="230">
        <v>28688800</v>
      </c>
      <c r="BK169" s="229">
        <v>1.6134999999999999</v>
      </c>
      <c r="BL169" s="230">
        <v>20211800</v>
      </c>
      <c r="BM169" s="230">
        <v>9087400</v>
      </c>
      <c r="BN169" s="230">
        <v>11124400</v>
      </c>
      <c r="BO169" s="229">
        <v>1.2242</v>
      </c>
      <c r="BP169" s="230">
        <v>83378400</v>
      </c>
      <c r="BQ169" s="230">
        <v>35476000</v>
      </c>
      <c r="BR169" s="230">
        <v>47902400</v>
      </c>
      <c r="BS169" s="229">
        <v>1.3503000000000001</v>
      </c>
      <c r="BT169" s="230">
        <v>10934884</v>
      </c>
      <c r="BU169" s="230">
        <v>6372371</v>
      </c>
      <c r="BV169" s="230">
        <v>4562513</v>
      </c>
      <c r="BW169" s="229">
        <v>0.71599999999999997</v>
      </c>
      <c r="BX169" s="230">
        <v>77385000</v>
      </c>
      <c r="BY169" s="230">
        <v>78303400</v>
      </c>
      <c r="BZ169" s="230">
        <v>-918400</v>
      </c>
      <c r="CA169" s="229">
        <v>-1.17E-2</v>
      </c>
      <c r="CB169" s="230">
        <v>70474600</v>
      </c>
      <c r="CC169" s="230">
        <v>71360800</v>
      </c>
      <c r="CD169" s="230">
        <v>-886200</v>
      </c>
      <c r="CE169" s="229">
        <v>-1.24E-2</v>
      </c>
      <c r="CF169" s="230">
        <v>6428800</v>
      </c>
      <c r="CG169" s="230">
        <v>6482000</v>
      </c>
      <c r="CH169" s="230">
        <v>-53200</v>
      </c>
      <c r="CI169" s="229">
        <v>-8.2000000000000007E-3</v>
      </c>
      <c r="CJ169" s="230">
        <v>481600</v>
      </c>
      <c r="CK169" s="230">
        <v>460600</v>
      </c>
      <c r="CL169" s="230">
        <v>21000</v>
      </c>
      <c r="CM169" s="229">
        <v>4.5600000000000002E-2</v>
      </c>
      <c r="CN169" s="230">
        <v>30055200</v>
      </c>
      <c r="CO169" s="230">
        <v>29031800</v>
      </c>
      <c r="CP169" s="230">
        <v>1023400</v>
      </c>
      <c r="CQ169" s="229">
        <v>3.5299999999999998E-2</v>
      </c>
      <c r="CR169" s="230">
        <v>30685200</v>
      </c>
      <c r="CS169" s="230">
        <v>29465800</v>
      </c>
      <c r="CT169" s="230">
        <v>1219400</v>
      </c>
      <c r="CU169" s="229">
        <v>4.1399999999999999E-2</v>
      </c>
      <c r="CV169" s="230">
        <v>138125400</v>
      </c>
      <c r="CW169" s="230">
        <v>136801000</v>
      </c>
      <c r="CX169" s="230">
        <v>1324400</v>
      </c>
      <c r="CY169" s="229">
        <v>9.7000000000000003E-3</v>
      </c>
      <c r="CZ169" s="228">
        <v>37.57</v>
      </c>
      <c r="DA169" s="228">
        <v>36.72</v>
      </c>
      <c r="DB169" s="228">
        <v>0.85</v>
      </c>
      <c r="DC169" s="228">
        <v>0.85</v>
      </c>
      <c r="DD169" s="228">
        <v>41.55</v>
      </c>
      <c r="DE169" s="228">
        <v>41.5</v>
      </c>
      <c r="DF169" s="228">
        <v>-3.98</v>
      </c>
      <c r="DG169" s="228">
        <v>0.05</v>
      </c>
      <c r="DH169" s="228">
        <v>36.35</v>
      </c>
      <c r="DI169" s="228">
        <v>35.799999999999997</v>
      </c>
      <c r="DJ169" s="228">
        <v>0.55000000000000004</v>
      </c>
      <c r="DK169" s="228">
        <v>0.55000000000000004</v>
      </c>
      <c r="DL169" s="228">
        <v>40.39</v>
      </c>
      <c r="DM169" s="228">
        <v>38.53</v>
      </c>
      <c r="DN169" s="228">
        <v>1.86</v>
      </c>
      <c r="DO169" s="228">
        <v>1.86</v>
      </c>
      <c r="DP169" s="228">
        <v>1.02</v>
      </c>
      <c r="DQ169" s="228">
        <v>1.01</v>
      </c>
      <c r="DR169" s="228">
        <v>0.01</v>
      </c>
      <c r="DS169" s="229">
        <v>9.9000000000000008E-3</v>
      </c>
      <c r="DT169" s="228">
        <v>370</v>
      </c>
      <c r="DU169" s="228">
        <v>320</v>
      </c>
      <c r="DV169" s="228">
        <v>0.43</v>
      </c>
      <c r="DW169" s="228">
        <v>0.51</v>
      </c>
      <c r="DX169" s="228">
        <v>-0.08</v>
      </c>
      <c r="DY169" s="229">
        <v>-0.15690000000000001</v>
      </c>
      <c r="DZ169" s="229">
        <v>8.9300000000000004E-2</v>
      </c>
      <c r="EA169" s="230">
        <v>6942600</v>
      </c>
      <c r="EB169" s="229">
        <v>6.8999999999999999E-3</v>
      </c>
      <c r="EC169" s="229">
        <v>8.9300000000000004E-2</v>
      </c>
      <c r="ED169" s="228">
        <v>2.3199999999999998</v>
      </c>
      <c r="EE169" s="229">
        <v>6.8999999999999999E-3</v>
      </c>
      <c r="EF169" s="230">
        <v>3544377</v>
      </c>
      <c r="EG169" s="230">
        <v>3394421</v>
      </c>
      <c r="EH169" s="229">
        <v>4.4200000000000003E-2</v>
      </c>
      <c r="EI169" s="229">
        <v>0.3241</v>
      </c>
      <c r="EJ169" s="231">
        <v>168717.74</v>
      </c>
      <c r="EK169" s="231">
        <v>67311.429999999993</v>
      </c>
      <c r="EL169" s="231">
        <v>56562.45</v>
      </c>
      <c r="EM169" s="231">
        <v>9398</v>
      </c>
      <c r="EN169" s="231">
        <v>292591.62</v>
      </c>
      <c r="EO169" s="231">
        <v>122804.42</v>
      </c>
      <c r="EP169" s="231">
        <v>169787.2</v>
      </c>
      <c r="EQ169" s="229">
        <v>1.3826000000000001</v>
      </c>
      <c r="ER169" s="231">
        <v>109331</v>
      </c>
      <c r="ES169" s="231">
        <v>104619</v>
      </c>
      <c r="ET169" s="231">
        <v>264168</v>
      </c>
      <c r="EU169" s="231">
        <v>187084550</v>
      </c>
      <c r="EV169" s="231">
        <v>478118</v>
      </c>
      <c r="EW169" s="231">
        <v>466372</v>
      </c>
      <c r="EX169" s="231">
        <v>11746</v>
      </c>
      <c r="EY169" s="229">
        <v>2.52E-2</v>
      </c>
      <c r="EZ169" s="229">
        <v>0.73829999999999996</v>
      </c>
      <c r="FA169" s="227" t="s">
        <v>556</v>
      </c>
      <c r="FB169" s="161">
        <f t="shared" si="4"/>
        <v>0</v>
      </c>
    </row>
    <row r="170" spans="1:158" ht="17.25" thickBot="1" x14ac:dyDescent="0.3">
      <c r="A170" s="226">
        <v>46093</v>
      </c>
      <c r="B170" s="227" t="s">
        <v>193</v>
      </c>
      <c r="C170" s="227" t="s">
        <v>281</v>
      </c>
      <c r="D170" s="228">
        <v>500</v>
      </c>
      <c r="E170" s="231">
        <v>1397</v>
      </c>
      <c r="F170" s="231">
        <v>1391.2</v>
      </c>
      <c r="G170" s="228">
        <v>5.8</v>
      </c>
      <c r="H170" s="229">
        <v>4.1999999999999997E-3</v>
      </c>
      <c r="I170" s="231">
        <v>1392.2</v>
      </c>
      <c r="J170" s="231">
        <v>1390.2</v>
      </c>
      <c r="K170" s="228">
        <v>2</v>
      </c>
      <c r="L170" s="229">
        <v>1.4E-3</v>
      </c>
      <c r="M170" s="231">
        <v>1397</v>
      </c>
      <c r="N170" s="231">
        <v>1391.2</v>
      </c>
      <c r="O170" s="228">
        <v>5.8</v>
      </c>
      <c r="P170" s="229">
        <v>4.1999999999999997E-3</v>
      </c>
      <c r="Q170" s="231">
        <v>1405.6</v>
      </c>
      <c r="R170" s="231">
        <v>1400.1</v>
      </c>
      <c r="S170" s="228">
        <v>5.5</v>
      </c>
      <c r="T170" s="229">
        <v>3.8999999999999998E-3</v>
      </c>
      <c r="U170" s="231">
        <v>1412.9</v>
      </c>
      <c r="V170" s="231">
        <v>1407.5</v>
      </c>
      <c r="W170" s="228">
        <v>5.4</v>
      </c>
      <c r="X170" s="229">
        <v>3.8E-3</v>
      </c>
      <c r="Y170" s="228">
        <v>4.8</v>
      </c>
      <c r="Z170" s="228">
        <v>1</v>
      </c>
      <c r="AA170" s="228">
        <v>3.8</v>
      </c>
      <c r="AB170" s="229">
        <v>3.3999999999999998E-3</v>
      </c>
      <c r="AC170" s="228">
        <v>4.8</v>
      </c>
      <c r="AD170" s="228">
        <v>1</v>
      </c>
      <c r="AE170" s="228">
        <v>3.8</v>
      </c>
      <c r="AF170" s="229">
        <v>3.3999999999999998E-3</v>
      </c>
      <c r="AG170" s="228">
        <v>13.4</v>
      </c>
      <c r="AH170" s="228">
        <v>9.9</v>
      </c>
      <c r="AI170" s="228">
        <v>3.5</v>
      </c>
      <c r="AJ170" s="229">
        <v>9.5999999999999992E-3</v>
      </c>
      <c r="AK170" s="228">
        <v>20.7</v>
      </c>
      <c r="AL170" s="228">
        <v>17.3</v>
      </c>
      <c r="AM170" s="228">
        <v>3.4</v>
      </c>
      <c r="AN170" s="229">
        <v>1.49E-2</v>
      </c>
      <c r="AO170" s="231">
        <v>1400.72</v>
      </c>
      <c r="AP170" s="231">
        <v>1409.72</v>
      </c>
      <c r="AQ170" s="228">
        <v>0</v>
      </c>
      <c r="AR170" s="230">
        <v>19688000</v>
      </c>
      <c r="AS170" s="230">
        <v>27156000</v>
      </c>
      <c r="AT170" s="230">
        <v>-7468000</v>
      </c>
      <c r="AU170" s="229">
        <v>-0.27500000000000002</v>
      </c>
      <c r="AV170" s="230">
        <v>17458000</v>
      </c>
      <c r="AW170" s="230">
        <v>24250500</v>
      </c>
      <c r="AX170" s="230">
        <v>-6792500</v>
      </c>
      <c r="AY170" s="229">
        <v>-0.28010000000000002</v>
      </c>
      <c r="AZ170" s="230">
        <v>2005500</v>
      </c>
      <c r="BA170" s="230">
        <v>2560500</v>
      </c>
      <c r="BB170" s="230">
        <v>-555000</v>
      </c>
      <c r="BC170" s="229">
        <v>-0.21679999999999999</v>
      </c>
      <c r="BD170" s="230">
        <v>224500</v>
      </c>
      <c r="BE170" s="230">
        <v>345000</v>
      </c>
      <c r="BF170" s="230">
        <v>-120500</v>
      </c>
      <c r="BG170" s="229">
        <v>-0.3493</v>
      </c>
      <c r="BH170" s="230">
        <v>144130000</v>
      </c>
      <c r="BI170" s="230">
        <v>214138500</v>
      </c>
      <c r="BJ170" s="230">
        <v>-70008500</v>
      </c>
      <c r="BK170" s="229">
        <v>-0.32690000000000002</v>
      </c>
      <c r="BL170" s="230">
        <v>71230500</v>
      </c>
      <c r="BM170" s="230">
        <v>87205000</v>
      </c>
      <c r="BN170" s="230">
        <v>-15974500</v>
      </c>
      <c r="BO170" s="229">
        <v>-0.1832</v>
      </c>
      <c r="BP170" s="230">
        <v>235048500</v>
      </c>
      <c r="BQ170" s="230">
        <v>328499500</v>
      </c>
      <c r="BR170" s="230">
        <v>-93451000</v>
      </c>
      <c r="BS170" s="229">
        <v>-0.28449999999999998</v>
      </c>
      <c r="BT170" s="230">
        <v>22673884</v>
      </c>
      <c r="BU170" s="230">
        <v>23715500</v>
      </c>
      <c r="BV170" s="230">
        <v>-1041616</v>
      </c>
      <c r="BW170" s="229">
        <v>-4.3900000000000002E-2</v>
      </c>
      <c r="BX170" s="230">
        <v>105469500</v>
      </c>
      <c r="BY170" s="230">
        <v>104327500</v>
      </c>
      <c r="BZ170" s="230">
        <v>1142000</v>
      </c>
      <c r="CA170" s="229">
        <v>1.09E-2</v>
      </c>
      <c r="CB170" s="230">
        <v>98882500</v>
      </c>
      <c r="CC170" s="230">
        <v>98062000</v>
      </c>
      <c r="CD170" s="230">
        <v>820500</v>
      </c>
      <c r="CE170" s="229">
        <v>8.3999999999999995E-3</v>
      </c>
      <c r="CF170" s="230">
        <v>5493500</v>
      </c>
      <c r="CG170" s="230">
        <v>5197000</v>
      </c>
      <c r="CH170" s="230">
        <v>296500</v>
      </c>
      <c r="CI170" s="229">
        <v>5.7099999999999998E-2</v>
      </c>
      <c r="CJ170" s="230">
        <v>1093500</v>
      </c>
      <c r="CK170" s="230">
        <v>1068500</v>
      </c>
      <c r="CL170" s="230">
        <v>25000</v>
      </c>
      <c r="CM170" s="229">
        <v>2.3400000000000001E-2</v>
      </c>
      <c r="CN170" s="230">
        <v>84952500</v>
      </c>
      <c r="CO170" s="230">
        <v>81715500</v>
      </c>
      <c r="CP170" s="230">
        <v>3237000</v>
      </c>
      <c r="CQ170" s="229">
        <v>3.9600000000000003E-2</v>
      </c>
      <c r="CR170" s="230">
        <v>35579000</v>
      </c>
      <c r="CS170" s="230">
        <v>33225500</v>
      </c>
      <c r="CT170" s="230">
        <v>2353500</v>
      </c>
      <c r="CU170" s="229">
        <v>7.0800000000000002E-2</v>
      </c>
      <c r="CV170" s="230">
        <v>226001000</v>
      </c>
      <c r="CW170" s="230">
        <v>219268500</v>
      </c>
      <c r="CX170" s="230">
        <v>6732500</v>
      </c>
      <c r="CY170" s="229">
        <v>3.0700000000000002E-2</v>
      </c>
      <c r="CZ170" s="228">
        <v>25.27</v>
      </c>
      <c r="DA170" s="228">
        <v>26.09</v>
      </c>
      <c r="DB170" s="228">
        <v>-0.82</v>
      </c>
      <c r="DC170" s="228">
        <v>-0.82</v>
      </c>
      <c r="DD170" s="228">
        <v>25.09</v>
      </c>
      <c r="DE170" s="228">
        <v>25.15</v>
      </c>
      <c r="DF170" s="228">
        <v>0.18</v>
      </c>
      <c r="DG170" s="228">
        <v>-0.06</v>
      </c>
      <c r="DH170" s="228">
        <v>24.64</v>
      </c>
      <c r="DI170" s="228">
        <v>25.54</v>
      </c>
      <c r="DJ170" s="228">
        <v>-0.9</v>
      </c>
      <c r="DK170" s="228">
        <v>-0.9</v>
      </c>
      <c r="DL170" s="228">
        <v>26.55</v>
      </c>
      <c r="DM170" s="228">
        <v>27.46</v>
      </c>
      <c r="DN170" s="228">
        <v>-0.91</v>
      </c>
      <c r="DO170" s="228">
        <v>-0.91</v>
      </c>
      <c r="DP170" s="228">
        <v>0.42</v>
      </c>
      <c r="DQ170" s="228">
        <v>0.41</v>
      </c>
      <c r="DR170" s="228">
        <v>0.01</v>
      </c>
      <c r="DS170" s="229">
        <v>2.4400000000000002E-2</v>
      </c>
      <c r="DT170" s="231">
        <v>1500</v>
      </c>
      <c r="DU170" s="231">
        <v>1400</v>
      </c>
      <c r="DV170" s="228">
        <v>0.49</v>
      </c>
      <c r="DW170" s="228">
        <v>0.41</v>
      </c>
      <c r="DX170" s="228">
        <v>0.08</v>
      </c>
      <c r="DY170" s="229">
        <v>0.1951</v>
      </c>
      <c r="DZ170" s="229">
        <v>6.25E-2</v>
      </c>
      <c r="EA170" s="230">
        <v>6265500</v>
      </c>
      <c r="EB170" s="229">
        <v>6.1999999999999998E-3</v>
      </c>
      <c r="EC170" s="229">
        <v>6.25E-2</v>
      </c>
      <c r="ED170" s="228">
        <v>9</v>
      </c>
      <c r="EE170" s="229">
        <v>6.4000000000000003E-3</v>
      </c>
      <c r="EF170" s="230">
        <v>9597374</v>
      </c>
      <c r="EG170" s="230">
        <v>11133679</v>
      </c>
      <c r="EH170" s="229">
        <v>-0.13800000000000001</v>
      </c>
      <c r="EI170" s="229">
        <v>0.42330000000000001</v>
      </c>
      <c r="EJ170" s="231">
        <v>2106877.7799999998</v>
      </c>
      <c r="EK170" s="231">
        <v>986988.81</v>
      </c>
      <c r="EL170" s="231">
        <v>275994.44</v>
      </c>
      <c r="EM170" s="231">
        <v>45353</v>
      </c>
      <c r="EN170" s="231">
        <v>3369861.03</v>
      </c>
      <c r="EO170" s="231">
        <v>4749837.3099999996</v>
      </c>
      <c r="EP170" s="231">
        <v>-1379976.28</v>
      </c>
      <c r="EQ170" s="229">
        <v>-0.29049999999999998</v>
      </c>
      <c r="ER170" s="231">
        <v>1240543</v>
      </c>
      <c r="ES170" s="231">
        <v>492825</v>
      </c>
      <c r="ET170" s="231">
        <v>1474055</v>
      </c>
      <c r="EU170" s="231">
        <v>664266681</v>
      </c>
      <c r="EV170" s="231">
        <v>3207423</v>
      </c>
      <c r="EW170" s="231">
        <v>3107984</v>
      </c>
      <c r="EX170" s="231">
        <v>99439</v>
      </c>
      <c r="EY170" s="229">
        <v>3.2000000000000001E-2</v>
      </c>
      <c r="EZ170" s="229">
        <v>0.3402</v>
      </c>
      <c r="FA170" s="227" t="s">
        <v>555</v>
      </c>
      <c r="FB170" s="161">
        <f t="shared" si="4"/>
        <v>0</v>
      </c>
    </row>
    <row r="171" spans="1:158" ht="17.25" thickBot="1" x14ac:dyDescent="0.3">
      <c r="A171" s="226">
        <v>46093</v>
      </c>
      <c r="B171" s="227" t="s">
        <v>215</v>
      </c>
      <c r="C171" s="227" t="s">
        <v>674</v>
      </c>
      <c r="D171" s="228">
        <v>1525</v>
      </c>
      <c r="E171" s="228">
        <v>278.7</v>
      </c>
      <c r="F171" s="228">
        <v>274.14999999999998</v>
      </c>
      <c r="G171" s="228">
        <v>4.55</v>
      </c>
      <c r="H171" s="229">
        <v>1.66E-2</v>
      </c>
      <c r="I171" s="228">
        <v>279.60000000000002</v>
      </c>
      <c r="J171" s="228">
        <v>277.2</v>
      </c>
      <c r="K171" s="228">
        <v>2.4</v>
      </c>
      <c r="L171" s="229">
        <v>8.6999999999999994E-3</v>
      </c>
      <c r="M171" s="228">
        <v>278.7</v>
      </c>
      <c r="N171" s="228">
        <v>274.14999999999998</v>
      </c>
      <c r="O171" s="228">
        <v>4.55</v>
      </c>
      <c r="P171" s="229">
        <v>1.66E-2</v>
      </c>
      <c r="Q171" s="228">
        <v>271.39999999999998</v>
      </c>
      <c r="R171" s="228">
        <v>267.5</v>
      </c>
      <c r="S171" s="228">
        <v>3.9</v>
      </c>
      <c r="T171" s="229">
        <v>1.46E-2</v>
      </c>
      <c r="U171" s="228">
        <v>267.60000000000002</v>
      </c>
      <c r="V171" s="228">
        <v>263.85000000000002</v>
      </c>
      <c r="W171" s="228">
        <v>3.75</v>
      </c>
      <c r="X171" s="229">
        <v>1.4200000000000001E-2</v>
      </c>
      <c r="Y171" s="228">
        <v>-0.9</v>
      </c>
      <c r="Z171" s="228">
        <v>-3.05</v>
      </c>
      <c r="AA171" s="228">
        <v>2.15</v>
      </c>
      <c r="AB171" s="229">
        <v>-3.2000000000000002E-3</v>
      </c>
      <c r="AC171" s="228">
        <v>-0.9</v>
      </c>
      <c r="AD171" s="228">
        <v>-3.05</v>
      </c>
      <c r="AE171" s="228">
        <v>2.15</v>
      </c>
      <c r="AF171" s="229">
        <v>-3.2000000000000002E-3</v>
      </c>
      <c r="AG171" s="228">
        <v>-8.1999999999999993</v>
      </c>
      <c r="AH171" s="228">
        <v>-9.6999999999999993</v>
      </c>
      <c r="AI171" s="228">
        <v>1.5</v>
      </c>
      <c r="AJ171" s="229">
        <v>-2.93E-2</v>
      </c>
      <c r="AK171" s="228">
        <v>-12</v>
      </c>
      <c r="AL171" s="228">
        <v>-13.35</v>
      </c>
      <c r="AM171" s="228">
        <v>1.35</v>
      </c>
      <c r="AN171" s="229">
        <v>-4.2900000000000001E-2</v>
      </c>
      <c r="AO171" s="228">
        <v>277.57</v>
      </c>
      <c r="AP171" s="228">
        <v>271.52</v>
      </c>
      <c r="AQ171" s="228">
        <v>0</v>
      </c>
      <c r="AR171" s="230">
        <v>10351700</v>
      </c>
      <c r="AS171" s="230">
        <v>7384050</v>
      </c>
      <c r="AT171" s="230">
        <v>2967650</v>
      </c>
      <c r="AU171" s="229">
        <v>0.40189999999999998</v>
      </c>
      <c r="AV171" s="230">
        <v>6592575</v>
      </c>
      <c r="AW171" s="230">
        <v>5601325</v>
      </c>
      <c r="AX171" s="230">
        <v>991250</v>
      </c>
      <c r="AY171" s="229">
        <v>0.17699999999999999</v>
      </c>
      <c r="AZ171" s="230">
        <v>2432375</v>
      </c>
      <c r="BA171" s="230">
        <v>1535675</v>
      </c>
      <c r="BB171" s="230">
        <v>896700</v>
      </c>
      <c r="BC171" s="229">
        <v>0.58389999999999997</v>
      </c>
      <c r="BD171" s="230">
        <v>1326750</v>
      </c>
      <c r="BE171" s="230">
        <v>247050</v>
      </c>
      <c r="BF171" s="230">
        <v>1079700</v>
      </c>
      <c r="BG171" s="229">
        <v>4.3704000000000001</v>
      </c>
      <c r="BH171" s="230">
        <v>23660375</v>
      </c>
      <c r="BI171" s="230">
        <v>18182575</v>
      </c>
      <c r="BJ171" s="230">
        <v>5477800</v>
      </c>
      <c r="BK171" s="229">
        <v>0.30130000000000001</v>
      </c>
      <c r="BL171" s="230">
        <v>9284200</v>
      </c>
      <c r="BM171" s="230">
        <v>6615450</v>
      </c>
      <c r="BN171" s="230">
        <v>2668750</v>
      </c>
      <c r="BO171" s="229">
        <v>0.40339999999999998</v>
      </c>
      <c r="BP171" s="230">
        <v>43296275</v>
      </c>
      <c r="BQ171" s="230">
        <v>32182075</v>
      </c>
      <c r="BR171" s="230">
        <v>11114200</v>
      </c>
      <c r="BS171" s="229">
        <v>0.34539999999999998</v>
      </c>
      <c r="BT171" s="230">
        <v>7557269</v>
      </c>
      <c r="BU171" s="230">
        <v>6304452</v>
      </c>
      <c r="BV171" s="230">
        <v>1252817</v>
      </c>
      <c r="BW171" s="229">
        <v>0.19869999999999999</v>
      </c>
      <c r="BX171" s="230">
        <v>63610800</v>
      </c>
      <c r="BY171" s="230">
        <v>63099925</v>
      </c>
      <c r="BZ171" s="230">
        <v>510875</v>
      </c>
      <c r="CA171" s="229">
        <v>8.0999999999999996E-3</v>
      </c>
      <c r="CB171" s="230">
        <v>52707050</v>
      </c>
      <c r="CC171" s="230">
        <v>54311350</v>
      </c>
      <c r="CD171" s="230">
        <v>-1604300</v>
      </c>
      <c r="CE171" s="229">
        <v>-2.9499999999999998E-2</v>
      </c>
      <c r="CF171" s="230">
        <v>9415350</v>
      </c>
      <c r="CG171" s="230">
        <v>8175525</v>
      </c>
      <c r="CH171" s="230">
        <v>1239825</v>
      </c>
      <c r="CI171" s="229">
        <v>0.1517</v>
      </c>
      <c r="CJ171" s="230">
        <v>1488400</v>
      </c>
      <c r="CK171" s="230">
        <v>613050</v>
      </c>
      <c r="CL171" s="230">
        <v>875350</v>
      </c>
      <c r="CM171" s="229">
        <v>1.4278999999999999</v>
      </c>
      <c r="CN171" s="230">
        <v>32052450</v>
      </c>
      <c r="CO171" s="230">
        <v>32589250</v>
      </c>
      <c r="CP171" s="230">
        <v>-536800</v>
      </c>
      <c r="CQ171" s="229">
        <v>-1.6500000000000001E-2</v>
      </c>
      <c r="CR171" s="230">
        <v>16197025</v>
      </c>
      <c r="CS171" s="230">
        <v>16994600</v>
      </c>
      <c r="CT171" s="230">
        <v>-797575</v>
      </c>
      <c r="CU171" s="229">
        <v>-4.6899999999999997E-2</v>
      </c>
      <c r="CV171" s="230">
        <v>111860275</v>
      </c>
      <c r="CW171" s="230">
        <v>112683775</v>
      </c>
      <c r="CX171" s="230">
        <v>-823500</v>
      </c>
      <c r="CY171" s="229">
        <v>-7.3000000000000001E-3</v>
      </c>
      <c r="CZ171" s="228">
        <v>50.68</v>
      </c>
      <c r="DA171" s="228">
        <v>49.64</v>
      </c>
      <c r="DB171" s="228">
        <v>1.04</v>
      </c>
      <c r="DC171" s="228">
        <v>1.04</v>
      </c>
      <c r="DD171" s="228">
        <v>57.85</v>
      </c>
      <c r="DE171" s="228">
        <v>57.95</v>
      </c>
      <c r="DF171" s="228">
        <v>-7.17</v>
      </c>
      <c r="DG171" s="228">
        <v>-0.1</v>
      </c>
      <c r="DH171" s="228">
        <v>50.53</v>
      </c>
      <c r="DI171" s="228">
        <v>49.86</v>
      </c>
      <c r="DJ171" s="228">
        <v>0.67</v>
      </c>
      <c r="DK171" s="228">
        <v>0.67</v>
      </c>
      <c r="DL171" s="228">
        <v>51.06</v>
      </c>
      <c r="DM171" s="228">
        <v>49.03</v>
      </c>
      <c r="DN171" s="228">
        <v>2.0299999999999998</v>
      </c>
      <c r="DO171" s="228">
        <v>2.0299999999999998</v>
      </c>
      <c r="DP171" s="228">
        <v>0.51</v>
      </c>
      <c r="DQ171" s="228">
        <v>0.52</v>
      </c>
      <c r="DR171" s="228">
        <v>-0.01</v>
      </c>
      <c r="DS171" s="229">
        <v>-1.9199999999999998E-2</v>
      </c>
      <c r="DT171" s="228">
        <v>300</v>
      </c>
      <c r="DU171" s="228">
        <v>280</v>
      </c>
      <c r="DV171" s="228">
        <v>0.39</v>
      </c>
      <c r="DW171" s="228">
        <v>0.36</v>
      </c>
      <c r="DX171" s="228">
        <v>0.03</v>
      </c>
      <c r="DY171" s="229">
        <v>8.3299999999999999E-2</v>
      </c>
      <c r="DZ171" s="229">
        <v>0.1714</v>
      </c>
      <c r="EA171" s="230">
        <v>8788575</v>
      </c>
      <c r="EB171" s="229">
        <v>-2.6200000000000001E-2</v>
      </c>
      <c r="EC171" s="229">
        <v>0.1714</v>
      </c>
      <c r="ED171" s="228">
        <v>-6.05</v>
      </c>
      <c r="EE171" s="229">
        <v>-2.18E-2</v>
      </c>
      <c r="EF171" s="230">
        <v>1634801</v>
      </c>
      <c r="EG171" s="230">
        <v>1736805</v>
      </c>
      <c r="EH171" s="229">
        <v>-5.8700000000000002E-2</v>
      </c>
      <c r="EI171" s="229">
        <v>0.21629999999999999</v>
      </c>
      <c r="EJ171" s="231">
        <v>72897.98</v>
      </c>
      <c r="EK171" s="231">
        <v>25686.720000000001</v>
      </c>
      <c r="EL171" s="231">
        <v>28455.07</v>
      </c>
      <c r="EM171" s="231">
        <v>7631</v>
      </c>
      <c r="EN171" s="231">
        <v>127039.77</v>
      </c>
      <c r="EO171" s="231">
        <v>95107.1</v>
      </c>
      <c r="EP171" s="231">
        <v>31932.67</v>
      </c>
      <c r="EQ171" s="229">
        <v>0.33579999999999999</v>
      </c>
      <c r="ER171" s="231">
        <v>101990</v>
      </c>
      <c r="ES171" s="231">
        <v>46646</v>
      </c>
      <c r="ET171" s="231">
        <v>176431</v>
      </c>
      <c r="EU171" s="231">
        <v>84941460</v>
      </c>
      <c r="EV171" s="231">
        <v>325067</v>
      </c>
      <c r="EW171" s="231">
        <v>324931</v>
      </c>
      <c r="EX171" s="228">
        <v>136</v>
      </c>
      <c r="EY171" s="229">
        <v>4.0000000000000002E-4</v>
      </c>
      <c r="EZ171" s="229">
        <v>1.3169</v>
      </c>
      <c r="FA171" s="227" t="s">
        <v>555</v>
      </c>
      <c r="FB171" s="161">
        <f t="shared" si="4"/>
        <v>0</v>
      </c>
    </row>
    <row r="172" spans="1:158" ht="17.25" thickBot="1" x14ac:dyDescent="0.3">
      <c r="A172" s="226">
        <v>46093</v>
      </c>
      <c r="B172" s="227" t="s">
        <v>227</v>
      </c>
      <c r="C172" s="227" t="s">
        <v>282</v>
      </c>
      <c r="D172" s="228">
        <v>4700</v>
      </c>
      <c r="E172" s="228">
        <v>153.85</v>
      </c>
      <c r="F172" s="228">
        <v>155.05000000000001</v>
      </c>
      <c r="G172" s="228">
        <v>-1.2</v>
      </c>
      <c r="H172" s="229">
        <v>-7.7000000000000002E-3</v>
      </c>
      <c r="I172" s="228">
        <v>153.65</v>
      </c>
      <c r="J172" s="228">
        <v>153.88</v>
      </c>
      <c r="K172" s="228">
        <v>-0.23</v>
      </c>
      <c r="L172" s="229">
        <v>-1.5E-3</v>
      </c>
      <c r="M172" s="228">
        <v>153.85</v>
      </c>
      <c r="N172" s="228">
        <v>155.05000000000001</v>
      </c>
      <c r="O172" s="228">
        <v>-1.2</v>
      </c>
      <c r="P172" s="229">
        <v>-7.7000000000000002E-3</v>
      </c>
      <c r="Q172" s="228">
        <v>154.44</v>
      </c>
      <c r="R172" s="228">
        <v>155.78</v>
      </c>
      <c r="S172" s="228">
        <v>-1.34</v>
      </c>
      <c r="T172" s="229">
        <v>-8.6E-3</v>
      </c>
      <c r="U172" s="228">
        <v>152.61000000000001</v>
      </c>
      <c r="V172" s="228">
        <v>147.65</v>
      </c>
      <c r="W172" s="228">
        <v>4.96</v>
      </c>
      <c r="X172" s="229">
        <v>3.3599999999999998E-2</v>
      </c>
      <c r="Y172" s="228">
        <v>0.2</v>
      </c>
      <c r="Z172" s="228">
        <v>1.17</v>
      </c>
      <c r="AA172" s="228">
        <v>-0.97</v>
      </c>
      <c r="AB172" s="229">
        <v>1.2999999999999999E-3</v>
      </c>
      <c r="AC172" s="228">
        <v>0.2</v>
      </c>
      <c r="AD172" s="228">
        <v>1.17</v>
      </c>
      <c r="AE172" s="228">
        <v>-0.97</v>
      </c>
      <c r="AF172" s="229">
        <v>1.2999999999999999E-3</v>
      </c>
      <c r="AG172" s="228">
        <v>0.79</v>
      </c>
      <c r="AH172" s="228">
        <v>1.9</v>
      </c>
      <c r="AI172" s="228">
        <v>-1.1100000000000001</v>
      </c>
      <c r="AJ172" s="229">
        <v>5.1000000000000004E-3</v>
      </c>
      <c r="AK172" s="228">
        <v>-1.04</v>
      </c>
      <c r="AL172" s="228">
        <v>-6.23</v>
      </c>
      <c r="AM172" s="228">
        <v>5.19</v>
      </c>
      <c r="AN172" s="229">
        <v>-6.7999999999999996E-3</v>
      </c>
      <c r="AO172" s="228">
        <v>152.94</v>
      </c>
      <c r="AP172" s="228">
        <v>154.58000000000001</v>
      </c>
      <c r="AQ172" s="228">
        <v>0</v>
      </c>
      <c r="AR172" s="230">
        <v>1645000</v>
      </c>
      <c r="AS172" s="230">
        <v>1959900</v>
      </c>
      <c r="AT172" s="230">
        <v>-314900</v>
      </c>
      <c r="AU172" s="229">
        <v>-0.16070000000000001</v>
      </c>
      <c r="AV172" s="230">
        <v>1457000</v>
      </c>
      <c r="AW172" s="230">
        <v>1865900</v>
      </c>
      <c r="AX172" s="230">
        <v>-408900</v>
      </c>
      <c r="AY172" s="229">
        <v>-0.21909999999999999</v>
      </c>
      <c r="AZ172" s="230">
        <v>183300</v>
      </c>
      <c r="BA172" s="230">
        <v>94000</v>
      </c>
      <c r="BB172" s="230">
        <v>89300</v>
      </c>
      <c r="BC172" s="229">
        <v>0.95</v>
      </c>
      <c r="BD172" s="230">
        <v>4700</v>
      </c>
      <c r="BE172" s="228">
        <v>0</v>
      </c>
      <c r="BF172" s="230">
        <v>4700</v>
      </c>
      <c r="BG172" s="229">
        <v>0</v>
      </c>
      <c r="BH172" s="230">
        <v>159800</v>
      </c>
      <c r="BI172" s="230">
        <v>272600</v>
      </c>
      <c r="BJ172" s="230">
        <v>-112800</v>
      </c>
      <c r="BK172" s="229">
        <v>-0.4138</v>
      </c>
      <c r="BL172" s="230">
        <v>244400</v>
      </c>
      <c r="BM172" s="230">
        <v>145700</v>
      </c>
      <c r="BN172" s="230">
        <v>98700</v>
      </c>
      <c r="BO172" s="229">
        <v>0.6774</v>
      </c>
      <c r="BP172" s="230">
        <v>2049200</v>
      </c>
      <c r="BQ172" s="230">
        <v>2378200</v>
      </c>
      <c r="BR172" s="230">
        <v>-329000</v>
      </c>
      <c r="BS172" s="229">
        <v>-0.13830000000000001</v>
      </c>
      <c r="BT172" s="230">
        <v>10334010</v>
      </c>
      <c r="BU172" s="230">
        <v>15015872</v>
      </c>
      <c r="BV172" s="230">
        <v>-4681862</v>
      </c>
      <c r="BW172" s="229">
        <v>-0.31180000000000002</v>
      </c>
      <c r="BX172" s="230">
        <v>207241800</v>
      </c>
      <c r="BY172" s="230">
        <v>208064300</v>
      </c>
      <c r="BZ172" s="230">
        <v>-822500</v>
      </c>
      <c r="CA172" s="229">
        <v>-4.0000000000000001E-3</v>
      </c>
      <c r="CB172" s="230">
        <v>174313600</v>
      </c>
      <c r="CC172" s="230">
        <v>175248900</v>
      </c>
      <c r="CD172" s="230">
        <v>-935300</v>
      </c>
      <c r="CE172" s="229">
        <v>-5.3E-3</v>
      </c>
      <c r="CF172" s="230">
        <v>32350100</v>
      </c>
      <c r="CG172" s="230">
        <v>32232600</v>
      </c>
      <c r="CH172" s="230">
        <v>117500</v>
      </c>
      <c r="CI172" s="229">
        <v>3.5999999999999999E-3</v>
      </c>
      <c r="CJ172" s="230">
        <v>578100</v>
      </c>
      <c r="CK172" s="230">
        <v>582800</v>
      </c>
      <c r="CL172" s="230">
        <v>-4700</v>
      </c>
      <c r="CM172" s="229">
        <v>-8.0999999999999996E-3</v>
      </c>
      <c r="CN172" s="230">
        <v>22216900</v>
      </c>
      <c r="CO172" s="230">
        <v>22268600</v>
      </c>
      <c r="CP172" s="230">
        <v>-51700</v>
      </c>
      <c r="CQ172" s="229">
        <v>-2.3E-3</v>
      </c>
      <c r="CR172" s="230">
        <v>14988300</v>
      </c>
      <c r="CS172" s="230">
        <v>15011800</v>
      </c>
      <c r="CT172" s="230">
        <v>-23500</v>
      </c>
      <c r="CU172" s="229">
        <v>-1.6000000000000001E-3</v>
      </c>
      <c r="CV172" s="230">
        <v>244447000</v>
      </c>
      <c r="CW172" s="230">
        <v>245344700</v>
      </c>
      <c r="CX172" s="230">
        <v>-897700</v>
      </c>
      <c r="CY172" s="229">
        <v>-3.7000000000000002E-3</v>
      </c>
      <c r="CZ172" s="228">
        <v>30.43</v>
      </c>
      <c r="DA172" s="228">
        <v>28.13</v>
      </c>
      <c r="DB172" s="228">
        <v>2.2999999999999998</v>
      </c>
      <c r="DC172" s="228">
        <v>2.2999999999999998</v>
      </c>
      <c r="DD172" s="228">
        <v>43.31</v>
      </c>
      <c r="DE172" s="228">
        <v>43.41</v>
      </c>
      <c r="DF172" s="228">
        <v>-12.88</v>
      </c>
      <c r="DG172" s="228">
        <v>-0.1</v>
      </c>
      <c r="DH172" s="228">
        <v>31.84</v>
      </c>
      <c r="DI172" s="228">
        <v>30.8</v>
      </c>
      <c r="DJ172" s="228">
        <v>1.04</v>
      </c>
      <c r="DK172" s="228">
        <v>1.04</v>
      </c>
      <c r="DL172" s="228">
        <v>29.51</v>
      </c>
      <c r="DM172" s="228">
        <v>23.14</v>
      </c>
      <c r="DN172" s="228">
        <v>6.37</v>
      </c>
      <c r="DO172" s="228">
        <v>6.37</v>
      </c>
      <c r="DP172" s="228">
        <v>0.67</v>
      </c>
      <c r="DQ172" s="228">
        <v>0.67</v>
      </c>
      <c r="DR172" s="228">
        <v>0</v>
      </c>
      <c r="DS172" s="229">
        <v>0</v>
      </c>
      <c r="DT172" s="228">
        <v>170</v>
      </c>
      <c r="DU172" s="228">
        <v>160</v>
      </c>
      <c r="DV172" s="228">
        <v>1.53</v>
      </c>
      <c r="DW172" s="228">
        <v>0.53</v>
      </c>
      <c r="DX172" s="228">
        <v>1</v>
      </c>
      <c r="DY172" s="229">
        <v>1.8868</v>
      </c>
      <c r="DZ172" s="229">
        <v>0.15890000000000001</v>
      </c>
      <c r="EA172" s="230">
        <v>32815400</v>
      </c>
      <c r="EB172" s="229">
        <v>3.8E-3</v>
      </c>
      <c r="EC172" s="229">
        <v>0.15890000000000001</v>
      </c>
      <c r="ED172" s="228">
        <v>1.64</v>
      </c>
      <c r="EE172" s="229">
        <v>1.0699999999999999E-2</v>
      </c>
      <c r="EF172" s="230">
        <v>1859675</v>
      </c>
      <c r="EG172" s="230">
        <v>5071174</v>
      </c>
      <c r="EH172" s="229">
        <v>-0.63329999999999997</v>
      </c>
      <c r="EI172" s="229">
        <v>0.18</v>
      </c>
      <c r="EJ172" s="228">
        <v>268.99</v>
      </c>
      <c r="EK172" s="228">
        <v>382.19</v>
      </c>
      <c r="EL172" s="231">
        <v>2518.91</v>
      </c>
      <c r="EM172" s="228">
        <v>501</v>
      </c>
      <c r="EN172" s="231">
        <v>3170.09</v>
      </c>
      <c r="EO172" s="231">
        <v>3729.39</v>
      </c>
      <c r="EP172" s="228">
        <v>-559.29999999999995</v>
      </c>
      <c r="EQ172" s="229">
        <v>-0.15</v>
      </c>
      <c r="ER172" s="231">
        <v>37353</v>
      </c>
      <c r="ES172" s="231">
        <v>23643</v>
      </c>
      <c r="ET172" s="231">
        <v>319025</v>
      </c>
      <c r="EU172" s="231">
        <v>216861410</v>
      </c>
      <c r="EV172" s="231">
        <v>380021</v>
      </c>
      <c r="EW172" s="231">
        <v>383921</v>
      </c>
      <c r="EX172" s="231">
        <v>-3900</v>
      </c>
      <c r="EY172" s="229">
        <v>-1.0200000000000001E-2</v>
      </c>
      <c r="EZ172" s="229">
        <v>1.1272</v>
      </c>
      <c r="FA172" s="227" t="s">
        <v>568</v>
      </c>
      <c r="FB172" s="161">
        <f t="shared" si="4"/>
        <v>0</v>
      </c>
    </row>
    <row r="173" spans="1:158" ht="17.25" thickBot="1" x14ac:dyDescent="0.3">
      <c r="A173" s="226">
        <v>46093</v>
      </c>
      <c r="B173" s="227" t="s">
        <v>175</v>
      </c>
      <c r="C173" s="227" t="s">
        <v>685</v>
      </c>
      <c r="D173" s="228">
        <v>4300</v>
      </c>
      <c r="E173" s="228">
        <v>143.08000000000001</v>
      </c>
      <c r="F173" s="228">
        <v>146.03</v>
      </c>
      <c r="G173" s="228">
        <v>-2.95</v>
      </c>
      <c r="H173" s="229">
        <v>-2.0199999999999999E-2</v>
      </c>
      <c r="I173" s="228">
        <v>142.41999999999999</v>
      </c>
      <c r="J173" s="228">
        <v>145.72</v>
      </c>
      <c r="K173" s="228">
        <v>-3.3</v>
      </c>
      <c r="L173" s="229">
        <v>-2.2599999999999999E-2</v>
      </c>
      <c r="M173" s="228">
        <v>143.08000000000001</v>
      </c>
      <c r="N173" s="228">
        <v>146.03</v>
      </c>
      <c r="O173" s="228">
        <v>-2.95</v>
      </c>
      <c r="P173" s="229">
        <v>-2.0199999999999999E-2</v>
      </c>
      <c r="Q173" s="228">
        <v>143.58000000000001</v>
      </c>
      <c r="R173" s="228">
        <v>149.55000000000001</v>
      </c>
      <c r="S173" s="228">
        <v>-5.97</v>
      </c>
      <c r="T173" s="229">
        <v>-3.9899999999999998E-2</v>
      </c>
      <c r="U173" s="228">
        <v>139.6</v>
      </c>
      <c r="V173" s="228">
        <v>139.6</v>
      </c>
      <c r="W173" s="228">
        <v>0</v>
      </c>
      <c r="X173" s="229">
        <v>0</v>
      </c>
      <c r="Y173" s="228">
        <v>0.66</v>
      </c>
      <c r="Z173" s="228">
        <v>0.31</v>
      </c>
      <c r="AA173" s="228">
        <v>0.35</v>
      </c>
      <c r="AB173" s="229">
        <v>4.5999999999999999E-3</v>
      </c>
      <c r="AC173" s="228">
        <v>0.66</v>
      </c>
      <c r="AD173" s="228">
        <v>0.31</v>
      </c>
      <c r="AE173" s="228">
        <v>0.35</v>
      </c>
      <c r="AF173" s="229">
        <v>4.5999999999999999E-3</v>
      </c>
      <c r="AG173" s="228">
        <v>1.1599999999999999</v>
      </c>
      <c r="AH173" s="228">
        <v>3.83</v>
      </c>
      <c r="AI173" s="228">
        <v>-2.67</v>
      </c>
      <c r="AJ173" s="229">
        <v>8.0999999999999996E-3</v>
      </c>
      <c r="AK173" s="228">
        <v>-2.82</v>
      </c>
      <c r="AL173" s="228">
        <v>-6.12</v>
      </c>
      <c r="AM173" s="228">
        <v>3.3</v>
      </c>
      <c r="AN173" s="229">
        <v>-1.9800000000000002E-2</v>
      </c>
      <c r="AO173" s="228">
        <v>142.65</v>
      </c>
      <c r="AP173" s="228">
        <v>143.37</v>
      </c>
      <c r="AQ173" s="228">
        <v>0</v>
      </c>
      <c r="AR173" s="230">
        <v>692300</v>
      </c>
      <c r="AS173" s="230">
        <v>503100</v>
      </c>
      <c r="AT173" s="230">
        <v>189200</v>
      </c>
      <c r="AU173" s="229">
        <v>0.37609999999999999</v>
      </c>
      <c r="AV173" s="230">
        <v>580500</v>
      </c>
      <c r="AW173" s="230">
        <v>494500</v>
      </c>
      <c r="AX173" s="230">
        <v>86000</v>
      </c>
      <c r="AY173" s="229">
        <v>0.1739</v>
      </c>
      <c r="AZ173" s="230">
        <v>111800</v>
      </c>
      <c r="BA173" s="230">
        <v>8600</v>
      </c>
      <c r="BB173" s="230">
        <v>103200</v>
      </c>
      <c r="BC173" s="229">
        <v>12</v>
      </c>
      <c r="BD173" s="228">
        <v>0</v>
      </c>
      <c r="BE173" s="228">
        <v>0</v>
      </c>
      <c r="BF173" s="228">
        <v>0</v>
      </c>
      <c r="BG173" s="229">
        <v>0</v>
      </c>
      <c r="BH173" s="230">
        <v>103200</v>
      </c>
      <c r="BI173" s="230">
        <v>21500</v>
      </c>
      <c r="BJ173" s="230">
        <v>81700</v>
      </c>
      <c r="BK173" s="229">
        <v>3.8</v>
      </c>
      <c r="BL173" s="230">
        <v>8600</v>
      </c>
      <c r="BM173" s="230">
        <v>12900</v>
      </c>
      <c r="BN173" s="230">
        <v>-4300</v>
      </c>
      <c r="BO173" s="229">
        <v>-0.33329999999999999</v>
      </c>
      <c r="BP173" s="230">
        <v>804100</v>
      </c>
      <c r="BQ173" s="230">
        <v>537500</v>
      </c>
      <c r="BR173" s="230">
        <v>266600</v>
      </c>
      <c r="BS173" s="229">
        <v>0.496</v>
      </c>
      <c r="BT173" s="230">
        <v>4852687</v>
      </c>
      <c r="BU173" s="230">
        <v>8245128</v>
      </c>
      <c r="BV173" s="230">
        <v>-3392441</v>
      </c>
      <c r="BW173" s="229">
        <v>-0.41139999999999999</v>
      </c>
      <c r="BX173" s="230">
        <v>110239100</v>
      </c>
      <c r="BY173" s="230">
        <v>110591700</v>
      </c>
      <c r="BZ173" s="230">
        <v>-352600</v>
      </c>
      <c r="CA173" s="229">
        <v>-3.2000000000000002E-3</v>
      </c>
      <c r="CB173" s="230">
        <v>105724100</v>
      </c>
      <c r="CC173" s="230">
        <v>106076700</v>
      </c>
      <c r="CD173" s="230">
        <v>-352600</v>
      </c>
      <c r="CE173" s="229">
        <v>-3.3E-3</v>
      </c>
      <c r="CF173" s="230">
        <v>4325800</v>
      </c>
      <c r="CG173" s="230">
        <v>4325800</v>
      </c>
      <c r="CH173" s="228">
        <v>0</v>
      </c>
      <c r="CI173" s="229">
        <v>0</v>
      </c>
      <c r="CJ173" s="230">
        <v>189200</v>
      </c>
      <c r="CK173" s="230">
        <v>189200</v>
      </c>
      <c r="CL173" s="228">
        <v>0</v>
      </c>
      <c r="CM173" s="229">
        <v>0</v>
      </c>
      <c r="CN173" s="230">
        <v>23082400</v>
      </c>
      <c r="CO173" s="230">
        <v>23164100</v>
      </c>
      <c r="CP173" s="230">
        <v>-81700</v>
      </c>
      <c r="CQ173" s="229">
        <v>-3.5000000000000001E-3</v>
      </c>
      <c r="CR173" s="230">
        <v>10178100</v>
      </c>
      <c r="CS173" s="230">
        <v>10178100</v>
      </c>
      <c r="CT173" s="228">
        <v>0</v>
      </c>
      <c r="CU173" s="229">
        <v>0</v>
      </c>
      <c r="CV173" s="230">
        <v>143499600</v>
      </c>
      <c r="CW173" s="230">
        <v>143933900</v>
      </c>
      <c r="CX173" s="230">
        <v>-434300</v>
      </c>
      <c r="CY173" s="229">
        <v>-3.0000000000000001E-3</v>
      </c>
      <c r="CZ173" s="228">
        <v>49.54</v>
      </c>
      <c r="DA173" s="228">
        <v>41.49</v>
      </c>
      <c r="DB173" s="228">
        <v>8.0500000000000007</v>
      </c>
      <c r="DC173" s="228">
        <v>8.0500000000000007</v>
      </c>
      <c r="DD173" s="228">
        <v>53.45</v>
      </c>
      <c r="DE173" s="228">
        <v>53.51</v>
      </c>
      <c r="DF173" s="228">
        <v>-3.91</v>
      </c>
      <c r="DG173" s="228">
        <v>-0.06</v>
      </c>
      <c r="DH173" s="228">
        <v>50.7</v>
      </c>
      <c r="DI173" s="228">
        <v>49.98</v>
      </c>
      <c r="DJ173" s="228">
        <v>0.72</v>
      </c>
      <c r="DK173" s="228">
        <v>0.72</v>
      </c>
      <c r="DL173" s="228">
        <v>35.65</v>
      </c>
      <c r="DM173" s="228">
        <v>27.35</v>
      </c>
      <c r="DN173" s="228">
        <v>8.3000000000000007</v>
      </c>
      <c r="DO173" s="228">
        <v>8.3000000000000007</v>
      </c>
      <c r="DP173" s="228">
        <v>0.44</v>
      </c>
      <c r="DQ173" s="228">
        <v>0.44</v>
      </c>
      <c r="DR173" s="228">
        <v>0</v>
      </c>
      <c r="DS173" s="229">
        <v>0</v>
      </c>
      <c r="DT173" s="228">
        <v>160</v>
      </c>
      <c r="DU173" s="228">
        <v>140</v>
      </c>
      <c r="DV173" s="228">
        <v>0.08</v>
      </c>
      <c r="DW173" s="228">
        <v>0.6</v>
      </c>
      <c r="DX173" s="228">
        <v>-0.52</v>
      </c>
      <c r="DY173" s="229">
        <v>-0.86670000000000003</v>
      </c>
      <c r="DZ173" s="229">
        <v>4.1000000000000002E-2</v>
      </c>
      <c r="EA173" s="230">
        <v>4515000</v>
      </c>
      <c r="EB173" s="229">
        <v>3.5000000000000001E-3</v>
      </c>
      <c r="EC173" s="229">
        <v>4.1000000000000002E-2</v>
      </c>
      <c r="ED173" s="228">
        <v>0.72</v>
      </c>
      <c r="EE173" s="229">
        <v>5.0000000000000001E-3</v>
      </c>
      <c r="EF173" s="230">
        <v>1946979</v>
      </c>
      <c r="EG173" s="230">
        <v>3713205</v>
      </c>
      <c r="EH173" s="229">
        <v>-0.47570000000000001</v>
      </c>
      <c r="EI173" s="229">
        <v>0.4012</v>
      </c>
      <c r="EJ173" s="228">
        <v>170.62</v>
      </c>
      <c r="EK173" s="228">
        <v>12.31</v>
      </c>
      <c r="EL173" s="228">
        <v>988.35</v>
      </c>
      <c r="EM173" s="228">
        <v>177</v>
      </c>
      <c r="EN173" s="231">
        <v>1171.28</v>
      </c>
      <c r="EO173" s="228">
        <v>795.38</v>
      </c>
      <c r="EP173" s="228">
        <v>375.9</v>
      </c>
      <c r="EQ173" s="229">
        <v>0.47260000000000002</v>
      </c>
      <c r="ER173" s="231">
        <v>37361</v>
      </c>
      <c r="ES173" s="231">
        <v>15040</v>
      </c>
      <c r="ET173" s="231">
        <v>157745</v>
      </c>
      <c r="EU173" s="231">
        <v>122326971</v>
      </c>
      <c r="EV173" s="231">
        <v>210146</v>
      </c>
      <c r="EW173" s="231">
        <v>214176</v>
      </c>
      <c r="EX173" s="231">
        <v>-4030</v>
      </c>
      <c r="EY173" s="229">
        <v>-1.8800000000000001E-2</v>
      </c>
      <c r="EZ173" s="229">
        <v>1.1731</v>
      </c>
      <c r="FA173" s="227" t="s">
        <v>568</v>
      </c>
      <c r="FB173" s="161">
        <f t="shared" si="4"/>
        <v>0</v>
      </c>
    </row>
    <row r="174" spans="1:158" ht="17.25" thickBot="1" x14ac:dyDescent="0.3">
      <c r="A174" s="226">
        <v>46093</v>
      </c>
      <c r="B174" s="227" t="s">
        <v>175</v>
      </c>
      <c r="C174" s="227" t="s">
        <v>536</v>
      </c>
      <c r="D174" s="228">
        <v>800</v>
      </c>
      <c r="E174" s="228">
        <v>685.7</v>
      </c>
      <c r="F174" s="228">
        <v>693.2</v>
      </c>
      <c r="G174" s="228">
        <v>-7.5</v>
      </c>
      <c r="H174" s="229">
        <v>-1.0800000000000001E-2</v>
      </c>
      <c r="I174" s="228">
        <v>710.25</v>
      </c>
      <c r="J174" s="228">
        <v>715</v>
      </c>
      <c r="K174" s="228">
        <v>-4.75</v>
      </c>
      <c r="L174" s="229">
        <v>-6.6E-3</v>
      </c>
      <c r="M174" s="228">
        <v>685.7</v>
      </c>
      <c r="N174" s="228">
        <v>693.2</v>
      </c>
      <c r="O174" s="228">
        <v>-7.5</v>
      </c>
      <c r="P174" s="229">
        <v>-1.0800000000000001E-2</v>
      </c>
      <c r="Q174" s="228">
        <v>667.75</v>
      </c>
      <c r="R174" s="228">
        <v>677.05</v>
      </c>
      <c r="S174" s="228">
        <v>-9.3000000000000007</v>
      </c>
      <c r="T174" s="229">
        <v>-1.37E-2</v>
      </c>
      <c r="U174" s="228">
        <v>656.25</v>
      </c>
      <c r="V174" s="228">
        <v>667.35</v>
      </c>
      <c r="W174" s="228">
        <v>-11.1</v>
      </c>
      <c r="X174" s="229">
        <v>-1.66E-2</v>
      </c>
      <c r="Y174" s="228">
        <v>-24.55</v>
      </c>
      <c r="Z174" s="228">
        <v>-21.8</v>
      </c>
      <c r="AA174" s="228">
        <v>-2.75</v>
      </c>
      <c r="AB174" s="229">
        <v>-3.4599999999999999E-2</v>
      </c>
      <c r="AC174" s="228">
        <v>-24.55</v>
      </c>
      <c r="AD174" s="228">
        <v>-21.8</v>
      </c>
      <c r="AE174" s="228">
        <v>-2.75</v>
      </c>
      <c r="AF174" s="229">
        <v>-3.4599999999999999E-2</v>
      </c>
      <c r="AG174" s="228">
        <v>-42.5</v>
      </c>
      <c r="AH174" s="228">
        <v>-37.950000000000003</v>
      </c>
      <c r="AI174" s="228">
        <v>-4.55</v>
      </c>
      <c r="AJ174" s="229">
        <v>-5.9799999999999999E-2</v>
      </c>
      <c r="AK174" s="228">
        <v>-54</v>
      </c>
      <c r="AL174" s="228">
        <v>-47.65</v>
      </c>
      <c r="AM174" s="228">
        <v>-6.35</v>
      </c>
      <c r="AN174" s="229">
        <v>-7.5999999999999998E-2</v>
      </c>
      <c r="AO174" s="228">
        <v>688.8</v>
      </c>
      <c r="AP174" s="228">
        <v>671.69</v>
      </c>
      <c r="AQ174" s="228">
        <v>0</v>
      </c>
      <c r="AR174" s="230">
        <v>3326400</v>
      </c>
      <c r="AS174" s="230">
        <v>3312800</v>
      </c>
      <c r="AT174" s="230">
        <v>13600</v>
      </c>
      <c r="AU174" s="229">
        <v>4.1000000000000003E-3</v>
      </c>
      <c r="AV174" s="230">
        <v>2416800</v>
      </c>
      <c r="AW174" s="230">
        <v>2176000</v>
      </c>
      <c r="AX174" s="230">
        <v>240800</v>
      </c>
      <c r="AY174" s="229">
        <v>0.11070000000000001</v>
      </c>
      <c r="AZ174" s="230">
        <v>811200</v>
      </c>
      <c r="BA174" s="230">
        <v>1024000</v>
      </c>
      <c r="BB174" s="230">
        <v>-212800</v>
      </c>
      <c r="BC174" s="229">
        <v>-0.20780000000000001</v>
      </c>
      <c r="BD174" s="230">
        <v>98400</v>
      </c>
      <c r="BE174" s="230">
        <v>112800</v>
      </c>
      <c r="BF174" s="230">
        <v>-14400</v>
      </c>
      <c r="BG174" s="229">
        <v>-0.12770000000000001</v>
      </c>
      <c r="BH174" s="230">
        <v>3204000</v>
      </c>
      <c r="BI174" s="230">
        <v>3676800</v>
      </c>
      <c r="BJ174" s="230">
        <v>-472800</v>
      </c>
      <c r="BK174" s="229">
        <v>-0.12859999999999999</v>
      </c>
      <c r="BL174" s="230">
        <v>1483200</v>
      </c>
      <c r="BM174" s="230">
        <v>1748000</v>
      </c>
      <c r="BN174" s="230">
        <v>-264800</v>
      </c>
      <c r="BO174" s="229">
        <v>-0.1515</v>
      </c>
      <c r="BP174" s="230">
        <v>8013600</v>
      </c>
      <c r="BQ174" s="230">
        <v>8737600</v>
      </c>
      <c r="BR174" s="230">
        <v>-724000</v>
      </c>
      <c r="BS174" s="229">
        <v>-8.2900000000000001E-2</v>
      </c>
      <c r="BT174" s="230">
        <v>858231</v>
      </c>
      <c r="BU174" s="230">
        <v>547757</v>
      </c>
      <c r="BV174" s="230">
        <v>310474</v>
      </c>
      <c r="BW174" s="229">
        <v>0.56679999999999997</v>
      </c>
      <c r="BX174" s="230">
        <v>26252800</v>
      </c>
      <c r="BY174" s="230">
        <v>25469600</v>
      </c>
      <c r="BZ174" s="230">
        <v>783200</v>
      </c>
      <c r="CA174" s="229">
        <v>3.0800000000000001E-2</v>
      </c>
      <c r="CB174" s="230">
        <v>22792000</v>
      </c>
      <c r="CC174" s="230">
        <v>22480800</v>
      </c>
      <c r="CD174" s="230">
        <v>311200</v>
      </c>
      <c r="CE174" s="229">
        <v>1.38E-2</v>
      </c>
      <c r="CF174" s="230">
        <v>3076000</v>
      </c>
      <c r="CG174" s="230">
        <v>2653600</v>
      </c>
      <c r="CH174" s="230">
        <v>422400</v>
      </c>
      <c r="CI174" s="229">
        <v>0.15920000000000001</v>
      </c>
      <c r="CJ174" s="230">
        <v>384800</v>
      </c>
      <c r="CK174" s="230">
        <v>335200</v>
      </c>
      <c r="CL174" s="230">
        <v>49600</v>
      </c>
      <c r="CM174" s="229">
        <v>0.14799999999999999</v>
      </c>
      <c r="CN174" s="230">
        <v>8373600</v>
      </c>
      <c r="CO174" s="230">
        <v>8328000</v>
      </c>
      <c r="CP174" s="230">
        <v>45600</v>
      </c>
      <c r="CQ174" s="229">
        <v>5.4999999999999997E-3</v>
      </c>
      <c r="CR174" s="230">
        <v>5051200</v>
      </c>
      <c r="CS174" s="230">
        <v>4988000</v>
      </c>
      <c r="CT174" s="230">
        <v>63200</v>
      </c>
      <c r="CU174" s="229">
        <v>1.2699999999999999E-2</v>
      </c>
      <c r="CV174" s="230">
        <v>39677600</v>
      </c>
      <c r="CW174" s="230">
        <v>38785600</v>
      </c>
      <c r="CX174" s="230">
        <v>892000</v>
      </c>
      <c r="CY174" s="229">
        <v>2.3E-2</v>
      </c>
      <c r="CZ174" s="228">
        <v>33.590000000000003</v>
      </c>
      <c r="DA174" s="228">
        <v>33.340000000000003</v>
      </c>
      <c r="DB174" s="228">
        <v>0.25</v>
      </c>
      <c r="DC174" s="228">
        <v>0.25</v>
      </c>
      <c r="DD174" s="228">
        <v>29.45</v>
      </c>
      <c r="DE174" s="228">
        <v>29.49</v>
      </c>
      <c r="DF174" s="228">
        <v>4.1399999999999997</v>
      </c>
      <c r="DG174" s="228">
        <v>-0.04</v>
      </c>
      <c r="DH174" s="228">
        <v>33.24</v>
      </c>
      <c r="DI174" s="228">
        <v>33.08</v>
      </c>
      <c r="DJ174" s="228">
        <v>0.16</v>
      </c>
      <c r="DK174" s="228">
        <v>0.16</v>
      </c>
      <c r="DL174" s="228">
        <v>34.35</v>
      </c>
      <c r="DM174" s="228">
        <v>33.869999999999997</v>
      </c>
      <c r="DN174" s="228">
        <v>0.48</v>
      </c>
      <c r="DO174" s="228">
        <v>0.48</v>
      </c>
      <c r="DP174" s="228">
        <v>0.6</v>
      </c>
      <c r="DQ174" s="228">
        <v>0.6</v>
      </c>
      <c r="DR174" s="228">
        <v>0</v>
      </c>
      <c r="DS174" s="229">
        <v>0</v>
      </c>
      <c r="DT174" s="228">
        <v>800</v>
      </c>
      <c r="DU174" s="228">
        <v>700</v>
      </c>
      <c r="DV174" s="228">
        <v>0.46</v>
      </c>
      <c r="DW174" s="228">
        <v>0.48</v>
      </c>
      <c r="DX174" s="228">
        <v>-0.02</v>
      </c>
      <c r="DY174" s="229">
        <v>-4.1700000000000001E-2</v>
      </c>
      <c r="DZ174" s="229">
        <v>0.1318</v>
      </c>
      <c r="EA174" s="230">
        <v>2988800</v>
      </c>
      <c r="EB174" s="229">
        <v>-2.6200000000000001E-2</v>
      </c>
      <c r="EC174" s="229">
        <v>0.1318</v>
      </c>
      <c r="ED174" s="228">
        <v>-17.11</v>
      </c>
      <c r="EE174" s="229">
        <v>-2.4799999999999999E-2</v>
      </c>
      <c r="EF174" s="230">
        <v>315405</v>
      </c>
      <c r="EG174" s="230">
        <v>223118</v>
      </c>
      <c r="EH174" s="229">
        <v>0.41360000000000002</v>
      </c>
      <c r="EI174" s="229">
        <v>0.36749999999999999</v>
      </c>
      <c r="EJ174" s="231">
        <v>24063.4</v>
      </c>
      <c r="EK174" s="231">
        <v>10496.59</v>
      </c>
      <c r="EL174" s="231">
        <v>22745.85</v>
      </c>
      <c r="EM174" s="231">
        <v>4198</v>
      </c>
      <c r="EN174" s="231">
        <v>57305.84</v>
      </c>
      <c r="EO174" s="231">
        <v>63059.09</v>
      </c>
      <c r="EP174" s="231">
        <v>-5753.25</v>
      </c>
      <c r="EQ174" s="229">
        <v>-9.1200000000000003E-2</v>
      </c>
      <c r="ER174" s="231">
        <v>66176</v>
      </c>
      <c r="ES174" s="231">
        <v>36402</v>
      </c>
      <c r="ET174" s="231">
        <v>179350</v>
      </c>
      <c r="EU174" s="231">
        <v>44836888</v>
      </c>
      <c r="EV174" s="231">
        <v>281928</v>
      </c>
      <c r="EW174" s="231">
        <v>277990</v>
      </c>
      <c r="EX174" s="231">
        <v>3938</v>
      </c>
      <c r="EY174" s="229">
        <v>1.4200000000000001E-2</v>
      </c>
      <c r="EZ174" s="229">
        <v>0.88490000000000002</v>
      </c>
      <c r="FA174" s="227" t="s">
        <v>567</v>
      </c>
      <c r="FB174" s="161">
        <f t="shared" si="4"/>
        <v>0</v>
      </c>
    </row>
    <row r="175" spans="1:158" ht="17.25" thickBot="1" x14ac:dyDescent="0.3">
      <c r="A175" s="226">
        <v>46093</v>
      </c>
      <c r="B175" s="227" t="s">
        <v>175</v>
      </c>
      <c r="C175" s="227" t="s">
        <v>462</v>
      </c>
      <c r="D175" s="228">
        <v>375</v>
      </c>
      <c r="E175" s="231">
        <v>1941.9</v>
      </c>
      <c r="F175" s="231">
        <v>1939.8</v>
      </c>
      <c r="G175" s="228">
        <v>2.1</v>
      </c>
      <c r="H175" s="229">
        <v>1.1000000000000001E-3</v>
      </c>
      <c r="I175" s="231">
        <v>1939.4</v>
      </c>
      <c r="J175" s="231">
        <v>1938.6</v>
      </c>
      <c r="K175" s="228">
        <v>0.8</v>
      </c>
      <c r="L175" s="229">
        <v>4.0000000000000002E-4</v>
      </c>
      <c r="M175" s="231">
        <v>1941.9</v>
      </c>
      <c r="N175" s="231">
        <v>1939.8</v>
      </c>
      <c r="O175" s="228">
        <v>2.1</v>
      </c>
      <c r="P175" s="229">
        <v>1.1000000000000001E-3</v>
      </c>
      <c r="Q175" s="231">
        <v>1953</v>
      </c>
      <c r="R175" s="231">
        <v>1950.6</v>
      </c>
      <c r="S175" s="228">
        <v>2.4</v>
      </c>
      <c r="T175" s="229">
        <v>1.1999999999999999E-3</v>
      </c>
      <c r="U175" s="231">
        <v>1962</v>
      </c>
      <c r="V175" s="231">
        <v>1970</v>
      </c>
      <c r="W175" s="228">
        <v>-8</v>
      </c>
      <c r="X175" s="229">
        <v>-4.1000000000000003E-3</v>
      </c>
      <c r="Y175" s="228">
        <v>2.5</v>
      </c>
      <c r="Z175" s="228">
        <v>1.2</v>
      </c>
      <c r="AA175" s="228">
        <v>1.3</v>
      </c>
      <c r="AB175" s="229">
        <v>1.2999999999999999E-3</v>
      </c>
      <c r="AC175" s="228">
        <v>2.5</v>
      </c>
      <c r="AD175" s="228">
        <v>1.2</v>
      </c>
      <c r="AE175" s="228">
        <v>1.3</v>
      </c>
      <c r="AF175" s="229">
        <v>1.2999999999999999E-3</v>
      </c>
      <c r="AG175" s="228">
        <v>13.6</v>
      </c>
      <c r="AH175" s="228">
        <v>12</v>
      </c>
      <c r="AI175" s="228">
        <v>1.6</v>
      </c>
      <c r="AJ175" s="229">
        <v>7.0000000000000001E-3</v>
      </c>
      <c r="AK175" s="228">
        <v>22.6</v>
      </c>
      <c r="AL175" s="228">
        <v>31.4</v>
      </c>
      <c r="AM175" s="228">
        <v>-8.8000000000000007</v>
      </c>
      <c r="AN175" s="229">
        <v>1.17E-2</v>
      </c>
      <c r="AO175" s="231">
        <v>1934.21</v>
      </c>
      <c r="AP175" s="231">
        <v>1939.52</v>
      </c>
      <c r="AQ175" s="228">
        <v>0</v>
      </c>
      <c r="AR175" s="230">
        <v>945000</v>
      </c>
      <c r="AS175" s="230">
        <v>1054500</v>
      </c>
      <c r="AT175" s="230">
        <v>-109500</v>
      </c>
      <c r="AU175" s="229">
        <v>-0.1038</v>
      </c>
      <c r="AV175" s="230">
        <v>901125</v>
      </c>
      <c r="AW175" s="230">
        <v>1010625</v>
      </c>
      <c r="AX175" s="230">
        <v>-109500</v>
      </c>
      <c r="AY175" s="229">
        <v>-0.10829999999999999</v>
      </c>
      <c r="AZ175" s="230">
        <v>36375</v>
      </c>
      <c r="BA175" s="230">
        <v>43125</v>
      </c>
      <c r="BB175" s="230">
        <v>-6750</v>
      </c>
      <c r="BC175" s="229">
        <v>-0.1565</v>
      </c>
      <c r="BD175" s="230">
        <v>7500</v>
      </c>
      <c r="BE175" s="228">
        <v>750</v>
      </c>
      <c r="BF175" s="230">
        <v>6750</v>
      </c>
      <c r="BG175" s="229">
        <v>9</v>
      </c>
      <c r="BH175" s="230">
        <v>1770000</v>
      </c>
      <c r="BI175" s="230">
        <v>2890875</v>
      </c>
      <c r="BJ175" s="230">
        <v>-1120875</v>
      </c>
      <c r="BK175" s="229">
        <v>-0.38769999999999999</v>
      </c>
      <c r="BL175" s="230">
        <v>867750</v>
      </c>
      <c r="BM175" s="230">
        <v>1679625</v>
      </c>
      <c r="BN175" s="230">
        <v>-811875</v>
      </c>
      <c r="BO175" s="229">
        <v>-0.4834</v>
      </c>
      <c r="BP175" s="230">
        <v>3582750</v>
      </c>
      <c r="BQ175" s="230">
        <v>5625000</v>
      </c>
      <c r="BR175" s="230">
        <v>-2042250</v>
      </c>
      <c r="BS175" s="229">
        <v>-0.36309999999999998</v>
      </c>
      <c r="BT175" s="230">
        <v>880383</v>
      </c>
      <c r="BU175" s="230">
        <v>835520</v>
      </c>
      <c r="BV175" s="230">
        <v>44863</v>
      </c>
      <c r="BW175" s="229">
        <v>5.3699999999999998E-2</v>
      </c>
      <c r="BX175" s="230">
        <v>8943375</v>
      </c>
      <c r="BY175" s="230">
        <v>9119625</v>
      </c>
      <c r="BZ175" s="230">
        <v>-176250</v>
      </c>
      <c r="CA175" s="229">
        <v>-1.9300000000000001E-2</v>
      </c>
      <c r="CB175" s="230">
        <v>8786250</v>
      </c>
      <c r="CC175" s="230">
        <v>8968500</v>
      </c>
      <c r="CD175" s="230">
        <v>-182250</v>
      </c>
      <c r="CE175" s="229">
        <v>-2.0299999999999999E-2</v>
      </c>
      <c r="CF175" s="230">
        <v>130125</v>
      </c>
      <c r="CG175" s="230">
        <v>124125</v>
      </c>
      <c r="CH175" s="230">
        <v>6000</v>
      </c>
      <c r="CI175" s="229">
        <v>4.8300000000000003E-2</v>
      </c>
      <c r="CJ175" s="230">
        <v>27000</v>
      </c>
      <c r="CK175" s="230">
        <v>27000</v>
      </c>
      <c r="CL175" s="228">
        <v>0</v>
      </c>
      <c r="CM175" s="229">
        <v>0</v>
      </c>
      <c r="CN175" s="230">
        <v>3837375</v>
      </c>
      <c r="CO175" s="230">
        <v>3691500</v>
      </c>
      <c r="CP175" s="230">
        <v>145875</v>
      </c>
      <c r="CQ175" s="229">
        <v>3.95E-2</v>
      </c>
      <c r="CR175" s="230">
        <v>1741125</v>
      </c>
      <c r="CS175" s="230">
        <v>1684125</v>
      </c>
      <c r="CT175" s="230">
        <v>57000</v>
      </c>
      <c r="CU175" s="229">
        <v>3.3799999999999997E-2</v>
      </c>
      <c r="CV175" s="230">
        <v>14521875</v>
      </c>
      <c r="CW175" s="230">
        <v>14495250</v>
      </c>
      <c r="CX175" s="230">
        <v>26625</v>
      </c>
      <c r="CY175" s="229">
        <v>1.8E-3</v>
      </c>
      <c r="CZ175" s="228">
        <v>24.19</v>
      </c>
      <c r="DA175" s="228">
        <v>23.74</v>
      </c>
      <c r="DB175" s="228">
        <v>0.45</v>
      </c>
      <c r="DC175" s="228">
        <v>0.45</v>
      </c>
      <c r="DD175" s="228">
        <v>24.52</v>
      </c>
      <c r="DE175" s="228">
        <v>24.58</v>
      </c>
      <c r="DF175" s="228">
        <v>-0.33</v>
      </c>
      <c r="DG175" s="228">
        <v>-0.06</v>
      </c>
      <c r="DH175" s="228">
        <v>23.32</v>
      </c>
      <c r="DI175" s="228">
        <v>22.75</v>
      </c>
      <c r="DJ175" s="228">
        <v>0.56999999999999995</v>
      </c>
      <c r="DK175" s="228">
        <v>0.56999999999999995</v>
      </c>
      <c r="DL175" s="228">
        <v>25.96</v>
      </c>
      <c r="DM175" s="228">
        <v>25.43</v>
      </c>
      <c r="DN175" s="228">
        <v>0.53</v>
      </c>
      <c r="DO175" s="228">
        <v>0.53</v>
      </c>
      <c r="DP175" s="228">
        <v>0.45</v>
      </c>
      <c r="DQ175" s="228">
        <v>0.46</v>
      </c>
      <c r="DR175" s="228">
        <v>-0.01</v>
      </c>
      <c r="DS175" s="229">
        <v>-2.1700000000000001E-2</v>
      </c>
      <c r="DT175" s="231">
        <v>2100</v>
      </c>
      <c r="DU175" s="231">
        <v>1900</v>
      </c>
      <c r="DV175" s="228">
        <v>0.49</v>
      </c>
      <c r="DW175" s="228">
        <v>0.57999999999999996</v>
      </c>
      <c r="DX175" s="228">
        <v>-0.09</v>
      </c>
      <c r="DY175" s="229">
        <v>-0.1552</v>
      </c>
      <c r="DZ175" s="229">
        <v>1.7600000000000001E-2</v>
      </c>
      <c r="EA175" s="230">
        <v>151125</v>
      </c>
      <c r="EB175" s="229">
        <v>5.7000000000000002E-3</v>
      </c>
      <c r="EC175" s="229">
        <v>1.7600000000000001E-2</v>
      </c>
      <c r="ED175" s="228">
        <v>5.31</v>
      </c>
      <c r="EE175" s="229">
        <v>2.7000000000000001E-3</v>
      </c>
      <c r="EF175" s="230">
        <v>476500</v>
      </c>
      <c r="EG175" s="230">
        <v>495053</v>
      </c>
      <c r="EH175" s="229">
        <v>-3.7499999999999999E-2</v>
      </c>
      <c r="EI175" s="229">
        <v>0.54120000000000001</v>
      </c>
      <c r="EJ175" s="231">
        <v>35800.25</v>
      </c>
      <c r="EK175" s="231">
        <v>16711.349999999999</v>
      </c>
      <c r="EL175" s="231">
        <v>18281.21</v>
      </c>
      <c r="EM175" s="231">
        <v>3705</v>
      </c>
      <c r="EN175" s="231">
        <v>70792.81</v>
      </c>
      <c r="EO175" s="231">
        <v>111786.96</v>
      </c>
      <c r="EP175" s="231">
        <v>-40994.15</v>
      </c>
      <c r="EQ175" s="229">
        <v>-0.36670000000000003</v>
      </c>
      <c r="ER175" s="231">
        <v>79898</v>
      </c>
      <c r="ES175" s="231">
        <v>33494</v>
      </c>
      <c r="ET175" s="231">
        <v>173691</v>
      </c>
      <c r="EU175" s="231">
        <v>44756800</v>
      </c>
      <c r="EV175" s="231">
        <v>287083</v>
      </c>
      <c r="EW175" s="231">
        <v>286427</v>
      </c>
      <c r="EX175" s="228">
        <v>656</v>
      </c>
      <c r="EY175" s="229">
        <v>2.3E-3</v>
      </c>
      <c r="EZ175" s="229">
        <v>0.32450000000000001</v>
      </c>
      <c r="FA175" s="227" t="s">
        <v>556</v>
      </c>
      <c r="FB175" s="161">
        <f t="shared" si="4"/>
        <v>0</v>
      </c>
    </row>
    <row r="176" spans="1:158" ht="17.25" thickBot="1" x14ac:dyDescent="0.3">
      <c r="A176" s="226">
        <v>46093</v>
      </c>
      <c r="B176" s="227" t="s">
        <v>172</v>
      </c>
      <c r="C176" s="227" t="s">
        <v>283</v>
      </c>
      <c r="D176" s="228">
        <v>750</v>
      </c>
      <c r="E176" s="231">
        <v>1088.9000000000001</v>
      </c>
      <c r="F176" s="231">
        <v>1093.2</v>
      </c>
      <c r="G176" s="228">
        <v>-4.3</v>
      </c>
      <c r="H176" s="229">
        <v>-3.8999999999999998E-3</v>
      </c>
      <c r="I176" s="231">
        <v>1085.2</v>
      </c>
      <c r="J176" s="231">
        <v>1091.0999999999999</v>
      </c>
      <c r="K176" s="228">
        <v>-5.9</v>
      </c>
      <c r="L176" s="229">
        <v>-5.4000000000000003E-3</v>
      </c>
      <c r="M176" s="231">
        <v>1088.9000000000001</v>
      </c>
      <c r="N176" s="231">
        <v>1093.2</v>
      </c>
      <c r="O176" s="228">
        <v>-4.3</v>
      </c>
      <c r="P176" s="229">
        <v>-3.8999999999999998E-3</v>
      </c>
      <c r="Q176" s="231">
        <v>1096</v>
      </c>
      <c r="R176" s="231">
        <v>1100.8</v>
      </c>
      <c r="S176" s="228">
        <v>-4.8</v>
      </c>
      <c r="T176" s="229">
        <v>-4.4000000000000003E-3</v>
      </c>
      <c r="U176" s="231">
        <v>1091.7</v>
      </c>
      <c r="V176" s="231">
        <v>1096.8</v>
      </c>
      <c r="W176" s="228">
        <v>-5.0999999999999996</v>
      </c>
      <c r="X176" s="229">
        <v>-4.5999999999999999E-3</v>
      </c>
      <c r="Y176" s="228">
        <v>3.7</v>
      </c>
      <c r="Z176" s="228">
        <v>2.1</v>
      </c>
      <c r="AA176" s="228">
        <v>1.6</v>
      </c>
      <c r="AB176" s="229">
        <v>3.3999999999999998E-3</v>
      </c>
      <c r="AC176" s="228">
        <v>3.7</v>
      </c>
      <c r="AD176" s="228">
        <v>2.1</v>
      </c>
      <c r="AE176" s="228">
        <v>1.6</v>
      </c>
      <c r="AF176" s="229">
        <v>3.3999999999999998E-3</v>
      </c>
      <c r="AG176" s="228">
        <v>10.8</v>
      </c>
      <c r="AH176" s="228">
        <v>9.6999999999999993</v>
      </c>
      <c r="AI176" s="228">
        <v>1.1000000000000001</v>
      </c>
      <c r="AJ176" s="229">
        <v>0.01</v>
      </c>
      <c r="AK176" s="228">
        <v>6.5</v>
      </c>
      <c r="AL176" s="228">
        <v>5.7</v>
      </c>
      <c r="AM176" s="228">
        <v>0.8</v>
      </c>
      <c r="AN176" s="229">
        <v>6.0000000000000001E-3</v>
      </c>
      <c r="AO176" s="231">
        <v>1085.1400000000001</v>
      </c>
      <c r="AP176" s="231">
        <v>1089.6500000000001</v>
      </c>
      <c r="AQ176" s="228">
        <v>0</v>
      </c>
      <c r="AR176" s="230">
        <v>17421000</v>
      </c>
      <c r="AS176" s="230">
        <v>12398250</v>
      </c>
      <c r="AT176" s="230">
        <v>5022750</v>
      </c>
      <c r="AU176" s="229">
        <v>0.40510000000000002</v>
      </c>
      <c r="AV176" s="230">
        <v>15160500</v>
      </c>
      <c r="AW176" s="230">
        <v>10677750</v>
      </c>
      <c r="AX176" s="230">
        <v>4482750</v>
      </c>
      <c r="AY176" s="229">
        <v>0.41980000000000001</v>
      </c>
      <c r="AZ176" s="230">
        <v>2004000</v>
      </c>
      <c r="BA176" s="230">
        <v>1349250</v>
      </c>
      <c r="BB176" s="230">
        <v>654750</v>
      </c>
      <c r="BC176" s="229">
        <v>0.48530000000000001</v>
      </c>
      <c r="BD176" s="230">
        <v>256500</v>
      </c>
      <c r="BE176" s="230">
        <v>371250</v>
      </c>
      <c r="BF176" s="230">
        <v>-114750</v>
      </c>
      <c r="BG176" s="229">
        <v>-0.30909999999999999</v>
      </c>
      <c r="BH176" s="230">
        <v>73656750</v>
      </c>
      <c r="BI176" s="230">
        <v>55961250</v>
      </c>
      <c r="BJ176" s="230">
        <v>17695500</v>
      </c>
      <c r="BK176" s="229">
        <v>0.31619999999999998</v>
      </c>
      <c r="BL176" s="230">
        <v>50772750</v>
      </c>
      <c r="BM176" s="230">
        <v>48102000</v>
      </c>
      <c r="BN176" s="230">
        <v>2670750</v>
      </c>
      <c r="BO176" s="229">
        <v>5.5500000000000001E-2</v>
      </c>
      <c r="BP176" s="230">
        <v>141850500</v>
      </c>
      <c r="BQ176" s="230">
        <v>116461500</v>
      </c>
      <c r="BR176" s="230">
        <v>25389000</v>
      </c>
      <c r="BS176" s="229">
        <v>0.218</v>
      </c>
      <c r="BT176" s="230">
        <v>15921104</v>
      </c>
      <c r="BU176" s="230">
        <v>8859891</v>
      </c>
      <c r="BV176" s="230">
        <v>7061213</v>
      </c>
      <c r="BW176" s="229">
        <v>0.79700000000000004</v>
      </c>
      <c r="BX176" s="230">
        <v>75495000</v>
      </c>
      <c r="BY176" s="230">
        <v>72712500</v>
      </c>
      <c r="BZ176" s="230">
        <v>2782500</v>
      </c>
      <c r="CA176" s="229">
        <v>3.8300000000000001E-2</v>
      </c>
      <c r="CB176" s="230">
        <v>69006750</v>
      </c>
      <c r="CC176" s="230">
        <v>67168500</v>
      </c>
      <c r="CD176" s="230">
        <v>1838250</v>
      </c>
      <c r="CE176" s="229">
        <v>2.7400000000000001E-2</v>
      </c>
      <c r="CF176" s="230">
        <v>5853000</v>
      </c>
      <c r="CG176" s="230">
        <v>4950750</v>
      </c>
      <c r="CH176" s="230">
        <v>902250</v>
      </c>
      <c r="CI176" s="229">
        <v>0.1822</v>
      </c>
      <c r="CJ176" s="230">
        <v>635250</v>
      </c>
      <c r="CK176" s="230">
        <v>593250</v>
      </c>
      <c r="CL176" s="230">
        <v>42000</v>
      </c>
      <c r="CM176" s="229">
        <v>7.0800000000000002E-2</v>
      </c>
      <c r="CN176" s="230">
        <v>56619750</v>
      </c>
      <c r="CO176" s="230">
        <v>52791750</v>
      </c>
      <c r="CP176" s="230">
        <v>3828000</v>
      </c>
      <c r="CQ176" s="229">
        <v>7.2499999999999995E-2</v>
      </c>
      <c r="CR176" s="230">
        <v>34874250</v>
      </c>
      <c r="CS176" s="230">
        <v>35163000</v>
      </c>
      <c r="CT176" s="230">
        <v>-288750</v>
      </c>
      <c r="CU176" s="229">
        <v>-8.2000000000000007E-3</v>
      </c>
      <c r="CV176" s="230">
        <v>166989000</v>
      </c>
      <c r="CW176" s="230">
        <v>160667250</v>
      </c>
      <c r="CX176" s="230">
        <v>6321750</v>
      </c>
      <c r="CY176" s="229">
        <v>3.9300000000000002E-2</v>
      </c>
      <c r="CZ176" s="228">
        <v>31.22</v>
      </c>
      <c r="DA176" s="228">
        <v>30.91</v>
      </c>
      <c r="DB176" s="228">
        <v>0.31</v>
      </c>
      <c r="DC176" s="228">
        <v>0.31</v>
      </c>
      <c r="DD176" s="228">
        <v>27.37</v>
      </c>
      <c r="DE176" s="228">
        <v>27.43</v>
      </c>
      <c r="DF176" s="228">
        <v>3.85</v>
      </c>
      <c r="DG176" s="228">
        <v>-0.06</v>
      </c>
      <c r="DH176" s="228">
        <v>30.41</v>
      </c>
      <c r="DI176" s="228">
        <v>30.09</v>
      </c>
      <c r="DJ176" s="228">
        <v>0.32</v>
      </c>
      <c r="DK176" s="228">
        <v>0.32</v>
      </c>
      <c r="DL176" s="228">
        <v>32.4</v>
      </c>
      <c r="DM176" s="228">
        <v>31.86</v>
      </c>
      <c r="DN176" s="228">
        <v>0.54</v>
      </c>
      <c r="DO176" s="228">
        <v>0.54</v>
      </c>
      <c r="DP176" s="228">
        <v>0.62</v>
      </c>
      <c r="DQ176" s="228">
        <v>0.67</v>
      </c>
      <c r="DR176" s="228">
        <v>-0.05</v>
      </c>
      <c r="DS176" s="229">
        <v>-7.46E-2</v>
      </c>
      <c r="DT176" s="231">
        <v>1200</v>
      </c>
      <c r="DU176" s="231">
        <v>1000</v>
      </c>
      <c r="DV176" s="228">
        <v>0.69</v>
      </c>
      <c r="DW176" s="228">
        <v>0.86</v>
      </c>
      <c r="DX176" s="228">
        <v>-0.17</v>
      </c>
      <c r="DY176" s="229">
        <v>-0.19769999999999999</v>
      </c>
      <c r="DZ176" s="229">
        <v>8.5900000000000004E-2</v>
      </c>
      <c r="EA176" s="230">
        <v>5544000</v>
      </c>
      <c r="EB176" s="229">
        <v>6.4999999999999997E-3</v>
      </c>
      <c r="EC176" s="229">
        <v>8.5900000000000004E-2</v>
      </c>
      <c r="ED176" s="228">
        <v>4.51</v>
      </c>
      <c r="EE176" s="229">
        <v>4.1999999999999997E-3</v>
      </c>
      <c r="EF176" s="230">
        <v>7840368</v>
      </c>
      <c r="EG176" s="230">
        <v>4870022</v>
      </c>
      <c r="EH176" s="229">
        <v>0.6099</v>
      </c>
      <c r="EI176" s="229">
        <v>0.49249999999999999</v>
      </c>
      <c r="EJ176" s="231">
        <v>853930.75</v>
      </c>
      <c r="EK176" s="231">
        <v>545448.61</v>
      </c>
      <c r="EL176" s="231">
        <v>189136.35</v>
      </c>
      <c r="EM176" s="231">
        <v>26691</v>
      </c>
      <c r="EN176" s="231">
        <v>1588515.71</v>
      </c>
      <c r="EO176" s="231">
        <v>1317081.97</v>
      </c>
      <c r="EP176" s="231">
        <v>271433.74</v>
      </c>
      <c r="EQ176" s="229">
        <v>0.20610000000000001</v>
      </c>
      <c r="ER176" s="231">
        <v>676099</v>
      </c>
      <c r="ES176" s="231">
        <v>382400</v>
      </c>
      <c r="ET176" s="231">
        <v>822498</v>
      </c>
      <c r="EU176" s="231">
        <v>436949195</v>
      </c>
      <c r="EV176" s="231">
        <v>1880998</v>
      </c>
      <c r="EW176" s="231">
        <v>1814744</v>
      </c>
      <c r="EX176" s="231">
        <v>66254</v>
      </c>
      <c r="EY176" s="229">
        <v>3.6499999999999998E-2</v>
      </c>
      <c r="EZ176" s="229">
        <v>0.38219999999999998</v>
      </c>
      <c r="FA176" s="227" t="s">
        <v>567</v>
      </c>
      <c r="FB176" s="161">
        <f t="shared" si="4"/>
        <v>0</v>
      </c>
    </row>
    <row r="177" spans="1:158" ht="17.25" thickBot="1" x14ac:dyDescent="0.3">
      <c r="A177" s="226">
        <v>46093</v>
      </c>
      <c r="B177" s="227" t="s">
        <v>157</v>
      </c>
      <c r="C177" s="227" t="s">
        <v>284</v>
      </c>
      <c r="D177" s="228">
        <v>25</v>
      </c>
      <c r="E177" s="231">
        <v>23515</v>
      </c>
      <c r="F177" s="231">
        <v>23660</v>
      </c>
      <c r="G177" s="228">
        <v>-145</v>
      </c>
      <c r="H177" s="229">
        <v>-6.1000000000000004E-3</v>
      </c>
      <c r="I177" s="231">
        <v>23500</v>
      </c>
      <c r="J177" s="231">
        <v>23740</v>
      </c>
      <c r="K177" s="228">
        <v>-240</v>
      </c>
      <c r="L177" s="229">
        <v>-1.01E-2</v>
      </c>
      <c r="M177" s="231">
        <v>23515</v>
      </c>
      <c r="N177" s="231">
        <v>23660</v>
      </c>
      <c r="O177" s="228">
        <v>-145</v>
      </c>
      <c r="P177" s="229">
        <v>-6.1000000000000004E-3</v>
      </c>
      <c r="Q177" s="231">
        <v>23205</v>
      </c>
      <c r="R177" s="231">
        <v>23360</v>
      </c>
      <c r="S177" s="228">
        <v>-155</v>
      </c>
      <c r="T177" s="229">
        <v>-6.6E-3</v>
      </c>
      <c r="U177" s="231">
        <v>23100</v>
      </c>
      <c r="V177" s="231">
        <v>23335</v>
      </c>
      <c r="W177" s="228">
        <v>-235</v>
      </c>
      <c r="X177" s="229">
        <v>-1.01E-2</v>
      </c>
      <c r="Y177" s="228">
        <v>15</v>
      </c>
      <c r="Z177" s="228">
        <v>-80</v>
      </c>
      <c r="AA177" s="228">
        <v>95</v>
      </c>
      <c r="AB177" s="229">
        <v>5.9999999999999995E-4</v>
      </c>
      <c r="AC177" s="228">
        <v>15</v>
      </c>
      <c r="AD177" s="228">
        <v>-80</v>
      </c>
      <c r="AE177" s="228">
        <v>95</v>
      </c>
      <c r="AF177" s="229">
        <v>5.9999999999999995E-4</v>
      </c>
      <c r="AG177" s="228">
        <v>-295</v>
      </c>
      <c r="AH177" s="228">
        <v>-380</v>
      </c>
      <c r="AI177" s="228">
        <v>85</v>
      </c>
      <c r="AJ177" s="229">
        <v>-1.26E-2</v>
      </c>
      <c r="AK177" s="228">
        <v>-400</v>
      </c>
      <c r="AL177" s="228">
        <v>-405</v>
      </c>
      <c r="AM177" s="228">
        <v>5</v>
      </c>
      <c r="AN177" s="229">
        <v>-1.7000000000000001E-2</v>
      </c>
      <c r="AO177" s="231">
        <v>23526.55</v>
      </c>
      <c r="AP177" s="231">
        <v>23231.89</v>
      </c>
      <c r="AQ177" s="228">
        <v>0</v>
      </c>
      <c r="AR177" s="230">
        <v>57200</v>
      </c>
      <c r="AS177" s="230">
        <v>65750</v>
      </c>
      <c r="AT177" s="230">
        <v>-8550</v>
      </c>
      <c r="AU177" s="229">
        <v>-0.13</v>
      </c>
      <c r="AV177" s="230">
        <v>49300</v>
      </c>
      <c r="AW177" s="230">
        <v>52250</v>
      </c>
      <c r="AX177" s="230">
        <v>-2950</v>
      </c>
      <c r="AY177" s="229">
        <v>-5.6500000000000002E-2</v>
      </c>
      <c r="AZ177" s="230">
        <v>7525</v>
      </c>
      <c r="BA177" s="230">
        <v>13300</v>
      </c>
      <c r="BB177" s="230">
        <v>-5775</v>
      </c>
      <c r="BC177" s="229">
        <v>-0.43419999999999997</v>
      </c>
      <c r="BD177" s="228">
        <v>375</v>
      </c>
      <c r="BE177" s="228">
        <v>200</v>
      </c>
      <c r="BF177" s="228">
        <v>175</v>
      </c>
      <c r="BG177" s="229">
        <v>0.875</v>
      </c>
      <c r="BH177" s="230">
        <v>28050</v>
      </c>
      <c r="BI177" s="230">
        <v>30475</v>
      </c>
      <c r="BJ177" s="230">
        <v>-2425</v>
      </c>
      <c r="BK177" s="229">
        <v>-7.9600000000000004E-2</v>
      </c>
      <c r="BL177" s="230">
        <v>21500</v>
      </c>
      <c r="BM177" s="230">
        <v>35350</v>
      </c>
      <c r="BN177" s="230">
        <v>-13850</v>
      </c>
      <c r="BO177" s="229">
        <v>-0.39179999999999998</v>
      </c>
      <c r="BP177" s="230">
        <v>106750</v>
      </c>
      <c r="BQ177" s="230">
        <v>131575</v>
      </c>
      <c r="BR177" s="230">
        <v>-24825</v>
      </c>
      <c r="BS177" s="229">
        <v>-0.18870000000000001</v>
      </c>
      <c r="BT177" s="230">
        <v>45998</v>
      </c>
      <c r="BU177" s="230">
        <v>45035</v>
      </c>
      <c r="BV177" s="228">
        <v>963</v>
      </c>
      <c r="BW177" s="229">
        <v>2.1399999999999999E-2</v>
      </c>
      <c r="BX177" s="230">
        <v>403525</v>
      </c>
      <c r="BY177" s="230">
        <v>402375</v>
      </c>
      <c r="BZ177" s="230">
        <v>1150</v>
      </c>
      <c r="CA177" s="229">
        <v>2.8999999999999998E-3</v>
      </c>
      <c r="CB177" s="230">
        <v>357300</v>
      </c>
      <c r="CC177" s="230">
        <v>361025</v>
      </c>
      <c r="CD177" s="230">
        <v>-3725</v>
      </c>
      <c r="CE177" s="229">
        <v>-1.03E-2</v>
      </c>
      <c r="CF177" s="230">
        <v>44850</v>
      </c>
      <c r="CG177" s="230">
        <v>40050</v>
      </c>
      <c r="CH177" s="230">
        <v>4800</v>
      </c>
      <c r="CI177" s="229">
        <v>0.11990000000000001</v>
      </c>
      <c r="CJ177" s="230">
        <v>1375</v>
      </c>
      <c r="CK177" s="230">
        <v>1300</v>
      </c>
      <c r="CL177" s="228">
        <v>75</v>
      </c>
      <c r="CM177" s="229">
        <v>5.7700000000000001E-2</v>
      </c>
      <c r="CN177" s="230">
        <v>91275</v>
      </c>
      <c r="CO177" s="230">
        <v>89900</v>
      </c>
      <c r="CP177" s="230">
        <v>1375</v>
      </c>
      <c r="CQ177" s="229">
        <v>1.5299999999999999E-2</v>
      </c>
      <c r="CR177" s="230">
        <v>64400</v>
      </c>
      <c r="CS177" s="230">
        <v>60100</v>
      </c>
      <c r="CT177" s="230">
        <v>4300</v>
      </c>
      <c r="CU177" s="229">
        <v>7.1499999999999994E-2</v>
      </c>
      <c r="CV177" s="230">
        <v>559200</v>
      </c>
      <c r="CW177" s="230">
        <v>552375</v>
      </c>
      <c r="CX177" s="230">
        <v>6825</v>
      </c>
      <c r="CY177" s="229">
        <v>1.24E-2</v>
      </c>
      <c r="CZ177" s="228">
        <v>31.34</v>
      </c>
      <c r="DA177" s="228">
        <v>31.42</v>
      </c>
      <c r="DB177" s="228">
        <v>-0.08</v>
      </c>
      <c r="DC177" s="228">
        <v>-0.08</v>
      </c>
      <c r="DD177" s="228">
        <v>25.64</v>
      </c>
      <c r="DE177" s="228">
        <v>25.69</v>
      </c>
      <c r="DF177" s="228">
        <v>5.7</v>
      </c>
      <c r="DG177" s="228">
        <v>-0.05</v>
      </c>
      <c r="DH177" s="228">
        <v>31.6</v>
      </c>
      <c r="DI177" s="228">
        <v>31.62</v>
      </c>
      <c r="DJ177" s="228">
        <v>-0.02</v>
      </c>
      <c r="DK177" s="228">
        <v>-0.02</v>
      </c>
      <c r="DL177" s="228">
        <v>31</v>
      </c>
      <c r="DM177" s="228">
        <v>31.24</v>
      </c>
      <c r="DN177" s="228">
        <v>-0.24</v>
      </c>
      <c r="DO177" s="228">
        <v>-0.24</v>
      </c>
      <c r="DP177" s="228">
        <v>0.71</v>
      </c>
      <c r="DQ177" s="228">
        <v>0.67</v>
      </c>
      <c r="DR177" s="228">
        <v>0.04</v>
      </c>
      <c r="DS177" s="229">
        <v>5.9700000000000003E-2</v>
      </c>
      <c r="DT177" s="231">
        <v>27000</v>
      </c>
      <c r="DU177" s="231">
        <v>25000</v>
      </c>
      <c r="DV177" s="228">
        <v>0.77</v>
      </c>
      <c r="DW177" s="228">
        <v>1.1599999999999999</v>
      </c>
      <c r="DX177" s="228">
        <v>-0.39</v>
      </c>
      <c r="DY177" s="229">
        <v>-0.3362</v>
      </c>
      <c r="DZ177" s="229">
        <v>0.11459999999999999</v>
      </c>
      <c r="EA177" s="230">
        <v>41350</v>
      </c>
      <c r="EB177" s="229">
        <v>-1.32E-2</v>
      </c>
      <c r="EC177" s="229">
        <v>0.11459999999999999</v>
      </c>
      <c r="ED177" s="228">
        <v>-294.66000000000003</v>
      </c>
      <c r="EE177" s="229">
        <v>-1.2500000000000001E-2</v>
      </c>
      <c r="EF177" s="230">
        <v>30567</v>
      </c>
      <c r="EG177" s="230">
        <v>29348</v>
      </c>
      <c r="EH177" s="229">
        <v>4.1500000000000002E-2</v>
      </c>
      <c r="EI177" s="229">
        <v>0.66449999999999998</v>
      </c>
      <c r="EJ177" s="231">
        <v>7114.08</v>
      </c>
      <c r="EK177" s="231">
        <v>5090.63</v>
      </c>
      <c r="EL177" s="231">
        <v>13433.56</v>
      </c>
      <c r="EM177" s="231">
        <v>2661</v>
      </c>
      <c r="EN177" s="231">
        <v>25638.27</v>
      </c>
      <c r="EO177" s="231">
        <v>31821.99</v>
      </c>
      <c r="EP177" s="231">
        <v>-6183.72</v>
      </c>
      <c r="EQ177" s="229">
        <v>-0.1943</v>
      </c>
      <c r="ER177" s="231">
        <v>23919</v>
      </c>
      <c r="ES177" s="231">
        <v>16015</v>
      </c>
      <c r="ET177" s="231">
        <v>94744</v>
      </c>
      <c r="EU177" s="231">
        <v>1568093</v>
      </c>
      <c r="EV177" s="231">
        <v>134678</v>
      </c>
      <c r="EW177" s="231">
        <v>133694</v>
      </c>
      <c r="EX177" s="228">
        <v>984</v>
      </c>
      <c r="EY177" s="229">
        <v>7.4000000000000003E-3</v>
      </c>
      <c r="EZ177" s="229">
        <v>0.35659999999999997</v>
      </c>
      <c r="FA177" s="227" t="s">
        <v>567</v>
      </c>
      <c r="FB177" s="161">
        <f t="shared" si="4"/>
        <v>0</v>
      </c>
    </row>
    <row r="178" spans="1:158" ht="17.25" thickBot="1" x14ac:dyDescent="0.3">
      <c r="A178" s="226">
        <v>46093</v>
      </c>
      <c r="B178" s="227" t="s">
        <v>175</v>
      </c>
      <c r="C178" s="227" t="s">
        <v>562</v>
      </c>
      <c r="D178" s="228">
        <v>825</v>
      </c>
      <c r="E178" s="231">
        <v>1035.5</v>
      </c>
      <c r="F178" s="231">
        <v>1035.9000000000001</v>
      </c>
      <c r="G178" s="228">
        <v>-0.4</v>
      </c>
      <c r="H178" s="229">
        <v>-4.0000000000000002E-4</v>
      </c>
      <c r="I178" s="231">
        <v>1031.7</v>
      </c>
      <c r="J178" s="231">
        <v>1031.7</v>
      </c>
      <c r="K178" s="228">
        <v>0</v>
      </c>
      <c r="L178" s="229">
        <v>0</v>
      </c>
      <c r="M178" s="231">
        <v>1035.5</v>
      </c>
      <c r="N178" s="231">
        <v>1035.9000000000001</v>
      </c>
      <c r="O178" s="228">
        <v>-0.4</v>
      </c>
      <c r="P178" s="229">
        <v>-4.0000000000000002E-4</v>
      </c>
      <c r="Q178" s="231">
        <v>1042</v>
      </c>
      <c r="R178" s="231">
        <v>1042.0999999999999</v>
      </c>
      <c r="S178" s="228">
        <v>-0.1</v>
      </c>
      <c r="T178" s="229">
        <v>-1E-4</v>
      </c>
      <c r="U178" s="231">
        <v>1045.5999999999999</v>
      </c>
      <c r="V178" s="231">
        <v>1047.0999999999999</v>
      </c>
      <c r="W178" s="228">
        <v>-1.5</v>
      </c>
      <c r="X178" s="229">
        <v>-1.4E-3</v>
      </c>
      <c r="Y178" s="228">
        <v>3.8</v>
      </c>
      <c r="Z178" s="228">
        <v>4.2</v>
      </c>
      <c r="AA178" s="228">
        <v>-0.4</v>
      </c>
      <c r="AB178" s="229">
        <v>3.7000000000000002E-3</v>
      </c>
      <c r="AC178" s="228">
        <v>3.8</v>
      </c>
      <c r="AD178" s="228">
        <v>4.2</v>
      </c>
      <c r="AE178" s="228">
        <v>-0.4</v>
      </c>
      <c r="AF178" s="229">
        <v>3.7000000000000002E-3</v>
      </c>
      <c r="AG178" s="228">
        <v>10.3</v>
      </c>
      <c r="AH178" s="228">
        <v>10.4</v>
      </c>
      <c r="AI178" s="228">
        <v>-0.1</v>
      </c>
      <c r="AJ178" s="229">
        <v>0.01</v>
      </c>
      <c r="AK178" s="228">
        <v>13.9</v>
      </c>
      <c r="AL178" s="228">
        <v>15.4</v>
      </c>
      <c r="AM178" s="228">
        <v>-1.5</v>
      </c>
      <c r="AN178" s="229">
        <v>1.35E-2</v>
      </c>
      <c r="AO178" s="231">
        <v>1030.06</v>
      </c>
      <c r="AP178" s="231">
        <v>1035.06</v>
      </c>
      <c r="AQ178" s="228">
        <v>0</v>
      </c>
      <c r="AR178" s="230">
        <v>8621250</v>
      </c>
      <c r="AS178" s="230">
        <v>9836475</v>
      </c>
      <c r="AT178" s="230">
        <v>-1215225</v>
      </c>
      <c r="AU178" s="229">
        <v>-0.1235</v>
      </c>
      <c r="AV178" s="230">
        <v>7842450</v>
      </c>
      <c r="AW178" s="230">
        <v>8890200</v>
      </c>
      <c r="AX178" s="230">
        <v>-1047750</v>
      </c>
      <c r="AY178" s="229">
        <v>-0.1179</v>
      </c>
      <c r="AZ178" s="230">
        <v>675675</v>
      </c>
      <c r="BA178" s="230">
        <v>828300</v>
      </c>
      <c r="BB178" s="230">
        <v>-152625</v>
      </c>
      <c r="BC178" s="229">
        <v>-0.18429999999999999</v>
      </c>
      <c r="BD178" s="230">
        <v>103125</v>
      </c>
      <c r="BE178" s="230">
        <v>117975</v>
      </c>
      <c r="BF178" s="230">
        <v>-14850</v>
      </c>
      <c r="BG178" s="229">
        <v>-0.12590000000000001</v>
      </c>
      <c r="BH178" s="230">
        <v>20253750</v>
      </c>
      <c r="BI178" s="230">
        <v>23774850</v>
      </c>
      <c r="BJ178" s="230">
        <v>-3521100</v>
      </c>
      <c r="BK178" s="229">
        <v>-0.14810000000000001</v>
      </c>
      <c r="BL178" s="230">
        <v>13722225</v>
      </c>
      <c r="BM178" s="230">
        <v>18920550</v>
      </c>
      <c r="BN178" s="230">
        <v>-5198325</v>
      </c>
      <c r="BO178" s="229">
        <v>-0.2747</v>
      </c>
      <c r="BP178" s="230">
        <v>42597225</v>
      </c>
      <c r="BQ178" s="230">
        <v>52531875</v>
      </c>
      <c r="BR178" s="230">
        <v>-9934650</v>
      </c>
      <c r="BS178" s="229">
        <v>-0.18909999999999999</v>
      </c>
      <c r="BT178" s="230">
        <v>8188034</v>
      </c>
      <c r="BU178" s="230">
        <v>10915266</v>
      </c>
      <c r="BV178" s="230">
        <v>-2727232</v>
      </c>
      <c r="BW178" s="229">
        <v>-0.24990000000000001</v>
      </c>
      <c r="BX178" s="230">
        <v>40262475</v>
      </c>
      <c r="BY178" s="230">
        <v>39772425</v>
      </c>
      <c r="BZ178" s="230">
        <v>490050</v>
      </c>
      <c r="CA178" s="229">
        <v>1.23E-2</v>
      </c>
      <c r="CB178" s="230">
        <v>38416950</v>
      </c>
      <c r="CC178" s="230">
        <v>38011050</v>
      </c>
      <c r="CD178" s="230">
        <v>405900</v>
      </c>
      <c r="CE178" s="229">
        <v>1.0699999999999999E-2</v>
      </c>
      <c r="CF178" s="230">
        <v>1390950</v>
      </c>
      <c r="CG178" s="230">
        <v>1343100</v>
      </c>
      <c r="CH178" s="230">
        <v>47850</v>
      </c>
      <c r="CI178" s="229">
        <v>3.56E-2</v>
      </c>
      <c r="CJ178" s="230">
        <v>454575</v>
      </c>
      <c r="CK178" s="230">
        <v>418275</v>
      </c>
      <c r="CL178" s="230">
        <v>36300</v>
      </c>
      <c r="CM178" s="229">
        <v>8.6800000000000002E-2</v>
      </c>
      <c r="CN178" s="230">
        <v>12437700</v>
      </c>
      <c r="CO178" s="230">
        <v>11983125</v>
      </c>
      <c r="CP178" s="230">
        <v>454575</v>
      </c>
      <c r="CQ178" s="229">
        <v>3.7900000000000003E-2</v>
      </c>
      <c r="CR178" s="230">
        <v>10714275</v>
      </c>
      <c r="CS178" s="230">
        <v>10201125</v>
      </c>
      <c r="CT178" s="230">
        <v>513150</v>
      </c>
      <c r="CU178" s="229">
        <v>5.0299999999999997E-2</v>
      </c>
      <c r="CV178" s="230">
        <v>63414450</v>
      </c>
      <c r="CW178" s="230">
        <v>61956675</v>
      </c>
      <c r="CX178" s="230">
        <v>1457775</v>
      </c>
      <c r="CY178" s="229">
        <v>2.35E-2</v>
      </c>
      <c r="CZ178" s="228">
        <v>40.24</v>
      </c>
      <c r="DA178" s="228">
        <v>39.24</v>
      </c>
      <c r="DB178" s="228">
        <v>1</v>
      </c>
      <c r="DC178" s="228">
        <v>1</v>
      </c>
      <c r="DD178" s="228">
        <v>40.18</v>
      </c>
      <c r="DE178" s="228">
        <v>40.28</v>
      </c>
      <c r="DF178" s="228">
        <v>0.06</v>
      </c>
      <c r="DG178" s="228">
        <v>-0.1</v>
      </c>
      <c r="DH178" s="228">
        <v>38.93</v>
      </c>
      <c r="DI178" s="228">
        <v>38.44</v>
      </c>
      <c r="DJ178" s="228">
        <v>0.49</v>
      </c>
      <c r="DK178" s="228">
        <v>0.49</v>
      </c>
      <c r="DL178" s="228">
        <v>42.16</v>
      </c>
      <c r="DM178" s="228">
        <v>40.229999999999997</v>
      </c>
      <c r="DN178" s="228">
        <v>1.93</v>
      </c>
      <c r="DO178" s="228">
        <v>1.93</v>
      </c>
      <c r="DP178" s="228">
        <v>0.86</v>
      </c>
      <c r="DQ178" s="228">
        <v>0.85</v>
      </c>
      <c r="DR178" s="228">
        <v>0.01</v>
      </c>
      <c r="DS178" s="229">
        <v>1.18E-2</v>
      </c>
      <c r="DT178" s="231">
        <v>1050</v>
      </c>
      <c r="DU178" s="231">
        <v>1000</v>
      </c>
      <c r="DV178" s="228">
        <v>0.68</v>
      </c>
      <c r="DW178" s="228">
        <v>0.8</v>
      </c>
      <c r="DX178" s="228">
        <v>-0.12</v>
      </c>
      <c r="DY178" s="229">
        <v>-0.15</v>
      </c>
      <c r="DZ178" s="229">
        <v>4.58E-2</v>
      </c>
      <c r="EA178" s="230">
        <v>1761375</v>
      </c>
      <c r="EB178" s="229">
        <v>6.3E-3</v>
      </c>
      <c r="EC178" s="229">
        <v>4.58E-2</v>
      </c>
      <c r="ED178" s="228">
        <v>5</v>
      </c>
      <c r="EE178" s="229">
        <v>4.8999999999999998E-3</v>
      </c>
      <c r="EF178" s="230">
        <v>4720897</v>
      </c>
      <c r="EG178" s="230">
        <v>7262912</v>
      </c>
      <c r="EH178" s="229">
        <v>-0.35</v>
      </c>
      <c r="EI178" s="229">
        <v>0.5766</v>
      </c>
      <c r="EJ178" s="231">
        <v>221564.18</v>
      </c>
      <c r="EK178" s="231">
        <v>140769.18</v>
      </c>
      <c r="EL178" s="231">
        <v>88845.2</v>
      </c>
      <c r="EM178" s="231">
        <v>14283</v>
      </c>
      <c r="EN178" s="231">
        <v>451178.56</v>
      </c>
      <c r="EO178" s="231">
        <v>565810.68000000005</v>
      </c>
      <c r="EP178" s="231">
        <v>-114632.12</v>
      </c>
      <c r="EQ178" s="229">
        <v>-0.2026</v>
      </c>
      <c r="ER178" s="231">
        <v>134931</v>
      </c>
      <c r="ES178" s="231">
        <v>107087</v>
      </c>
      <c r="ET178" s="231">
        <v>417054</v>
      </c>
      <c r="EU178" s="231">
        <v>210513975</v>
      </c>
      <c r="EV178" s="231">
        <v>659072</v>
      </c>
      <c r="EW178" s="231">
        <v>644691</v>
      </c>
      <c r="EX178" s="231">
        <v>14381</v>
      </c>
      <c r="EY178" s="229">
        <v>2.23E-2</v>
      </c>
      <c r="EZ178" s="229">
        <v>0.30120000000000002</v>
      </c>
      <c r="FA178" s="227" t="s">
        <v>567</v>
      </c>
      <c r="FB178" s="161">
        <f t="shared" si="4"/>
        <v>0</v>
      </c>
    </row>
    <row r="179" spans="1:158" ht="17.25" thickBot="1" x14ac:dyDescent="0.3">
      <c r="A179" s="226">
        <v>46093</v>
      </c>
      <c r="B179" s="227" t="s">
        <v>184</v>
      </c>
      <c r="C179" s="227" t="s">
        <v>285</v>
      </c>
      <c r="D179" s="228">
        <v>175</v>
      </c>
      <c r="E179" s="231">
        <v>3319.3</v>
      </c>
      <c r="F179" s="231">
        <v>3271.1</v>
      </c>
      <c r="G179" s="228">
        <v>48.2</v>
      </c>
      <c r="H179" s="229">
        <v>1.47E-2</v>
      </c>
      <c r="I179" s="231">
        <v>3324.7</v>
      </c>
      <c r="J179" s="231">
        <v>3272.2</v>
      </c>
      <c r="K179" s="228">
        <v>52.5</v>
      </c>
      <c r="L179" s="229">
        <v>1.6E-2</v>
      </c>
      <c r="M179" s="231">
        <v>3319.3</v>
      </c>
      <c r="N179" s="231">
        <v>3271.1</v>
      </c>
      <c r="O179" s="228">
        <v>48.2</v>
      </c>
      <c r="P179" s="229">
        <v>1.47E-2</v>
      </c>
      <c r="Q179" s="231">
        <v>3334.1</v>
      </c>
      <c r="R179" s="231">
        <v>3281.8</v>
      </c>
      <c r="S179" s="228">
        <v>52.3</v>
      </c>
      <c r="T179" s="229">
        <v>1.5900000000000001E-2</v>
      </c>
      <c r="U179" s="231">
        <v>3338.3</v>
      </c>
      <c r="V179" s="231">
        <v>3290</v>
      </c>
      <c r="W179" s="228">
        <v>48.3</v>
      </c>
      <c r="X179" s="229">
        <v>1.47E-2</v>
      </c>
      <c r="Y179" s="228">
        <v>-5.4</v>
      </c>
      <c r="Z179" s="228">
        <v>-1.1000000000000001</v>
      </c>
      <c r="AA179" s="228">
        <v>-4.3</v>
      </c>
      <c r="AB179" s="229">
        <v>-1.6000000000000001E-3</v>
      </c>
      <c r="AC179" s="228">
        <v>-5.4</v>
      </c>
      <c r="AD179" s="228">
        <v>-1.1000000000000001</v>
      </c>
      <c r="AE179" s="228">
        <v>-4.3</v>
      </c>
      <c r="AF179" s="229">
        <v>-1.6000000000000001E-3</v>
      </c>
      <c r="AG179" s="228">
        <v>9.4</v>
      </c>
      <c r="AH179" s="228">
        <v>9.6</v>
      </c>
      <c r="AI179" s="228">
        <v>-0.2</v>
      </c>
      <c r="AJ179" s="229">
        <v>2.8E-3</v>
      </c>
      <c r="AK179" s="228">
        <v>13.6</v>
      </c>
      <c r="AL179" s="228">
        <v>17.8</v>
      </c>
      <c r="AM179" s="228">
        <v>-4.2</v>
      </c>
      <c r="AN179" s="229">
        <v>4.1000000000000003E-3</v>
      </c>
      <c r="AO179" s="231">
        <v>3300.16</v>
      </c>
      <c r="AP179" s="231">
        <v>3326.47</v>
      </c>
      <c r="AQ179" s="228">
        <v>0</v>
      </c>
      <c r="AR179" s="230">
        <v>585550</v>
      </c>
      <c r="AS179" s="230">
        <v>494550</v>
      </c>
      <c r="AT179" s="230">
        <v>91000</v>
      </c>
      <c r="AU179" s="229">
        <v>0.184</v>
      </c>
      <c r="AV179" s="230">
        <v>547225</v>
      </c>
      <c r="AW179" s="230">
        <v>463925</v>
      </c>
      <c r="AX179" s="230">
        <v>83300</v>
      </c>
      <c r="AY179" s="229">
        <v>0.17960000000000001</v>
      </c>
      <c r="AZ179" s="230">
        <v>37100</v>
      </c>
      <c r="BA179" s="230">
        <v>26950</v>
      </c>
      <c r="BB179" s="230">
        <v>10150</v>
      </c>
      <c r="BC179" s="229">
        <v>0.37659999999999999</v>
      </c>
      <c r="BD179" s="230">
        <v>1225</v>
      </c>
      <c r="BE179" s="230">
        <v>3675</v>
      </c>
      <c r="BF179" s="230">
        <v>-2450</v>
      </c>
      <c r="BG179" s="229">
        <v>-0.66669999999999996</v>
      </c>
      <c r="BH179" s="230">
        <v>3477425</v>
      </c>
      <c r="BI179" s="230">
        <v>2730525</v>
      </c>
      <c r="BJ179" s="230">
        <v>746900</v>
      </c>
      <c r="BK179" s="229">
        <v>0.27350000000000002</v>
      </c>
      <c r="BL179" s="230">
        <v>1124200</v>
      </c>
      <c r="BM179" s="230">
        <v>1086575</v>
      </c>
      <c r="BN179" s="230">
        <v>37625</v>
      </c>
      <c r="BO179" s="229">
        <v>3.4599999999999999E-2</v>
      </c>
      <c r="BP179" s="230">
        <v>5187175</v>
      </c>
      <c r="BQ179" s="230">
        <v>4311650</v>
      </c>
      <c r="BR179" s="230">
        <v>875525</v>
      </c>
      <c r="BS179" s="229">
        <v>0.2031</v>
      </c>
      <c r="BT179" s="230">
        <v>373623</v>
      </c>
      <c r="BU179" s="230">
        <v>307036</v>
      </c>
      <c r="BV179" s="230">
        <v>66587</v>
      </c>
      <c r="BW179" s="229">
        <v>0.21690000000000001</v>
      </c>
      <c r="BX179" s="230">
        <v>2505825</v>
      </c>
      <c r="BY179" s="230">
        <v>2472225</v>
      </c>
      <c r="BZ179" s="230">
        <v>33600</v>
      </c>
      <c r="CA179" s="229">
        <v>1.3599999999999999E-2</v>
      </c>
      <c r="CB179" s="230">
        <v>2441425</v>
      </c>
      <c r="CC179" s="230">
        <v>2412550</v>
      </c>
      <c r="CD179" s="230">
        <v>28875</v>
      </c>
      <c r="CE179" s="229">
        <v>1.2E-2</v>
      </c>
      <c r="CF179" s="230">
        <v>59150</v>
      </c>
      <c r="CG179" s="230">
        <v>54425</v>
      </c>
      <c r="CH179" s="230">
        <v>4725</v>
      </c>
      <c r="CI179" s="229">
        <v>8.6800000000000002E-2</v>
      </c>
      <c r="CJ179" s="230">
        <v>5250</v>
      </c>
      <c r="CK179" s="230">
        <v>5250</v>
      </c>
      <c r="CL179" s="228">
        <v>0</v>
      </c>
      <c r="CM179" s="229">
        <v>0</v>
      </c>
      <c r="CN179" s="230">
        <v>1577275</v>
      </c>
      <c r="CO179" s="230">
        <v>1538950</v>
      </c>
      <c r="CP179" s="230">
        <v>38325</v>
      </c>
      <c r="CQ179" s="229">
        <v>2.4899999999999999E-2</v>
      </c>
      <c r="CR179" s="230">
        <v>808500</v>
      </c>
      <c r="CS179" s="230">
        <v>843850</v>
      </c>
      <c r="CT179" s="230">
        <v>-35350</v>
      </c>
      <c r="CU179" s="229">
        <v>-4.19E-2</v>
      </c>
      <c r="CV179" s="230">
        <v>4891600</v>
      </c>
      <c r="CW179" s="230">
        <v>4855025</v>
      </c>
      <c r="CX179" s="230">
        <v>36575</v>
      </c>
      <c r="CY179" s="229">
        <v>7.4999999999999997E-3</v>
      </c>
      <c r="CZ179" s="228">
        <v>37.99</v>
      </c>
      <c r="DA179" s="228">
        <v>38.770000000000003</v>
      </c>
      <c r="DB179" s="228">
        <v>-0.78</v>
      </c>
      <c r="DC179" s="228">
        <v>-0.78</v>
      </c>
      <c r="DD179" s="228">
        <v>38.369999999999997</v>
      </c>
      <c r="DE179" s="228">
        <v>38.409999999999997</v>
      </c>
      <c r="DF179" s="228">
        <v>-0.38</v>
      </c>
      <c r="DG179" s="228">
        <v>-0.04</v>
      </c>
      <c r="DH179" s="228">
        <v>37.18</v>
      </c>
      <c r="DI179" s="228">
        <v>37.94</v>
      </c>
      <c r="DJ179" s="228">
        <v>-0.76</v>
      </c>
      <c r="DK179" s="228">
        <v>-0.76</v>
      </c>
      <c r="DL179" s="228">
        <v>40.51</v>
      </c>
      <c r="DM179" s="228">
        <v>40.840000000000003</v>
      </c>
      <c r="DN179" s="228">
        <v>-0.33</v>
      </c>
      <c r="DO179" s="228">
        <v>-0.33</v>
      </c>
      <c r="DP179" s="228">
        <v>0.51</v>
      </c>
      <c r="DQ179" s="228">
        <v>0.55000000000000004</v>
      </c>
      <c r="DR179" s="228">
        <v>-0.04</v>
      </c>
      <c r="DS179" s="229">
        <v>-7.2700000000000001E-2</v>
      </c>
      <c r="DT179" s="231">
        <v>3400</v>
      </c>
      <c r="DU179" s="231">
        <v>3000</v>
      </c>
      <c r="DV179" s="228">
        <v>0.32</v>
      </c>
      <c r="DW179" s="228">
        <v>0.4</v>
      </c>
      <c r="DX179" s="228">
        <v>-0.08</v>
      </c>
      <c r="DY179" s="229">
        <v>-0.2</v>
      </c>
      <c r="DZ179" s="229">
        <v>2.5700000000000001E-2</v>
      </c>
      <c r="EA179" s="230">
        <v>59675</v>
      </c>
      <c r="EB179" s="229">
        <v>4.4999999999999997E-3</v>
      </c>
      <c r="EC179" s="229">
        <v>2.5700000000000001E-2</v>
      </c>
      <c r="ED179" s="228">
        <v>26.31</v>
      </c>
      <c r="EE179" s="229">
        <v>8.0000000000000002E-3</v>
      </c>
      <c r="EF179" s="230">
        <v>107977</v>
      </c>
      <c r="EG179" s="230">
        <v>107379</v>
      </c>
      <c r="EH179" s="229">
        <v>5.5999999999999999E-3</v>
      </c>
      <c r="EI179" s="229">
        <v>0.28899999999999998</v>
      </c>
      <c r="EJ179" s="231">
        <v>122174.44</v>
      </c>
      <c r="EK179" s="231">
        <v>36064.379999999997</v>
      </c>
      <c r="EL179" s="231">
        <v>19334.14</v>
      </c>
      <c r="EM179" s="231">
        <v>3337</v>
      </c>
      <c r="EN179" s="231">
        <v>177572.96</v>
      </c>
      <c r="EO179" s="231">
        <v>146599.47</v>
      </c>
      <c r="EP179" s="231">
        <v>30973.49</v>
      </c>
      <c r="EQ179" s="229">
        <v>0.21129999999999999</v>
      </c>
      <c r="ER179" s="231">
        <v>55329</v>
      </c>
      <c r="ES179" s="231">
        <v>25357</v>
      </c>
      <c r="ET179" s="231">
        <v>83186</v>
      </c>
      <c r="EU179" s="231">
        <v>13354588</v>
      </c>
      <c r="EV179" s="231">
        <v>163871</v>
      </c>
      <c r="EW179" s="231">
        <v>161013</v>
      </c>
      <c r="EX179" s="231">
        <v>2858</v>
      </c>
      <c r="EY179" s="229">
        <v>1.78E-2</v>
      </c>
      <c r="EZ179" s="229">
        <v>0.36630000000000001</v>
      </c>
      <c r="FA179" s="227" t="s">
        <v>555</v>
      </c>
      <c r="FB179" s="161">
        <f t="shared" si="4"/>
        <v>0</v>
      </c>
    </row>
    <row r="180" spans="1:158" ht="17.25" thickBot="1" x14ac:dyDescent="0.3">
      <c r="A180" s="226">
        <v>46093</v>
      </c>
      <c r="B180" s="227" t="s">
        <v>498</v>
      </c>
      <c r="C180" s="227" t="s">
        <v>646</v>
      </c>
      <c r="D180" s="228">
        <v>50</v>
      </c>
      <c r="E180" s="231">
        <v>14547</v>
      </c>
      <c r="F180" s="231">
        <v>14563</v>
      </c>
      <c r="G180" s="228">
        <v>-16</v>
      </c>
      <c r="H180" s="229">
        <v>-1.1000000000000001E-3</v>
      </c>
      <c r="I180" s="231">
        <v>14525</v>
      </c>
      <c r="J180" s="231">
        <v>14515</v>
      </c>
      <c r="K180" s="228">
        <v>10</v>
      </c>
      <c r="L180" s="229">
        <v>6.9999999999999999E-4</v>
      </c>
      <c r="M180" s="231">
        <v>14547</v>
      </c>
      <c r="N180" s="231">
        <v>14563</v>
      </c>
      <c r="O180" s="228">
        <v>-16</v>
      </c>
      <c r="P180" s="229">
        <v>-1.1000000000000001E-3</v>
      </c>
      <c r="Q180" s="231">
        <v>14650</v>
      </c>
      <c r="R180" s="231">
        <v>14659</v>
      </c>
      <c r="S180" s="228">
        <v>-9</v>
      </c>
      <c r="T180" s="229">
        <v>-5.9999999999999995E-4</v>
      </c>
      <c r="U180" s="231">
        <v>14765</v>
      </c>
      <c r="V180" s="231">
        <v>14706</v>
      </c>
      <c r="W180" s="228">
        <v>59</v>
      </c>
      <c r="X180" s="229">
        <v>4.0000000000000001E-3</v>
      </c>
      <c r="Y180" s="228">
        <v>22</v>
      </c>
      <c r="Z180" s="228">
        <v>48</v>
      </c>
      <c r="AA180" s="228">
        <v>-26</v>
      </c>
      <c r="AB180" s="229">
        <v>1.5E-3</v>
      </c>
      <c r="AC180" s="228">
        <v>22</v>
      </c>
      <c r="AD180" s="228">
        <v>48</v>
      </c>
      <c r="AE180" s="228">
        <v>-26</v>
      </c>
      <c r="AF180" s="229">
        <v>1.5E-3</v>
      </c>
      <c r="AG180" s="228">
        <v>125</v>
      </c>
      <c r="AH180" s="228">
        <v>144</v>
      </c>
      <c r="AI180" s="228">
        <v>-19</v>
      </c>
      <c r="AJ180" s="229">
        <v>8.6E-3</v>
      </c>
      <c r="AK180" s="228">
        <v>240</v>
      </c>
      <c r="AL180" s="228">
        <v>191</v>
      </c>
      <c r="AM180" s="228">
        <v>49</v>
      </c>
      <c r="AN180" s="229">
        <v>1.6500000000000001E-2</v>
      </c>
      <c r="AO180" s="231">
        <v>14549.7</v>
      </c>
      <c r="AP180" s="231">
        <v>14657.72</v>
      </c>
      <c r="AQ180" s="228">
        <v>0</v>
      </c>
      <c r="AR180" s="230">
        <v>134600</v>
      </c>
      <c r="AS180" s="230">
        <v>182400</v>
      </c>
      <c r="AT180" s="230">
        <v>-47800</v>
      </c>
      <c r="AU180" s="229">
        <v>-0.2621</v>
      </c>
      <c r="AV180" s="230">
        <v>120700</v>
      </c>
      <c r="AW180" s="230">
        <v>166850</v>
      </c>
      <c r="AX180" s="230">
        <v>-46150</v>
      </c>
      <c r="AY180" s="229">
        <v>-0.27660000000000001</v>
      </c>
      <c r="AZ180" s="230">
        <v>11400</v>
      </c>
      <c r="BA180" s="230">
        <v>13750</v>
      </c>
      <c r="BB180" s="230">
        <v>-2350</v>
      </c>
      <c r="BC180" s="229">
        <v>-0.1709</v>
      </c>
      <c r="BD180" s="230">
        <v>2500</v>
      </c>
      <c r="BE180" s="230">
        <v>1800</v>
      </c>
      <c r="BF180" s="228">
        <v>700</v>
      </c>
      <c r="BG180" s="229">
        <v>0.38890000000000002</v>
      </c>
      <c r="BH180" s="230">
        <v>386800</v>
      </c>
      <c r="BI180" s="230">
        <v>449700</v>
      </c>
      <c r="BJ180" s="230">
        <v>-62900</v>
      </c>
      <c r="BK180" s="229">
        <v>-0.1399</v>
      </c>
      <c r="BL180" s="230">
        <v>162350</v>
      </c>
      <c r="BM180" s="230">
        <v>388850</v>
      </c>
      <c r="BN180" s="230">
        <v>-226500</v>
      </c>
      <c r="BO180" s="229">
        <v>-0.58250000000000002</v>
      </c>
      <c r="BP180" s="230">
        <v>683750</v>
      </c>
      <c r="BQ180" s="230">
        <v>1020950</v>
      </c>
      <c r="BR180" s="230">
        <v>-337200</v>
      </c>
      <c r="BS180" s="229">
        <v>-0.33029999999999998</v>
      </c>
      <c r="BT180" s="230">
        <v>150518</v>
      </c>
      <c r="BU180" s="230">
        <v>235731</v>
      </c>
      <c r="BV180" s="230">
        <v>-85213</v>
      </c>
      <c r="BW180" s="229">
        <v>-0.36149999999999999</v>
      </c>
      <c r="BX180" s="230">
        <v>686700</v>
      </c>
      <c r="BY180" s="230">
        <v>700200</v>
      </c>
      <c r="BZ180" s="230">
        <v>-13500</v>
      </c>
      <c r="CA180" s="229">
        <v>-1.9300000000000001E-2</v>
      </c>
      <c r="CB180" s="230">
        <v>604800</v>
      </c>
      <c r="CC180" s="230">
        <v>619850</v>
      </c>
      <c r="CD180" s="230">
        <v>-15050</v>
      </c>
      <c r="CE180" s="229">
        <v>-2.4299999999999999E-2</v>
      </c>
      <c r="CF180" s="230">
        <v>62900</v>
      </c>
      <c r="CG180" s="230">
        <v>63550</v>
      </c>
      <c r="CH180" s="228">
        <v>-650</v>
      </c>
      <c r="CI180" s="229">
        <v>-1.0200000000000001E-2</v>
      </c>
      <c r="CJ180" s="230">
        <v>19000</v>
      </c>
      <c r="CK180" s="230">
        <v>16800</v>
      </c>
      <c r="CL180" s="230">
        <v>2200</v>
      </c>
      <c r="CM180" s="229">
        <v>0.13100000000000001</v>
      </c>
      <c r="CN180" s="230">
        <v>404850</v>
      </c>
      <c r="CO180" s="230">
        <v>411000</v>
      </c>
      <c r="CP180" s="230">
        <v>-6150</v>
      </c>
      <c r="CQ180" s="229">
        <v>-1.4999999999999999E-2</v>
      </c>
      <c r="CR180" s="230">
        <v>295100</v>
      </c>
      <c r="CS180" s="230">
        <v>286100</v>
      </c>
      <c r="CT180" s="230">
        <v>9000</v>
      </c>
      <c r="CU180" s="229">
        <v>3.15E-2</v>
      </c>
      <c r="CV180" s="230">
        <v>1386650</v>
      </c>
      <c r="CW180" s="230">
        <v>1397300</v>
      </c>
      <c r="CX180" s="230">
        <v>-10650</v>
      </c>
      <c r="CY180" s="229">
        <v>-7.6E-3</v>
      </c>
      <c r="CZ180" s="228">
        <v>39.71</v>
      </c>
      <c r="DA180" s="228">
        <v>40.049999999999997</v>
      </c>
      <c r="DB180" s="228">
        <v>-0.34</v>
      </c>
      <c r="DC180" s="228">
        <v>-0.34</v>
      </c>
      <c r="DD180" s="228">
        <v>40.630000000000003</v>
      </c>
      <c r="DE180" s="228">
        <v>40.729999999999997</v>
      </c>
      <c r="DF180" s="228">
        <v>-0.92</v>
      </c>
      <c r="DG180" s="228">
        <v>-0.1</v>
      </c>
      <c r="DH180" s="228">
        <v>39.79</v>
      </c>
      <c r="DI180" s="228">
        <v>39.83</v>
      </c>
      <c r="DJ180" s="228">
        <v>-0.04</v>
      </c>
      <c r="DK180" s="228">
        <v>-0.04</v>
      </c>
      <c r="DL180" s="228">
        <v>39.520000000000003</v>
      </c>
      <c r="DM180" s="228">
        <v>40.29</v>
      </c>
      <c r="DN180" s="228">
        <v>-0.77</v>
      </c>
      <c r="DO180" s="228">
        <v>-0.77</v>
      </c>
      <c r="DP180" s="228">
        <v>0.73</v>
      </c>
      <c r="DQ180" s="228">
        <v>0.7</v>
      </c>
      <c r="DR180" s="228">
        <v>0.03</v>
      </c>
      <c r="DS180" s="229">
        <v>4.2900000000000001E-2</v>
      </c>
      <c r="DT180" s="231">
        <v>16000</v>
      </c>
      <c r="DU180" s="231">
        <v>13000</v>
      </c>
      <c r="DV180" s="228">
        <v>0.42</v>
      </c>
      <c r="DW180" s="228">
        <v>0.86</v>
      </c>
      <c r="DX180" s="228">
        <v>-0.44</v>
      </c>
      <c r="DY180" s="229">
        <v>-0.51160000000000005</v>
      </c>
      <c r="DZ180" s="229">
        <v>0.1193</v>
      </c>
      <c r="EA180" s="230">
        <v>80350</v>
      </c>
      <c r="EB180" s="229">
        <v>7.1000000000000004E-3</v>
      </c>
      <c r="EC180" s="229">
        <v>0.1193</v>
      </c>
      <c r="ED180" s="228">
        <v>108.02</v>
      </c>
      <c r="EE180" s="229">
        <v>7.4000000000000003E-3</v>
      </c>
      <c r="EF180" s="230">
        <v>55204</v>
      </c>
      <c r="EG180" s="230">
        <v>98263</v>
      </c>
      <c r="EH180" s="229">
        <v>-0.43819999999999998</v>
      </c>
      <c r="EI180" s="229">
        <v>0.36680000000000001</v>
      </c>
      <c r="EJ180" s="231">
        <v>59978.31</v>
      </c>
      <c r="EK180" s="231">
        <v>22991.26</v>
      </c>
      <c r="EL180" s="231">
        <v>19601.97</v>
      </c>
      <c r="EM180" s="231">
        <v>5328</v>
      </c>
      <c r="EN180" s="231">
        <v>102571.54</v>
      </c>
      <c r="EO180" s="231">
        <v>152267.68</v>
      </c>
      <c r="EP180" s="231">
        <v>-49696.14</v>
      </c>
      <c r="EQ180" s="229">
        <v>-0.32640000000000002</v>
      </c>
      <c r="ER180" s="231">
        <v>61690</v>
      </c>
      <c r="ES180" s="231">
        <v>40698</v>
      </c>
      <c r="ET180" s="231">
        <v>100000</v>
      </c>
      <c r="EU180" s="231">
        <v>3644817</v>
      </c>
      <c r="EV180" s="231">
        <v>202389</v>
      </c>
      <c r="EW180" s="231">
        <v>204192</v>
      </c>
      <c r="EX180" s="231">
        <v>-1803</v>
      </c>
      <c r="EY180" s="229">
        <v>-8.8000000000000005E-3</v>
      </c>
      <c r="EZ180" s="229">
        <v>0.38040000000000002</v>
      </c>
      <c r="FA180" s="227" t="s">
        <v>568</v>
      </c>
      <c r="FB180" s="161">
        <f t="shared" si="4"/>
        <v>0</v>
      </c>
    </row>
    <row r="181" spans="1:158" ht="17.25" thickBot="1" x14ac:dyDescent="0.3">
      <c r="A181" s="226">
        <v>46093</v>
      </c>
      <c r="B181" s="227" t="s">
        <v>162</v>
      </c>
      <c r="C181" s="227" t="s">
        <v>614</v>
      </c>
      <c r="D181" s="228">
        <v>1225</v>
      </c>
      <c r="E181" s="228">
        <v>511.35</v>
      </c>
      <c r="F181" s="228">
        <v>517.4</v>
      </c>
      <c r="G181" s="228">
        <v>-6.05</v>
      </c>
      <c r="H181" s="229">
        <v>-1.17E-2</v>
      </c>
      <c r="I181" s="228">
        <v>510.3</v>
      </c>
      <c r="J181" s="228">
        <v>516.35</v>
      </c>
      <c r="K181" s="228">
        <v>-6.05</v>
      </c>
      <c r="L181" s="229">
        <v>-1.17E-2</v>
      </c>
      <c r="M181" s="228">
        <v>511.35</v>
      </c>
      <c r="N181" s="228">
        <v>517.4</v>
      </c>
      <c r="O181" s="228">
        <v>-6.05</v>
      </c>
      <c r="P181" s="229">
        <v>-1.17E-2</v>
      </c>
      <c r="Q181" s="228">
        <v>514.25</v>
      </c>
      <c r="R181" s="228">
        <v>520.5</v>
      </c>
      <c r="S181" s="228">
        <v>-6.25</v>
      </c>
      <c r="T181" s="229">
        <v>-1.2E-2</v>
      </c>
      <c r="U181" s="228">
        <v>514</v>
      </c>
      <c r="V181" s="228">
        <v>523</v>
      </c>
      <c r="W181" s="228">
        <v>-9</v>
      </c>
      <c r="X181" s="229">
        <v>-1.72E-2</v>
      </c>
      <c r="Y181" s="228">
        <v>1.05</v>
      </c>
      <c r="Z181" s="228">
        <v>1.05</v>
      </c>
      <c r="AA181" s="228">
        <v>0</v>
      </c>
      <c r="AB181" s="229">
        <v>2.0999999999999999E-3</v>
      </c>
      <c r="AC181" s="228">
        <v>1.05</v>
      </c>
      <c r="AD181" s="228">
        <v>1.05</v>
      </c>
      <c r="AE181" s="228">
        <v>0</v>
      </c>
      <c r="AF181" s="229">
        <v>2.0999999999999999E-3</v>
      </c>
      <c r="AG181" s="228">
        <v>3.95</v>
      </c>
      <c r="AH181" s="228">
        <v>4.1500000000000004</v>
      </c>
      <c r="AI181" s="228">
        <v>-0.2</v>
      </c>
      <c r="AJ181" s="229">
        <v>7.7000000000000002E-3</v>
      </c>
      <c r="AK181" s="228">
        <v>3.7</v>
      </c>
      <c r="AL181" s="228">
        <v>6.65</v>
      </c>
      <c r="AM181" s="228">
        <v>-2.95</v>
      </c>
      <c r="AN181" s="229">
        <v>7.3000000000000001E-3</v>
      </c>
      <c r="AO181" s="228">
        <v>509.14</v>
      </c>
      <c r="AP181" s="228">
        <v>512.41</v>
      </c>
      <c r="AQ181" s="228">
        <v>0</v>
      </c>
      <c r="AR181" s="230">
        <v>1925700</v>
      </c>
      <c r="AS181" s="230">
        <v>4650100</v>
      </c>
      <c r="AT181" s="230">
        <v>-2724400</v>
      </c>
      <c r="AU181" s="229">
        <v>-0.58589999999999998</v>
      </c>
      <c r="AV181" s="230">
        <v>1730925</v>
      </c>
      <c r="AW181" s="230">
        <v>4438175</v>
      </c>
      <c r="AX181" s="230">
        <v>-2707250</v>
      </c>
      <c r="AY181" s="229">
        <v>-0.61</v>
      </c>
      <c r="AZ181" s="230">
        <v>178850</v>
      </c>
      <c r="BA181" s="230">
        <v>188650</v>
      </c>
      <c r="BB181" s="230">
        <v>-9800</v>
      </c>
      <c r="BC181" s="229">
        <v>-5.1900000000000002E-2</v>
      </c>
      <c r="BD181" s="230">
        <v>15925</v>
      </c>
      <c r="BE181" s="230">
        <v>23275</v>
      </c>
      <c r="BF181" s="230">
        <v>-7350</v>
      </c>
      <c r="BG181" s="229">
        <v>-0.31580000000000003</v>
      </c>
      <c r="BH181" s="230">
        <v>3700725</v>
      </c>
      <c r="BI181" s="230">
        <v>22781325</v>
      </c>
      <c r="BJ181" s="230">
        <v>-19080600</v>
      </c>
      <c r="BK181" s="229">
        <v>-0.83760000000000001</v>
      </c>
      <c r="BL181" s="230">
        <v>2474500</v>
      </c>
      <c r="BM181" s="230">
        <v>5441450</v>
      </c>
      <c r="BN181" s="230">
        <v>-2966950</v>
      </c>
      <c r="BO181" s="229">
        <v>-0.54520000000000002</v>
      </c>
      <c r="BP181" s="230">
        <v>8100925</v>
      </c>
      <c r="BQ181" s="230">
        <v>32872875</v>
      </c>
      <c r="BR181" s="230">
        <v>-24771950</v>
      </c>
      <c r="BS181" s="229">
        <v>-0.75360000000000005</v>
      </c>
      <c r="BT181" s="230">
        <v>792057</v>
      </c>
      <c r="BU181" s="230">
        <v>3570728</v>
      </c>
      <c r="BV181" s="230">
        <v>-2778671</v>
      </c>
      <c r="BW181" s="229">
        <v>-0.7782</v>
      </c>
      <c r="BX181" s="230">
        <v>12325950</v>
      </c>
      <c r="BY181" s="230">
        <v>12287975</v>
      </c>
      <c r="BZ181" s="230">
        <v>37975</v>
      </c>
      <c r="CA181" s="229">
        <v>3.0999999999999999E-3</v>
      </c>
      <c r="CB181" s="230">
        <v>12082175</v>
      </c>
      <c r="CC181" s="230">
        <v>12066250</v>
      </c>
      <c r="CD181" s="230">
        <v>15925</v>
      </c>
      <c r="CE181" s="229">
        <v>1.2999999999999999E-3</v>
      </c>
      <c r="CF181" s="230">
        <v>209475</v>
      </c>
      <c r="CG181" s="230">
        <v>196000</v>
      </c>
      <c r="CH181" s="230">
        <v>13475</v>
      </c>
      <c r="CI181" s="229">
        <v>6.88E-2</v>
      </c>
      <c r="CJ181" s="230">
        <v>34300</v>
      </c>
      <c r="CK181" s="230">
        <v>25725</v>
      </c>
      <c r="CL181" s="230">
        <v>8575</v>
      </c>
      <c r="CM181" s="229">
        <v>0.33329999999999999</v>
      </c>
      <c r="CN181" s="230">
        <v>5054350</v>
      </c>
      <c r="CO181" s="230">
        <v>4963700</v>
      </c>
      <c r="CP181" s="230">
        <v>90650</v>
      </c>
      <c r="CQ181" s="229">
        <v>1.83E-2</v>
      </c>
      <c r="CR181" s="230">
        <v>3504725</v>
      </c>
      <c r="CS181" s="230">
        <v>3557400</v>
      </c>
      <c r="CT181" s="230">
        <v>-52675</v>
      </c>
      <c r="CU181" s="229">
        <v>-1.4800000000000001E-2</v>
      </c>
      <c r="CV181" s="230">
        <v>20885025</v>
      </c>
      <c r="CW181" s="230">
        <v>20809075</v>
      </c>
      <c r="CX181" s="230">
        <v>75950</v>
      </c>
      <c r="CY181" s="229">
        <v>3.5999999999999999E-3</v>
      </c>
      <c r="CZ181" s="228">
        <v>39.07</v>
      </c>
      <c r="DA181" s="228">
        <v>39.92</v>
      </c>
      <c r="DB181" s="228">
        <v>-0.85</v>
      </c>
      <c r="DC181" s="228">
        <v>-0.85</v>
      </c>
      <c r="DD181" s="228">
        <v>39.07</v>
      </c>
      <c r="DE181" s="228">
        <v>39.14</v>
      </c>
      <c r="DF181" s="228">
        <v>0</v>
      </c>
      <c r="DG181" s="228">
        <v>-7.0000000000000007E-2</v>
      </c>
      <c r="DH181" s="228">
        <v>38.07</v>
      </c>
      <c r="DI181" s="228">
        <v>39.880000000000003</v>
      </c>
      <c r="DJ181" s="228">
        <v>-1.81</v>
      </c>
      <c r="DK181" s="228">
        <v>-1.81</v>
      </c>
      <c r="DL181" s="228">
        <v>40.56</v>
      </c>
      <c r="DM181" s="228">
        <v>40.090000000000003</v>
      </c>
      <c r="DN181" s="228">
        <v>0.47</v>
      </c>
      <c r="DO181" s="228">
        <v>0.47</v>
      </c>
      <c r="DP181" s="228">
        <v>0.69</v>
      </c>
      <c r="DQ181" s="228">
        <v>0.72</v>
      </c>
      <c r="DR181" s="228">
        <v>-0.03</v>
      </c>
      <c r="DS181" s="229">
        <v>-4.1700000000000001E-2</v>
      </c>
      <c r="DT181" s="228">
        <v>540</v>
      </c>
      <c r="DU181" s="228">
        <v>500</v>
      </c>
      <c r="DV181" s="228">
        <v>0.67</v>
      </c>
      <c r="DW181" s="228">
        <v>0.24</v>
      </c>
      <c r="DX181" s="228">
        <v>0.43</v>
      </c>
      <c r="DY181" s="229">
        <v>1.7917000000000001</v>
      </c>
      <c r="DZ181" s="229">
        <v>1.9800000000000002E-2</v>
      </c>
      <c r="EA181" s="230">
        <v>221725</v>
      </c>
      <c r="EB181" s="229">
        <v>5.7000000000000002E-3</v>
      </c>
      <c r="EC181" s="229">
        <v>1.9800000000000002E-2</v>
      </c>
      <c r="ED181" s="228">
        <v>3.27</v>
      </c>
      <c r="EE181" s="229">
        <v>6.4000000000000003E-3</v>
      </c>
      <c r="EF181" s="230">
        <v>322883</v>
      </c>
      <c r="EG181" s="230">
        <v>1345774</v>
      </c>
      <c r="EH181" s="229">
        <v>-0.7601</v>
      </c>
      <c r="EI181" s="229">
        <v>0.40770000000000001</v>
      </c>
      <c r="EJ181" s="231">
        <v>20431.57</v>
      </c>
      <c r="EK181" s="231">
        <v>12600.17</v>
      </c>
      <c r="EL181" s="231">
        <v>9811.0300000000007</v>
      </c>
      <c r="EM181" s="231">
        <v>2089</v>
      </c>
      <c r="EN181" s="231">
        <v>42842.77</v>
      </c>
      <c r="EO181" s="231">
        <v>180838.01</v>
      </c>
      <c r="EP181" s="231">
        <v>-137995.24</v>
      </c>
      <c r="EQ181" s="229">
        <v>-0.7631</v>
      </c>
      <c r="ER181" s="231">
        <v>27599</v>
      </c>
      <c r="ES181" s="231">
        <v>17697</v>
      </c>
      <c r="ET181" s="231">
        <v>63036</v>
      </c>
      <c r="EU181" s="231">
        <v>67126548</v>
      </c>
      <c r="EV181" s="231">
        <v>108331</v>
      </c>
      <c r="EW181" s="231">
        <v>108812</v>
      </c>
      <c r="EX181" s="228">
        <v>-481</v>
      </c>
      <c r="EY181" s="229">
        <v>-4.4000000000000003E-3</v>
      </c>
      <c r="EZ181" s="229">
        <v>0.31109999999999999</v>
      </c>
      <c r="FA181" s="227" t="s">
        <v>567</v>
      </c>
      <c r="FB181" s="161">
        <f t="shared" si="4"/>
        <v>0</v>
      </c>
    </row>
    <row r="182" spans="1:158" ht="17.25" thickBot="1" x14ac:dyDescent="0.3">
      <c r="A182" s="226">
        <v>46093</v>
      </c>
      <c r="B182" s="227" t="s">
        <v>197</v>
      </c>
      <c r="C182" s="227" t="s">
        <v>286</v>
      </c>
      <c r="D182" s="228">
        <v>200</v>
      </c>
      <c r="E182" s="231">
        <v>2626.9</v>
      </c>
      <c r="F182" s="231">
        <v>2489</v>
      </c>
      <c r="G182" s="228">
        <v>137.9</v>
      </c>
      <c r="H182" s="229">
        <v>5.5399999999999998E-2</v>
      </c>
      <c r="I182" s="231">
        <v>2626.3</v>
      </c>
      <c r="J182" s="231">
        <v>2488.6999999999998</v>
      </c>
      <c r="K182" s="228">
        <v>137.6</v>
      </c>
      <c r="L182" s="229">
        <v>5.5300000000000002E-2</v>
      </c>
      <c r="M182" s="231">
        <v>2626.9</v>
      </c>
      <c r="N182" s="231">
        <v>2489</v>
      </c>
      <c r="O182" s="228">
        <v>137.9</v>
      </c>
      <c r="P182" s="229">
        <v>5.5399999999999998E-2</v>
      </c>
      <c r="Q182" s="231">
        <v>2629.8</v>
      </c>
      <c r="R182" s="231">
        <v>2503</v>
      </c>
      <c r="S182" s="228">
        <v>126.8</v>
      </c>
      <c r="T182" s="229">
        <v>5.0700000000000002E-2</v>
      </c>
      <c r="U182" s="231">
        <v>2641.2</v>
      </c>
      <c r="V182" s="231">
        <v>2523.4</v>
      </c>
      <c r="W182" s="228">
        <v>117.8</v>
      </c>
      <c r="X182" s="229">
        <v>4.6699999999999998E-2</v>
      </c>
      <c r="Y182" s="228">
        <v>0.6</v>
      </c>
      <c r="Z182" s="228">
        <v>0.3</v>
      </c>
      <c r="AA182" s="228">
        <v>0.3</v>
      </c>
      <c r="AB182" s="229">
        <v>2.0000000000000001E-4</v>
      </c>
      <c r="AC182" s="228">
        <v>0.6</v>
      </c>
      <c r="AD182" s="228">
        <v>0.3</v>
      </c>
      <c r="AE182" s="228">
        <v>0.3</v>
      </c>
      <c r="AF182" s="229">
        <v>2.0000000000000001E-4</v>
      </c>
      <c r="AG182" s="228">
        <v>3.5</v>
      </c>
      <c r="AH182" s="228">
        <v>14.3</v>
      </c>
      <c r="AI182" s="228">
        <v>-10.8</v>
      </c>
      <c r="AJ182" s="229">
        <v>1.2999999999999999E-3</v>
      </c>
      <c r="AK182" s="228">
        <v>14.9</v>
      </c>
      <c r="AL182" s="228">
        <v>34.700000000000003</v>
      </c>
      <c r="AM182" s="228">
        <v>-19.8</v>
      </c>
      <c r="AN182" s="229">
        <v>5.7000000000000002E-3</v>
      </c>
      <c r="AO182" s="231">
        <v>2570.02</v>
      </c>
      <c r="AP182" s="231">
        <v>2580.25</v>
      </c>
      <c r="AQ182" s="228">
        <v>0</v>
      </c>
      <c r="AR182" s="230">
        <v>1753400</v>
      </c>
      <c r="AS182" s="230">
        <v>1126400</v>
      </c>
      <c r="AT182" s="230">
        <v>627000</v>
      </c>
      <c r="AU182" s="229">
        <v>0.55659999999999998</v>
      </c>
      <c r="AV182" s="230">
        <v>1651000</v>
      </c>
      <c r="AW182" s="230">
        <v>1068000</v>
      </c>
      <c r="AX182" s="230">
        <v>583000</v>
      </c>
      <c r="AY182" s="229">
        <v>0.54590000000000005</v>
      </c>
      <c r="AZ182" s="230">
        <v>90200</v>
      </c>
      <c r="BA182" s="230">
        <v>48400</v>
      </c>
      <c r="BB182" s="230">
        <v>41800</v>
      </c>
      <c r="BC182" s="229">
        <v>0.86360000000000003</v>
      </c>
      <c r="BD182" s="230">
        <v>12200</v>
      </c>
      <c r="BE182" s="230">
        <v>10000</v>
      </c>
      <c r="BF182" s="230">
        <v>2200</v>
      </c>
      <c r="BG182" s="229">
        <v>0.22</v>
      </c>
      <c r="BH182" s="230">
        <v>7313400</v>
      </c>
      <c r="BI182" s="230">
        <v>1648000</v>
      </c>
      <c r="BJ182" s="230">
        <v>5665400</v>
      </c>
      <c r="BK182" s="229">
        <v>3.4377</v>
      </c>
      <c r="BL182" s="230">
        <v>3449600</v>
      </c>
      <c r="BM182" s="230">
        <v>2296400</v>
      </c>
      <c r="BN182" s="230">
        <v>1153200</v>
      </c>
      <c r="BO182" s="229">
        <v>0.50219999999999998</v>
      </c>
      <c r="BP182" s="230">
        <v>12516400</v>
      </c>
      <c r="BQ182" s="230">
        <v>5070800</v>
      </c>
      <c r="BR182" s="230">
        <v>7445600</v>
      </c>
      <c r="BS182" s="229">
        <v>1.4682999999999999</v>
      </c>
      <c r="BT182" s="230">
        <v>1335031</v>
      </c>
      <c r="BU182" s="230">
        <v>628712</v>
      </c>
      <c r="BV182" s="230">
        <v>706319</v>
      </c>
      <c r="BW182" s="229">
        <v>1.1234</v>
      </c>
      <c r="BX182" s="230">
        <v>3554600</v>
      </c>
      <c r="BY182" s="230">
        <v>3714200</v>
      </c>
      <c r="BZ182" s="230">
        <v>-159600</v>
      </c>
      <c r="CA182" s="229">
        <v>-4.2999999999999997E-2</v>
      </c>
      <c r="CB182" s="230">
        <v>3453600</v>
      </c>
      <c r="CC182" s="230">
        <v>3622800</v>
      </c>
      <c r="CD182" s="230">
        <v>-169200</v>
      </c>
      <c r="CE182" s="229">
        <v>-4.6699999999999998E-2</v>
      </c>
      <c r="CF182" s="230">
        <v>87400</v>
      </c>
      <c r="CG182" s="230">
        <v>77000</v>
      </c>
      <c r="CH182" s="230">
        <v>10400</v>
      </c>
      <c r="CI182" s="229">
        <v>0.1351</v>
      </c>
      <c r="CJ182" s="230">
        <v>13600</v>
      </c>
      <c r="CK182" s="230">
        <v>14400</v>
      </c>
      <c r="CL182" s="228">
        <v>-800</v>
      </c>
      <c r="CM182" s="229">
        <v>-5.5599999999999997E-2</v>
      </c>
      <c r="CN182" s="230">
        <v>1638200</v>
      </c>
      <c r="CO182" s="230">
        <v>1570400</v>
      </c>
      <c r="CP182" s="230">
        <v>67800</v>
      </c>
      <c r="CQ182" s="229">
        <v>4.3200000000000002E-2</v>
      </c>
      <c r="CR182" s="230">
        <v>1365000</v>
      </c>
      <c r="CS182" s="230">
        <v>1323000</v>
      </c>
      <c r="CT182" s="230">
        <v>42000</v>
      </c>
      <c r="CU182" s="229">
        <v>3.1699999999999999E-2</v>
      </c>
      <c r="CV182" s="230">
        <v>6557800</v>
      </c>
      <c r="CW182" s="230">
        <v>6607600</v>
      </c>
      <c r="CX182" s="230">
        <v>-49800</v>
      </c>
      <c r="CY182" s="229">
        <v>-7.4999999999999997E-3</v>
      </c>
      <c r="CZ182" s="228">
        <v>35.61</v>
      </c>
      <c r="DA182" s="228">
        <v>35.159999999999997</v>
      </c>
      <c r="DB182" s="228">
        <v>0.45</v>
      </c>
      <c r="DC182" s="228">
        <v>0.45</v>
      </c>
      <c r="DD182" s="228">
        <v>34.01</v>
      </c>
      <c r="DE182" s="228">
        <v>33.31</v>
      </c>
      <c r="DF182" s="228">
        <v>1.6</v>
      </c>
      <c r="DG182" s="228">
        <v>0.7</v>
      </c>
      <c r="DH182" s="228">
        <v>34.270000000000003</v>
      </c>
      <c r="DI182" s="228">
        <v>34.590000000000003</v>
      </c>
      <c r="DJ182" s="228">
        <v>-0.32</v>
      </c>
      <c r="DK182" s="228">
        <v>-0.32</v>
      </c>
      <c r="DL182" s="228">
        <v>38.450000000000003</v>
      </c>
      <c r="DM182" s="228">
        <v>35.56</v>
      </c>
      <c r="DN182" s="228">
        <v>2.89</v>
      </c>
      <c r="DO182" s="228">
        <v>2.89</v>
      </c>
      <c r="DP182" s="228">
        <v>0.83</v>
      </c>
      <c r="DQ182" s="228">
        <v>0.84</v>
      </c>
      <c r="DR182" s="228">
        <v>-0.01</v>
      </c>
      <c r="DS182" s="229">
        <v>-1.1900000000000001E-2</v>
      </c>
      <c r="DT182" s="231">
        <v>2600</v>
      </c>
      <c r="DU182" s="231">
        <v>2500</v>
      </c>
      <c r="DV182" s="228">
        <v>0.47</v>
      </c>
      <c r="DW182" s="228">
        <v>1.39</v>
      </c>
      <c r="DX182" s="228">
        <v>-0.92</v>
      </c>
      <c r="DY182" s="229">
        <v>-0.66190000000000004</v>
      </c>
      <c r="DZ182" s="229">
        <v>2.8400000000000002E-2</v>
      </c>
      <c r="EA182" s="230">
        <v>91400</v>
      </c>
      <c r="EB182" s="229">
        <v>1.1000000000000001E-3</v>
      </c>
      <c r="EC182" s="229">
        <v>2.8400000000000002E-2</v>
      </c>
      <c r="ED182" s="228">
        <v>10.23</v>
      </c>
      <c r="EE182" s="229">
        <v>4.0000000000000001E-3</v>
      </c>
      <c r="EF182" s="230">
        <v>602021</v>
      </c>
      <c r="EG182" s="230">
        <v>387331</v>
      </c>
      <c r="EH182" s="229">
        <v>0.55430000000000001</v>
      </c>
      <c r="EI182" s="229">
        <v>0.45090000000000002</v>
      </c>
      <c r="EJ182" s="231">
        <v>198627.13</v>
      </c>
      <c r="EK182" s="231">
        <v>87775.22</v>
      </c>
      <c r="EL182" s="231">
        <v>45075.89</v>
      </c>
      <c r="EM182" s="231">
        <v>3600</v>
      </c>
      <c r="EN182" s="231">
        <v>331478.24</v>
      </c>
      <c r="EO182" s="231">
        <v>131401.92000000001</v>
      </c>
      <c r="EP182" s="231">
        <v>200076.32</v>
      </c>
      <c r="EQ182" s="229">
        <v>1.5226</v>
      </c>
      <c r="ER182" s="231">
        <v>44809</v>
      </c>
      <c r="ES182" s="231">
        <v>34689</v>
      </c>
      <c r="ET182" s="231">
        <v>93380</v>
      </c>
      <c r="EU182" s="231">
        <v>18529108</v>
      </c>
      <c r="EV182" s="231">
        <v>172878</v>
      </c>
      <c r="EW182" s="231">
        <v>169120</v>
      </c>
      <c r="EX182" s="231">
        <v>3758</v>
      </c>
      <c r="EY182" s="229">
        <v>2.2200000000000001E-2</v>
      </c>
      <c r="EZ182" s="229">
        <v>0.35389999999999999</v>
      </c>
      <c r="FA182" s="227" t="s">
        <v>556</v>
      </c>
      <c r="FB182" s="161">
        <f t="shared" si="4"/>
        <v>0</v>
      </c>
    </row>
    <row r="183" spans="1:158" ht="17.25" thickBot="1" x14ac:dyDescent="0.3">
      <c r="A183" s="226">
        <v>46093</v>
      </c>
      <c r="B183" s="227" t="s">
        <v>170</v>
      </c>
      <c r="C183" s="227" t="s">
        <v>288</v>
      </c>
      <c r="D183" s="228">
        <v>350</v>
      </c>
      <c r="E183" s="231">
        <v>1827.7</v>
      </c>
      <c r="F183" s="231">
        <v>1827.6</v>
      </c>
      <c r="G183" s="228">
        <v>0.1</v>
      </c>
      <c r="H183" s="229">
        <v>1E-4</v>
      </c>
      <c r="I183" s="231">
        <v>1825.3</v>
      </c>
      <c r="J183" s="231">
        <v>1825.9</v>
      </c>
      <c r="K183" s="228">
        <v>-0.6</v>
      </c>
      <c r="L183" s="229">
        <v>-2.9999999999999997E-4</v>
      </c>
      <c r="M183" s="231">
        <v>1827.7</v>
      </c>
      <c r="N183" s="231">
        <v>1827.6</v>
      </c>
      <c r="O183" s="228">
        <v>0.1</v>
      </c>
      <c r="P183" s="229">
        <v>1E-4</v>
      </c>
      <c r="Q183" s="231">
        <v>1839.9</v>
      </c>
      <c r="R183" s="231">
        <v>1839.4</v>
      </c>
      <c r="S183" s="228">
        <v>0.5</v>
      </c>
      <c r="T183" s="229">
        <v>2.9999999999999997E-4</v>
      </c>
      <c r="U183" s="231">
        <v>1844</v>
      </c>
      <c r="V183" s="231">
        <v>1848.5</v>
      </c>
      <c r="W183" s="228">
        <v>-4.5</v>
      </c>
      <c r="X183" s="229">
        <v>-2.3999999999999998E-3</v>
      </c>
      <c r="Y183" s="228">
        <v>2.4</v>
      </c>
      <c r="Z183" s="228">
        <v>1.7</v>
      </c>
      <c r="AA183" s="228">
        <v>0.7</v>
      </c>
      <c r="AB183" s="229">
        <v>1.2999999999999999E-3</v>
      </c>
      <c r="AC183" s="228">
        <v>2.4</v>
      </c>
      <c r="AD183" s="228">
        <v>1.7</v>
      </c>
      <c r="AE183" s="228">
        <v>0.7</v>
      </c>
      <c r="AF183" s="229">
        <v>1.2999999999999999E-3</v>
      </c>
      <c r="AG183" s="228">
        <v>14.6</v>
      </c>
      <c r="AH183" s="228">
        <v>13.5</v>
      </c>
      <c r="AI183" s="228">
        <v>1.1000000000000001</v>
      </c>
      <c r="AJ183" s="229">
        <v>8.0000000000000002E-3</v>
      </c>
      <c r="AK183" s="228">
        <v>18.7</v>
      </c>
      <c r="AL183" s="228">
        <v>22.6</v>
      </c>
      <c r="AM183" s="228">
        <v>-3.9</v>
      </c>
      <c r="AN183" s="229">
        <v>1.0200000000000001E-2</v>
      </c>
      <c r="AO183" s="231">
        <v>1826.66</v>
      </c>
      <c r="AP183" s="231">
        <v>1834.66</v>
      </c>
      <c r="AQ183" s="228">
        <v>0</v>
      </c>
      <c r="AR183" s="230">
        <v>2573550</v>
      </c>
      <c r="AS183" s="230">
        <v>2910950</v>
      </c>
      <c r="AT183" s="230">
        <v>-337400</v>
      </c>
      <c r="AU183" s="229">
        <v>-0.1159</v>
      </c>
      <c r="AV183" s="230">
        <v>2500050</v>
      </c>
      <c r="AW183" s="230">
        <v>2800000</v>
      </c>
      <c r="AX183" s="230">
        <v>-299950</v>
      </c>
      <c r="AY183" s="229">
        <v>-0.1071</v>
      </c>
      <c r="AZ183" s="230">
        <v>68600</v>
      </c>
      <c r="BA183" s="230">
        <v>101850</v>
      </c>
      <c r="BB183" s="230">
        <v>-33250</v>
      </c>
      <c r="BC183" s="229">
        <v>-0.32650000000000001</v>
      </c>
      <c r="BD183" s="230">
        <v>4900</v>
      </c>
      <c r="BE183" s="230">
        <v>9100</v>
      </c>
      <c r="BF183" s="230">
        <v>-4200</v>
      </c>
      <c r="BG183" s="229">
        <v>-0.46150000000000002</v>
      </c>
      <c r="BH183" s="230">
        <v>10427200</v>
      </c>
      <c r="BI183" s="230">
        <v>16137800</v>
      </c>
      <c r="BJ183" s="230">
        <v>-5710600</v>
      </c>
      <c r="BK183" s="229">
        <v>-0.35389999999999999</v>
      </c>
      <c r="BL183" s="230">
        <v>6886950</v>
      </c>
      <c r="BM183" s="230">
        <v>7740600</v>
      </c>
      <c r="BN183" s="230">
        <v>-853650</v>
      </c>
      <c r="BO183" s="229">
        <v>-0.1103</v>
      </c>
      <c r="BP183" s="230">
        <v>19887700</v>
      </c>
      <c r="BQ183" s="230">
        <v>26789350</v>
      </c>
      <c r="BR183" s="230">
        <v>-6901650</v>
      </c>
      <c r="BS183" s="229">
        <v>-0.2576</v>
      </c>
      <c r="BT183" s="230">
        <v>2644443</v>
      </c>
      <c r="BU183" s="230">
        <v>2566743</v>
      </c>
      <c r="BV183" s="230">
        <v>77700</v>
      </c>
      <c r="BW183" s="229">
        <v>3.0300000000000001E-2</v>
      </c>
      <c r="BX183" s="230">
        <v>22489600</v>
      </c>
      <c r="BY183" s="230">
        <v>22640450</v>
      </c>
      <c r="BZ183" s="230">
        <v>-150850</v>
      </c>
      <c r="CA183" s="229">
        <v>-6.7000000000000002E-3</v>
      </c>
      <c r="CB183" s="230">
        <v>22230950</v>
      </c>
      <c r="CC183" s="230">
        <v>22399650</v>
      </c>
      <c r="CD183" s="230">
        <v>-168700</v>
      </c>
      <c r="CE183" s="229">
        <v>-7.4999999999999997E-3</v>
      </c>
      <c r="CF183" s="230">
        <v>223300</v>
      </c>
      <c r="CG183" s="230">
        <v>206150</v>
      </c>
      <c r="CH183" s="230">
        <v>17150</v>
      </c>
      <c r="CI183" s="229">
        <v>8.3199999999999996E-2</v>
      </c>
      <c r="CJ183" s="230">
        <v>35350</v>
      </c>
      <c r="CK183" s="230">
        <v>34650</v>
      </c>
      <c r="CL183" s="228">
        <v>700</v>
      </c>
      <c r="CM183" s="229">
        <v>2.0199999999999999E-2</v>
      </c>
      <c r="CN183" s="230">
        <v>13833400</v>
      </c>
      <c r="CO183" s="230">
        <v>12115950</v>
      </c>
      <c r="CP183" s="230">
        <v>1717450</v>
      </c>
      <c r="CQ183" s="229">
        <v>0.14180000000000001</v>
      </c>
      <c r="CR183" s="230">
        <v>7432250</v>
      </c>
      <c r="CS183" s="230">
        <v>6867700</v>
      </c>
      <c r="CT183" s="230">
        <v>564550</v>
      </c>
      <c r="CU183" s="229">
        <v>8.2199999999999995E-2</v>
      </c>
      <c r="CV183" s="230">
        <v>43755250</v>
      </c>
      <c r="CW183" s="230">
        <v>41624100</v>
      </c>
      <c r="CX183" s="230">
        <v>2131150</v>
      </c>
      <c r="CY183" s="229">
        <v>5.1200000000000002E-2</v>
      </c>
      <c r="CZ183" s="228">
        <v>18.190000000000001</v>
      </c>
      <c r="DA183" s="228">
        <v>18.55</v>
      </c>
      <c r="DB183" s="228">
        <v>-0.36</v>
      </c>
      <c r="DC183" s="228">
        <v>-0.36</v>
      </c>
      <c r="DD183" s="228">
        <v>22.95</v>
      </c>
      <c r="DE183" s="228">
        <v>23.01</v>
      </c>
      <c r="DF183" s="228">
        <v>-4.76</v>
      </c>
      <c r="DG183" s="228">
        <v>-0.06</v>
      </c>
      <c r="DH183" s="228">
        <v>16.78</v>
      </c>
      <c r="DI183" s="228">
        <v>17.760000000000002</v>
      </c>
      <c r="DJ183" s="228">
        <v>-0.98</v>
      </c>
      <c r="DK183" s="228">
        <v>-0.98</v>
      </c>
      <c r="DL183" s="228">
        <v>20.329999999999998</v>
      </c>
      <c r="DM183" s="228">
        <v>20.190000000000001</v>
      </c>
      <c r="DN183" s="228">
        <v>0.14000000000000001</v>
      </c>
      <c r="DO183" s="228">
        <v>0.14000000000000001</v>
      </c>
      <c r="DP183" s="228">
        <v>0.54</v>
      </c>
      <c r="DQ183" s="228">
        <v>0.56999999999999995</v>
      </c>
      <c r="DR183" s="228">
        <v>-0.03</v>
      </c>
      <c r="DS183" s="229">
        <v>-5.2600000000000001E-2</v>
      </c>
      <c r="DT183" s="231">
        <v>1850</v>
      </c>
      <c r="DU183" s="231">
        <v>1800</v>
      </c>
      <c r="DV183" s="228">
        <v>0.66</v>
      </c>
      <c r="DW183" s="228">
        <v>0.48</v>
      </c>
      <c r="DX183" s="228">
        <v>0.18</v>
      </c>
      <c r="DY183" s="229">
        <v>0.375</v>
      </c>
      <c r="DZ183" s="229">
        <v>1.15E-2</v>
      </c>
      <c r="EA183" s="230">
        <v>240800</v>
      </c>
      <c r="EB183" s="229">
        <v>6.7000000000000002E-3</v>
      </c>
      <c r="EC183" s="229">
        <v>1.15E-2</v>
      </c>
      <c r="ED183" s="228">
        <v>8</v>
      </c>
      <c r="EE183" s="229">
        <v>4.4000000000000003E-3</v>
      </c>
      <c r="EF183" s="230">
        <v>1756038</v>
      </c>
      <c r="EG183" s="230">
        <v>1742782</v>
      </c>
      <c r="EH183" s="229">
        <v>7.6E-3</v>
      </c>
      <c r="EI183" s="229">
        <v>0.66400000000000003</v>
      </c>
      <c r="EJ183" s="231">
        <v>194971.17</v>
      </c>
      <c r="EK183" s="231">
        <v>123645.22</v>
      </c>
      <c r="EL183" s="231">
        <v>47016.29</v>
      </c>
      <c r="EM183" s="231">
        <v>8749</v>
      </c>
      <c r="EN183" s="231">
        <v>365632.68</v>
      </c>
      <c r="EO183" s="231">
        <v>496343.61</v>
      </c>
      <c r="EP183" s="231">
        <v>-130710.93</v>
      </c>
      <c r="EQ183" s="229">
        <v>-0.26329999999999998</v>
      </c>
      <c r="ER183" s="231">
        <v>252801</v>
      </c>
      <c r="ES183" s="231">
        <v>129640</v>
      </c>
      <c r="ET183" s="231">
        <v>411075</v>
      </c>
      <c r="EU183" s="231">
        <v>109220043</v>
      </c>
      <c r="EV183" s="231">
        <v>793517</v>
      </c>
      <c r="EW183" s="231">
        <v>754295</v>
      </c>
      <c r="EX183" s="231">
        <v>39222</v>
      </c>
      <c r="EY183" s="229">
        <v>5.1999999999999998E-2</v>
      </c>
      <c r="EZ183" s="229">
        <v>0.40060000000000001</v>
      </c>
      <c r="FA183" s="227" t="s">
        <v>556</v>
      </c>
      <c r="FB183" s="161">
        <f t="shared" si="4"/>
        <v>0</v>
      </c>
    </row>
    <row r="184" spans="1:158" ht="17.25" thickBot="1" x14ac:dyDescent="0.3">
      <c r="A184" s="226">
        <v>46093</v>
      </c>
      <c r="B184" s="227" t="s">
        <v>184</v>
      </c>
      <c r="C184" s="227" t="s">
        <v>574</v>
      </c>
      <c r="D184" s="228">
        <v>175</v>
      </c>
      <c r="E184" s="231">
        <v>4029.8</v>
      </c>
      <c r="F184" s="231">
        <v>4037.3</v>
      </c>
      <c r="G184" s="228">
        <v>-7.5</v>
      </c>
      <c r="H184" s="229">
        <v>-1.9E-3</v>
      </c>
      <c r="I184" s="231">
        <v>4043.7</v>
      </c>
      <c r="J184" s="231">
        <v>4038</v>
      </c>
      <c r="K184" s="228">
        <v>5.7</v>
      </c>
      <c r="L184" s="229">
        <v>1.4E-3</v>
      </c>
      <c r="M184" s="231">
        <v>4029.8</v>
      </c>
      <c r="N184" s="231">
        <v>4037.3</v>
      </c>
      <c r="O184" s="228">
        <v>-7.5</v>
      </c>
      <c r="P184" s="229">
        <v>-1.9E-3</v>
      </c>
      <c r="Q184" s="231">
        <v>4027.8</v>
      </c>
      <c r="R184" s="231">
        <v>4031.5</v>
      </c>
      <c r="S184" s="228">
        <v>-3.7</v>
      </c>
      <c r="T184" s="229">
        <v>-8.9999999999999998E-4</v>
      </c>
      <c r="U184" s="231">
        <v>4009.5</v>
      </c>
      <c r="V184" s="231">
        <v>4049.9</v>
      </c>
      <c r="W184" s="228">
        <v>-40.4</v>
      </c>
      <c r="X184" s="229">
        <v>-0.01</v>
      </c>
      <c r="Y184" s="228">
        <v>-13.9</v>
      </c>
      <c r="Z184" s="228">
        <v>-0.7</v>
      </c>
      <c r="AA184" s="228">
        <v>-13.2</v>
      </c>
      <c r="AB184" s="229">
        <v>-3.3999999999999998E-3</v>
      </c>
      <c r="AC184" s="228">
        <v>-13.9</v>
      </c>
      <c r="AD184" s="228">
        <v>-0.7</v>
      </c>
      <c r="AE184" s="228">
        <v>-13.2</v>
      </c>
      <c r="AF184" s="229">
        <v>-3.3999999999999998E-3</v>
      </c>
      <c r="AG184" s="228">
        <v>-15.9</v>
      </c>
      <c r="AH184" s="228">
        <v>-6.5</v>
      </c>
      <c r="AI184" s="228">
        <v>-9.4</v>
      </c>
      <c r="AJ184" s="229">
        <v>-3.8999999999999998E-3</v>
      </c>
      <c r="AK184" s="228">
        <v>-34.200000000000003</v>
      </c>
      <c r="AL184" s="228">
        <v>11.9</v>
      </c>
      <c r="AM184" s="228">
        <v>-46.1</v>
      </c>
      <c r="AN184" s="229">
        <v>-8.5000000000000006E-3</v>
      </c>
      <c r="AO184" s="231">
        <v>4006.59</v>
      </c>
      <c r="AP184" s="231">
        <v>4007.87</v>
      </c>
      <c r="AQ184" s="228">
        <v>0</v>
      </c>
      <c r="AR184" s="230">
        <v>634725</v>
      </c>
      <c r="AS184" s="230">
        <v>736050</v>
      </c>
      <c r="AT184" s="230">
        <v>-101325</v>
      </c>
      <c r="AU184" s="229">
        <v>-0.13769999999999999</v>
      </c>
      <c r="AV184" s="230">
        <v>589050</v>
      </c>
      <c r="AW184" s="230">
        <v>709275</v>
      </c>
      <c r="AX184" s="230">
        <v>-120225</v>
      </c>
      <c r="AY184" s="229">
        <v>-0.16950000000000001</v>
      </c>
      <c r="AZ184" s="230">
        <v>45500</v>
      </c>
      <c r="BA184" s="230">
        <v>26075</v>
      </c>
      <c r="BB184" s="230">
        <v>19425</v>
      </c>
      <c r="BC184" s="229">
        <v>0.745</v>
      </c>
      <c r="BD184" s="228">
        <v>175</v>
      </c>
      <c r="BE184" s="228">
        <v>700</v>
      </c>
      <c r="BF184" s="228">
        <v>-525</v>
      </c>
      <c r="BG184" s="229">
        <v>-0.75</v>
      </c>
      <c r="BH184" s="230">
        <v>1134525</v>
      </c>
      <c r="BI184" s="230">
        <v>3225950</v>
      </c>
      <c r="BJ184" s="230">
        <v>-2091425</v>
      </c>
      <c r="BK184" s="229">
        <v>-0.64829999999999999</v>
      </c>
      <c r="BL184" s="230">
        <v>455875</v>
      </c>
      <c r="BM184" s="230">
        <v>666575</v>
      </c>
      <c r="BN184" s="230">
        <v>-210700</v>
      </c>
      <c r="BO184" s="229">
        <v>-0.31609999999999999</v>
      </c>
      <c r="BP184" s="230">
        <v>2225125</v>
      </c>
      <c r="BQ184" s="230">
        <v>4628575</v>
      </c>
      <c r="BR184" s="230">
        <v>-2403450</v>
      </c>
      <c r="BS184" s="229">
        <v>-0.51929999999999998</v>
      </c>
      <c r="BT184" s="230">
        <v>415209</v>
      </c>
      <c r="BU184" s="230">
        <v>848874</v>
      </c>
      <c r="BV184" s="230">
        <v>-433665</v>
      </c>
      <c r="BW184" s="229">
        <v>-0.51090000000000002</v>
      </c>
      <c r="BX184" s="230">
        <v>1937425</v>
      </c>
      <c r="BY184" s="230">
        <v>1740900</v>
      </c>
      <c r="BZ184" s="230">
        <v>196525</v>
      </c>
      <c r="CA184" s="229">
        <v>0.1129</v>
      </c>
      <c r="CB184" s="230">
        <v>1878275</v>
      </c>
      <c r="CC184" s="230">
        <v>1704500</v>
      </c>
      <c r="CD184" s="230">
        <v>173775</v>
      </c>
      <c r="CE184" s="229">
        <v>0.10199999999999999</v>
      </c>
      <c r="CF184" s="230">
        <v>57575</v>
      </c>
      <c r="CG184" s="230">
        <v>34825</v>
      </c>
      <c r="CH184" s="230">
        <v>22750</v>
      </c>
      <c r="CI184" s="229">
        <v>0.65329999999999999</v>
      </c>
      <c r="CJ184" s="230">
        <v>1575</v>
      </c>
      <c r="CK184" s="230">
        <v>1575</v>
      </c>
      <c r="CL184" s="228">
        <v>0</v>
      </c>
      <c r="CM184" s="229">
        <v>0</v>
      </c>
      <c r="CN184" s="230">
        <v>535675</v>
      </c>
      <c r="CO184" s="230">
        <v>577325</v>
      </c>
      <c r="CP184" s="230">
        <v>-41650</v>
      </c>
      <c r="CQ184" s="229">
        <v>-7.2099999999999997E-2</v>
      </c>
      <c r="CR184" s="230">
        <v>326900</v>
      </c>
      <c r="CS184" s="230">
        <v>354375</v>
      </c>
      <c r="CT184" s="230">
        <v>-27475</v>
      </c>
      <c r="CU184" s="229">
        <v>-7.7499999999999999E-2</v>
      </c>
      <c r="CV184" s="230">
        <v>2800000</v>
      </c>
      <c r="CW184" s="230">
        <v>2672600</v>
      </c>
      <c r="CX184" s="230">
        <v>127400</v>
      </c>
      <c r="CY184" s="229">
        <v>4.7699999999999999E-2</v>
      </c>
      <c r="CZ184" s="228">
        <v>34.99</v>
      </c>
      <c r="DA184" s="228">
        <v>33.590000000000003</v>
      </c>
      <c r="DB184" s="228">
        <v>1.4</v>
      </c>
      <c r="DC184" s="228">
        <v>1.4</v>
      </c>
      <c r="DD184" s="228">
        <v>38.119999999999997</v>
      </c>
      <c r="DE184" s="228">
        <v>38.21</v>
      </c>
      <c r="DF184" s="228">
        <v>-3.13</v>
      </c>
      <c r="DG184" s="228">
        <v>-0.09</v>
      </c>
      <c r="DH184" s="228">
        <v>33.380000000000003</v>
      </c>
      <c r="DI184" s="228">
        <v>33.06</v>
      </c>
      <c r="DJ184" s="228">
        <v>0.32</v>
      </c>
      <c r="DK184" s="228">
        <v>0.32</v>
      </c>
      <c r="DL184" s="228">
        <v>39</v>
      </c>
      <c r="DM184" s="228">
        <v>36.18</v>
      </c>
      <c r="DN184" s="228">
        <v>2.82</v>
      </c>
      <c r="DO184" s="228">
        <v>2.82</v>
      </c>
      <c r="DP184" s="228">
        <v>0.61</v>
      </c>
      <c r="DQ184" s="228">
        <v>0.61</v>
      </c>
      <c r="DR184" s="228">
        <v>0</v>
      </c>
      <c r="DS184" s="229">
        <v>0</v>
      </c>
      <c r="DT184" s="231">
        <v>4300</v>
      </c>
      <c r="DU184" s="231">
        <v>3700</v>
      </c>
      <c r="DV184" s="228">
        <v>0.4</v>
      </c>
      <c r="DW184" s="228">
        <v>0.21</v>
      </c>
      <c r="DX184" s="228">
        <v>0.19</v>
      </c>
      <c r="DY184" s="229">
        <v>0.90480000000000005</v>
      </c>
      <c r="DZ184" s="229">
        <v>3.0499999999999999E-2</v>
      </c>
      <c r="EA184" s="230">
        <v>36400</v>
      </c>
      <c r="EB184" s="229">
        <v>-5.0000000000000001E-4</v>
      </c>
      <c r="EC184" s="229">
        <v>3.0499999999999999E-2</v>
      </c>
      <c r="ED184" s="228">
        <v>1.28</v>
      </c>
      <c r="EE184" s="229">
        <v>2.9999999999999997E-4</v>
      </c>
      <c r="EF184" s="230">
        <v>237431</v>
      </c>
      <c r="EG184" s="230">
        <v>490032</v>
      </c>
      <c r="EH184" s="229">
        <v>-0.51549999999999996</v>
      </c>
      <c r="EI184" s="229">
        <v>0.57179999999999997</v>
      </c>
      <c r="EJ184" s="231">
        <v>48261.23</v>
      </c>
      <c r="EK184" s="231">
        <v>17065.39</v>
      </c>
      <c r="EL184" s="231">
        <v>25431.4</v>
      </c>
      <c r="EM184" s="231">
        <v>2787</v>
      </c>
      <c r="EN184" s="231">
        <v>90758.02</v>
      </c>
      <c r="EO184" s="231">
        <v>192013.99</v>
      </c>
      <c r="EP184" s="231">
        <v>-101255.97</v>
      </c>
      <c r="EQ184" s="229">
        <v>-0.52729999999999999</v>
      </c>
      <c r="ER184" s="231">
        <v>22488</v>
      </c>
      <c r="ES184" s="231">
        <v>12273</v>
      </c>
      <c r="ET184" s="231">
        <v>78073</v>
      </c>
      <c r="EU184" s="231">
        <v>9736357</v>
      </c>
      <c r="EV184" s="231">
        <v>112834</v>
      </c>
      <c r="EW184" s="231">
        <v>107730</v>
      </c>
      <c r="EX184" s="231">
        <v>5104</v>
      </c>
      <c r="EY184" s="229">
        <v>4.7399999999999998E-2</v>
      </c>
      <c r="EZ184" s="229">
        <v>0.28760000000000002</v>
      </c>
      <c r="FA184" s="227" t="s">
        <v>567</v>
      </c>
      <c r="FB184" s="161">
        <f t="shared" si="4"/>
        <v>0</v>
      </c>
    </row>
    <row r="185" spans="1:158" ht="17.25" thickBot="1" x14ac:dyDescent="0.3">
      <c r="A185" s="226">
        <v>46093</v>
      </c>
      <c r="B185" s="227" t="s">
        <v>161</v>
      </c>
      <c r="C185" s="227" t="s">
        <v>683</v>
      </c>
      <c r="D185" s="228">
        <v>9025</v>
      </c>
      <c r="E185" s="228">
        <v>42.5</v>
      </c>
      <c r="F185" s="228">
        <v>41.67</v>
      </c>
      <c r="G185" s="228">
        <v>0.83</v>
      </c>
      <c r="H185" s="229">
        <v>1.9900000000000001E-2</v>
      </c>
      <c r="I185" s="228">
        <v>42.43</v>
      </c>
      <c r="J185" s="228">
        <v>41.62</v>
      </c>
      <c r="K185" s="228">
        <v>0.81</v>
      </c>
      <c r="L185" s="229">
        <v>1.95E-2</v>
      </c>
      <c r="M185" s="228">
        <v>42.5</v>
      </c>
      <c r="N185" s="228">
        <v>41.67</v>
      </c>
      <c r="O185" s="228">
        <v>0.83</v>
      </c>
      <c r="P185" s="229">
        <v>1.9900000000000001E-2</v>
      </c>
      <c r="Q185" s="228">
        <v>42.78</v>
      </c>
      <c r="R185" s="228">
        <v>41.94</v>
      </c>
      <c r="S185" s="228">
        <v>0.84</v>
      </c>
      <c r="T185" s="229">
        <v>0.02</v>
      </c>
      <c r="U185" s="228">
        <v>42.99</v>
      </c>
      <c r="V185" s="228">
        <v>42.11</v>
      </c>
      <c r="W185" s="228">
        <v>0.88</v>
      </c>
      <c r="X185" s="229">
        <v>2.0899999999999998E-2</v>
      </c>
      <c r="Y185" s="228">
        <v>7.0000000000000007E-2</v>
      </c>
      <c r="Z185" s="228">
        <v>0.05</v>
      </c>
      <c r="AA185" s="228">
        <v>0.02</v>
      </c>
      <c r="AB185" s="229">
        <v>1.6000000000000001E-3</v>
      </c>
      <c r="AC185" s="228">
        <v>7.0000000000000007E-2</v>
      </c>
      <c r="AD185" s="228">
        <v>0.05</v>
      </c>
      <c r="AE185" s="228">
        <v>0.02</v>
      </c>
      <c r="AF185" s="229">
        <v>1.6000000000000001E-3</v>
      </c>
      <c r="AG185" s="228">
        <v>0.35</v>
      </c>
      <c r="AH185" s="228">
        <v>0.32</v>
      </c>
      <c r="AI185" s="228">
        <v>0.03</v>
      </c>
      <c r="AJ185" s="229">
        <v>8.2000000000000007E-3</v>
      </c>
      <c r="AK185" s="228">
        <v>0.56000000000000005</v>
      </c>
      <c r="AL185" s="228">
        <v>0.49</v>
      </c>
      <c r="AM185" s="228">
        <v>7.0000000000000007E-2</v>
      </c>
      <c r="AN185" s="229">
        <v>1.32E-2</v>
      </c>
      <c r="AO185" s="228">
        <v>42.62</v>
      </c>
      <c r="AP185" s="228">
        <v>42.96</v>
      </c>
      <c r="AQ185" s="228">
        <v>0</v>
      </c>
      <c r="AR185" s="230">
        <v>71739725</v>
      </c>
      <c r="AS185" s="230">
        <v>61731000</v>
      </c>
      <c r="AT185" s="230">
        <v>10008725</v>
      </c>
      <c r="AU185" s="229">
        <v>0.16209999999999999</v>
      </c>
      <c r="AV185" s="230">
        <v>61866375</v>
      </c>
      <c r="AW185" s="230">
        <v>48870375</v>
      </c>
      <c r="AX185" s="230">
        <v>12996000</v>
      </c>
      <c r="AY185" s="229">
        <v>0.26590000000000003</v>
      </c>
      <c r="AZ185" s="230">
        <v>8456425</v>
      </c>
      <c r="BA185" s="230">
        <v>12147650</v>
      </c>
      <c r="BB185" s="230">
        <v>-3691225</v>
      </c>
      <c r="BC185" s="229">
        <v>-0.3039</v>
      </c>
      <c r="BD185" s="230">
        <v>1416925</v>
      </c>
      <c r="BE185" s="230">
        <v>712975</v>
      </c>
      <c r="BF185" s="230">
        <v>703950</v>
      </c>
      <c r="BG185" s="229">
        <v>0.98729999999999996</v>
      </c>
      <c r="BH185" s="230">
        <v>310360725</v>
      </c>
      <c r="BI185" s="230">
        <v>215625300</v>
      </c>
      <c r="BJ185" s="230">
        <v>94735425</v>
      </c>
      <c r="BK185" s="229">
        <v>0.43940000000000001</v>
      </c>
      <c r="BL185" s="230">
        <v>72660275</v>
      </c>
      <c r="BM185" s="230">
        <v>42742400</v>
      </c>
      <c r="BN185" s="230">
        <v>29917875</v>
      </c>
      <c r="BO185" s="229">
        <v>0.7</v>
      </c>
      <c r="BP185" s="230">
        <v>454760725</v>
      </c>
      <c r="BQ185" s="230">
        <v>320098700</v>
      </c>
      <c r="BR185" s="230">
        <v>134662025</v>
      </c>
      <c r="BS185" s="229">
        <v>0.42070000000000002</v>
      </c>
      <c r="BT185" s="230">
        <v>113866062</v>
      </c>
      <c r="BU185" s="230">
        <v>70020248</v>
      </c>
      <c r="BV185" s="230">
        <v>43845814</v>
      </c>
      <c r="BW185" s="229">
        <v>0.62619999999999998</v>
      </c>
      <c r="BX185" s="230">
        <v>314909325</v>
      </c>
      <c r="BY185" s="230">
        <v>321371225</v>
      </c>
      <c r="BZ185" s="230">
        <v>-6461900</v>
      </c>
      <c r="CA185" s="229">
        <v>-2.01E-2</v>
      </c>
      <c r="CB185" s="230">
        <v>284540200</v>
      </c>
      <c r="CC185" s="230">
        <v>292364875</v>
      </c>
      <c r="CD185" s="230">
        <v>-7824675</v>
      </c>
      <c r="CE185" s="229">
        <v>-2.6800000000000001E-2</v>
      </c>
      <c r="CF185" s="230">
        <v>26993775</v>
      </c>
      <c r="CG185" s="230">
        <v>25649050</v>
      </c>
      <c r="CH185" s="230">
        <v>1344725</v>
      </c>
      <c r="CI185" s="229">
        <v>5.2400000000000002E-2</v>
      </c>
      <c r="CJ185" s="230">
        <v>3375350</v>
      </c>
      <c r="CK185" s="230">
        <v>3357300</v>
      </c>
      <c r="CL185" s="230">
        <v>18050</v>
      </c>
      <c r="CM185" s="229">
        <v>5.4000000000000003E-3</v>
      </c>
      <c r="CN185" s="230">
        <v>205842200</v>
      </c>
      <c r="CO185" s="230">
        <v>214379850</v>
      </c>
      <c r="CP185" s="230">
        <v>-8537650</v>
      </c>
      <c r="CQ185" s="229">
        <v>-3.9800000000000002E-2</v>
      </c>
      <c r="CR185" s="230">
        <v>86667075</v>
      </c>
      <c r="CS185" s="230">
        <v>78418225</v>
      </c>
      <c r="CT185" s="230">
        <v>8248850</v>
      </c>
      <c r="CU185" s="229">
        <v>0.1052</v>
      </c>
      <c r="CV185" s="230">
        <v>607418600</v>
      </c>
      <c r="CW185" s="230">
        <v>614169300</v>
      </c>
      <c r="CX185" s="230">
        <v>-6750700</v>
      </c>
      <c r="CY185" s="229">
        <v>-1.0999999999999999E-2</v>
      </c>
      <c r="CZ185" s="228">
        <v>42.49</v>
      </c>
      <c r="DA185" s="228">
        <v>45.76</v>
      </c>
      <c r="DB185" s="228">
        <v>-3.27</v>
      </c>
      <c r="DC185" s="228">
        <v>-3.27</v>
      </c>
      <c r="DD185" s="228">
        <v>45.49</v>
      </c>
      <c r="DE185" s="228">
        <v>45.53</v>
      </c>
      <c r="DF185" s="228">
        <v>-3</v>
      </c>
      <c r="DG185" s="228">
        <v>-0.04</v>
      </c>
      <c r="DH185" s="228">
        <v>41.74</v>
      </c>
      <c r="DI185" s="228">
        <v>45.01</v>
      </c>
      <c r="DJ185" s="228">
        <v>-3.27</v>
      </c>
      <c r="DK185" s="228">
        <v>-3.27</v>
      </c>
      <c r="DL185" s="228">
        <v>45.68</v>
      </c>
      <c r="DM185" s="228">
        <v>49.53</v>
      </c>
      <c r="DN185" s="228">
        <v>-3.85</v>
      </c>
      <c r="DO185" s="228">
        <v>-3.85</v>
      </c>
      <c r="DP185" s="228">
        <v>0.42</v>
      </c>
      <c r="DQ185" s="228">
        <v>0.37</v>
      </c>
      <c r="DR185" s="228">
        <v>0.05</v>
      </c>
      <c r="DS185" s="229">
        <v>0.1351</v>
      </c>
      <c r="DT185" s="228">
        <v>50</v>
      </c>
      <c r="DU185" s="228">
        <v>45</v>
      </c>
      <c r="DV185" s="228">
        <v>0.23</v>
      </c>
      <c r="DW185" s="228">
        <v>0.2</v>
      </c>
      <c r="DX185" s="228">
        <v>0.03</v>
      </c>
      <c r="DY185" s="229">
        <v>0.15</v>
      </c>
      <c r="DZ185" s="229">
        <v>9.64E-2</v>
      </c>
      <c r="EA185" s="230">
        <v>29006350</v>
      </c>
      <c r="EB185" s="229">
        <v>6.6E-3</v>
      </c>
      <c r="EC185" s="229">
        <v>9.64E-2</v>
      </c>
      <c r="ED185" s="228">
        <v>0.34</v>
      </c>
      <c r="EE185" s="229">
        <v>8.0000000000000002E-3</v>
      </c>
      <c r="EF185" s="230">
        <v>28314620</v>
      </c>
      <c r="EG185" s="230">
        <v>25699958</v>
      </c>
      <c r="EH185" s="229">
        <v>0.1017</v>
      </c>
      <c r="EI185" s="229">
        <v>0.2487</v>
      </c>
      <c r="EJ185" s="231">
        <v>143870.79999999999</v>
      </c>
      <c r="EK185" s="231">
        <v>30337.26</v>
      </c>
      <c r="EL185" s="231">
        <v>30608.34</v>
      </c>
      <c r="EM185" s="231">
        <v>5649</v>
      </c>
      <c r="EN185" s="231">
        <v>204816.4</v>
      </c>
      <c r="EO185" s="231">
        <v>142453.98000000001</v>
      </c>
      <c r="EP185" s="231">
        <v>62362.42</v>
      </c>
      <c r="EQ185" s="229">
        <v>0.43780000000000002</v>
      </c>
      <c r="ER185" s="231">
        <v>95867</v>
      </c>
      <c r="ES185" s="231">
        <v>37285</v>
      </c>
      <c r="ET185" s="231">
        <v>133929</v>
      </c>
      <c r="EU185" s="231">
        <v>1814982173</v>
      </c>
      <c r="EV185" s="231">
        <v>267081</v>
      </c>
      <c r="EW185" s="231">
        <v>266319</v>
      </c>
      <c r="EX185" s="228">
        <v>762</v>
      </c>
      <c r="EY185" s="229">
        <v>2.8999999999999998E-3</v>
      </c>
      <c r="EZ185" s="229">
        <v>0.3347</v>
      </c>
      <c r="FA185" s="227" t="s">
        <v>556</v>
      </c>
      <c r="FB185" s="161">
        <f t="shared" si="4"/>
        <v>0</v>
      </c>
    </row>
    <row r="186" spans="1:158" ht="17.25" thickBot="1" x14ac:dyDescent="0.3">
      <c r="A186" s="226">
        <v>46093</v>
      </c>
      <c r="B186" s="227" t="s">
        <v>615</v>
      </c>
      <c r="C186" s="227" t="s">
        <v>692</v>
      </c>
      <c r="D186" s="228">
        <v>1300</v>
      </c>
      <c r="E186" s="228">
        <v>280.75</v>
      </c>
      <c r="F186" s="228">
        <v>284.55</v>
      </c>
      <c r="G186" s="228">
        <v>-3.8</v>
      </c>
      <c r="H186" s="229">
        <v>-1.34E-2</v>
      </c>
      <c r="I186" s="228">
        <v>280.89999999999998</v>
      </c>
      <c r="J186" s="228">
        <v>284.60000000000002</v>
      </c>
      <c r="K186" s="228">
        <v>-3.7</v>
      </c>
      <c r="L186" s="229">
        <v>-1.2999999999999999E-2</v>
      </c>
      <c r="M186" s="228">
        <v>280.75</v>
      </c>
      <c r="N186" s="228">
        <v>284.55</v>
      </c>
      <c r="O186" s="228">
        <v>-3.8</v>
      </c>
      <c r="P186" s="229">
        <v>-1.34E-2</v>
      </c>
      <c r="Q186" s="228">
        <v>278.60000000000002</v>
      </c>
      <c r="R186" s="228">
        <v>281.85000000000002</v>
      </c>
      <c r="S186" s="228">
        <v>-3.25</v>
      </c>
      <c r="T186" s="229">
        <v>-1.15E-2</v>
      </c>
      <c r="U186" s="228">
        <v>277.05</v>
      </c>
      <c r="V186" s="228">
        <v>280</v>
      </c>
      <c r="W186" s="228">
        <v>-2.95</v>
      </c>
      <c r="X186" s="229">
        <v>-1.0500000000000001E-2</v>
      </c>
      <c r="Y186" s="228">
        <v>-0.15</v>
      </c>
      <c r="Z186" s="228">
        <v>-0.05</v>
      </c>
      <c r="AA186" s="228">
        <v>-0.1</v>
      </c>
      <c r="AB186" s="229">
        <v>-5.0000000000000001E-4</v>
      </c>
      <c r="AC186" s="228">
        <v>-0.15</v>
      </c>
      <c r="AD186" s="228">
        <v>-0.05</v>
      </c>
      <c r="AE186" s="228">
        <v>-0.1</v>
      </c>
      <c r="AF186" s="229">
        <v>-5.0000000000000001E-4</v>
      </c>
      <c r="AG186" s="228">
        <v>-2.2999999999999998</v>
      </c>
      <c r="AH186" s="228">
        <v>-2.75</v>
      </c>
      <c r="AI186" s="228">
        <v>0.45</v>
      </c>
      <c r="AJ186" s="229">
        <v>-8.2000000000000007E-3</v>
      </c>
      <c r="AK186" s="228">
        <v>-3.85</v>
      </c>
      <c r="AL186" s="228">
        <v>-4.5999999999999996</v>
      </c>
      <c r="AM186" s="228">
        <v>0.75</v>
      </c>
      <c r="AN186" s="229">
        <v>-1.37E-2</v>
      </c>
      <c r="AO186" s="228">
        <v>279</v>
      </c>
      <c r="AP186" s="228">
        <v>279.11</v>
      </c>
      <c r="AQ186" s="228">
        <v>0</v>
      </c>
      <c r="AR186" s="230">
        <v>14630200</v>
      </c>
      <c r="AS186" s="230">
        <v>8203000</v>
      </c>
      <c r="AT186" s="230">
        <v>6427200</v>
      </c>
      <c r="AU186" s="229">
        <v>0.78349999999999997</v>
      </c>
      <c r="AV186" s="230">
        <v>10775700</v>
      </c>
      <c r="AW186" s="230">
        <v>7449000</v>
      </c>
      <c r="AX186" s="230">
        <v>3326700</v>
      </c>
      <c r="AY186" s="229">
        <v>0.4466</v>
      </c>
      <c r="AZ186" s="230">
        <v>2756000</v>
      </c>
      <c r="BA186" s="230">
        <v>731900</v>
      </c>
      <c r="BB186" s="230">
        <v>2024100</v>
      </c>
      <c r="BC186" s="229">
        <v>2.7654999999999998</v>
      </c>
      <c r="BD186" s="230">
        <v>1098500</v>
      </c>
      <c r="BE186" s="230">
        <v>22100</v>
      </c>
      <c r="BF186" s="230">
        <v>1076400</v>
      </c>
      <c r="BG186" s="229">
        <v>48.7059</v>
      </c>
      <c r="BH186" s="230">
        <v>9639500</v>
      </c>
      <c r="BI186" s="230">
        <v>5358600</v>
      </c>
      <c r="BJ186" s="230">
        <v>4280900</v>
      </c>
      <c r="BK186" s="229">
        <v>0.79890000000000005</v>
      </c>
      <c r="BL186" s="230">
        <v>17972500</v>
      </c>
      <c r="BM186" s="230">
        <v>6654700</v>
      </c>
      <c r="BN186" s="230">
        <v>11317800</v>
      </c>
      <c r="BO186" s="229">
        <v>1.7007000000000001</v>
      </c>
      <c r="BP186" s="230">
        <v>42242200</v>
      </c>
      <c r="BQ186" s="230">
        <v>20216300</v>
      </c>
      <c r="BR186" s="230">
        <v>22025900</v>
      </c>
      <c r="BS186" s="229">
        <v>1.0894999999999999</v>
      </c>
      <c r="BT186" s="230">
        <v>14050937</v>
      </c>
      <c r="BU186" s="230">
        <v>6993210</v>
      </c>
      <c r="BV186" s="230">
        <v>7057727</v>
      </c>
      <c r="BW186" s="229">
        <v>1.0092000000000001</v>
      </c>
      <c r="BX186" s="230">
        <v>56585100</v>
      </c>
      <c r="BY186" s="230">
        <v>53229800</v>
      </c>
      <c r="BZ186" s="230">
        <v>3355300</v>
      </c>
      <c r="CA186" s="229">
        <v>6.3E-2</v>
      </c>
      <c r="CB186" s="230">
        <v>50599900</v>
      </c>
      <c r="CC186" s="230">
        <v>50632400</v>
      </c>
      <c r="CD186" s="230">
        <v>-32500</v>
      </c>
      <c r="CE186" s="229">
        <v>-5.9999999999999995E-4</v>
      </c>
      <c r="CF186" s="230">
        <v>4730700</v>
      </c>
      <c r="CG186" s="230">
        <v>2405000</v>
      </c>
      <c r="CH186" s="230">
        <v>2325700</v>
      </c>
      <c r="CI186" s="229">
        <v>0.96699999999999997</v>
      </c>
      <c r="CJ186" s="230">
        <v>1254500</v>
      </c>
      <c r="CK186" s="230">
        <v>192400</v>
      </c>
      <c r="CL186" s="230">
        <v>1062100</v>
      </c>
      <c r="CM186" s="229">
        <v>5.5202999999999998</v>
      </c>
      <c r="CN186" s="230">
        <v>8139300</v>
      </c>
      <c r="CO186" s="230">
        <v>7507500</v>
      </c>
      <c r="CP186" s="230">
        <v>631800</v>
      </c>
      <c r="CQ186" s="229">
        <v>8.4199999999999997E-2</v>
      </c>
      <c r="CR186" s="230">
        <v>6812000</v>
      </c>
      <c r="CS186" s="230">
        <v>6097000</v>
      </c>
      <c r="CT186" s="230">
        <v>715000</v>
      </c>
      <c r="CU186" s="229">
        <v>0.1173</v>
      </c>
      <c r="CV186" s="230">
        <v>71536400</v>
      </c>
      <c r="CW186" s="230">
        <v>66834300</v>
      </c>
      <c r="CX186" s="230">
        <v>4702100</v>
      </c>
      <c r="CY186" s="229">
        <v>7.0400000000000004E-2</v>
      </c>
      <c r="CZ186" s="228">
        <v>53.84</v>
      </c>
      <c r="DA186" s="228">
        <v>51.52</v>
      </c>
      <c r="DB186" s="228">
        <v>2.3199999999999998</v>
      </c>
      <c r="DC186" s="228">
        <v>2.3199999999999998</v>
      </c>
      <c r="DD186" s="228">
        <v>45.04</v>
      </c>
      <c r="DE186" s="228">
        <v>45.12</v>
      </c>
      <c r="DF186" s="228">
        <v>8.8000000000000007</v>
      </c>
      <c r="DG186" s="228">
        <v>-0.08</v>
      </c>
      <c r="DH186" s="228">
        <v>49.83</v>
      </c>
      <c r="DI186" s="228">
        <v>48.77</v>
      </c>
      <c r="DJ186" s="228">
        <v>1.06</v>
      </c>
      <c r="DK186" s="228">
        <v>1.06</v>
      </c>
      <c r="DL186" s="228">
        <v>56</v>
      </c>
      <c r="DM186" s="228">
        <v>53.73</v>
      </c>
      <c r="DN186" s="228">
        <v>2.27</v>
      </c>
      <c r="DO186" s="228">
        <v>2.27</v>
      </c>
      <c r="DP186" s="228">
        <v>0.84</v>
      </c>
      <c r="DQ186" s="228">
        <v>0.81</v>
      </c>
      <c r="DR186" s="228">
        <v>0.03</v>
      </c>
      <c r="DS186" s="229">
        <v>3.6999999999999998E-2</v>
      </c>
      <c r="DT186" s="228">
        <v>300</v>
      </c>
      <c r="DU186" s="228">
        <v>280</v>
      </c>
      <c r="DV186" s="228">
        <v>1.86</v>
      </c>
      <c r="DW186" s="228">
        <v>1.24</v>
      </c>
      <c r="DX186" s="228">
        <v>0.62</v>
      </c>
      <c r="DY186" s="229">
        <v>0.5</v>
      </c>
      <c r="DZ186" s="229">
        <v>0.10580000000000001</v>
      </c>
      <c r="EA186" s="230">
        <v>2597400</v>
      </c>
      <c r="EB186" s="229">
        <v>-7.7000000000000002E-3</v>
      </c>
      <c r="EC186" s="229">
        <v>0.10580000000000001</v>
      </c>
      <c r="ED186" s="228">
        <v>0.11</v>
      </c>
      <c r="EE186" s="229">
        <v>4.0000000000000002E-4</v>
      </c>
      <c r="EF186" s="230">
        <v>5784581</v>
      </c>
      <c r="EG186" s="230">
        <v>2875997</v>
      </c>
      <c r="EH186" s="229">
        <v>1.0113000000000001</v>
      </c>
      <c r="EI186" s="229">
        <v>0.41170000000000001</v>
      </c>
      <c r="EJ186" s="231">
        <v>29395.86</v>
      </c>
      <c r="EK186" s="231">
        <v>49455</v>
      </c>
      <c r="EL186" s="231">
        <v>40821.550000000003</v>
      </c>
      <c r="EM186" s="231">
        <v>5766</v>
      </c>
      <c r="EN186" s="231">
        <v>119672.41</v>
      </c>
      <c r="EO186" s="231">
        <v>59813.51</v>
      </c>
      <c r="EP186" s="231">
        <v>59858.9</v>
      </c>
      <c r="EQ186" s="229">
        <v>1.0007999999999999</v>
      </c>
      <c r="ER186" s="231">
        <v>25753</v>
      </c>
      <c r="ES186" s="231">
        <v>19467</v>
      </c>
      <c r="ET186" s="231">
        <v>158715</v>
      </c>
      <c r="EU186" s="231">
        <v>375529891</v>
      </c>
      <c r="EV186" s="231">
        <v>203934</v>
      </c>
      <c r="EW186" s="231">
        <v>193262</v>
      </c>
      <c r="EX186" s="231">
        <v>10672</v>
      </c>
      <c r="EY186" s="229">
        <v>5.5199999999999999E-2</v>
      </c>
      <c r="EZ186" s="229">
        <v>0.1905</v>
      </c>
      <c r="FA186" s="227" t="s">
        <v>567</v>
      </c>
      <c r="FB186" s="161">
        <f t="shared" si="4"/>
        <v>0</v>
      </c>
    </row>
    <row r="187" spans="1:158" ht="17.25" thickBot="1" x14ac:dyDescent="0.3">
      <c r="A187" s="226">
        <v>46093</v>
      </c>
      <c r="B187" s="227" t="s">
        <v>170</v>
      </c>
      <c r="C187" s="227" t="s">
        <v>520</v>
      </c>
      <c r="D187" s="228">
        <v>1000</v>
      </c>
      <c r="E187" s="228">
        <v>404.75</v>
      </c>
      <c r="F187" s="228">
        <v>407.9</v>
      </c>
      <c r="G187" s="228">
        <v>-3.15</v>
      </c>
      <c r="H187" s="229">
        <v>-7.7000000000000002E-3</v>
      </c>
      <c r="I187" s="228">
        <v>404.1</v>
      </c>
      <c r="J187" s="228">
        <v>408.15</v>
      </c>
      <c r="K187" s="228">
        <v>-4.05</v>
      </c>
      <c r="L187" s="229">
        <v>-9.9000000000000008E-3</v>
      </c>
      <c r="M187" s="228">
        <v>404.75</v>
      </c>
      <c r="N187" s="228">
        <v>407.9</v>
      </c>
      <c r="O187" s="228">
        <v>-3.15</v>
      </c>
      <c r="P187" s="229">
        <v>-7.7000000000000002E-3</v>
      </c>
      <c r="Q187" s="228">
        <v>0</v>
      </c>
      <c r="R187" s="228">
        <v>0</v>
      </c>
      <c r="S187" s="228">
        <v>0</v>
      </c>
      <c r="T187" s="229">
        <v>0</v>
      </c>
      <c r="U187" s="228">
        <v>0</v>
      </c>
      <c r="V187" s="228">
        <v>0</v>
      </c>
      <c r="W187" s="228">
        <v>0</v>
      </c>
      <c r="X187" s="229">
        <v>0</v>
      </c>
      <c r="Y187" s="228">
        <v>0.65</v>
      </c>
      <c r="Z187" s="228">
        <v>-0.25</v>
      </c>
      <c r="AA187" s="228">
        <v>0.9</v>
      </c>
      <c r="AB187" s="229">
        <v>1.6000000000000001E-3</v>
      </c>
      <c r="AC187" s="228">
        <v>0.65</v>
      </c>
      <c r="AD187" s="228">
        <v>-0.25</v>
      </c>
      <c r="AE187" s="228">
        <v>0.9</v>
      </c>
      <c r="AF187" s="229">
        <v>1.6000000000000001E-3</v>
      </c>
      <c r="AG187" s="228">
        <v>0</v>
      </c>
      <c r="AH187" s="228">
        <v>0</v>
      </c>
      <c r="AI187" s="228">
        <v>0</v>
      </c>
      <c r="AJ187" s="229">
        <v>0</v>
      </c>
      <c r="AK187" s="228">
        <v>0</v>
      </c>
      <c r="AL187" s="228">
        <v>0</v>
      </c>
      <c r="AM187" s="228">
        <v>0</v>
      </c>
      <c r="AN187" s="229">
        <v>0</v>
      </c>
      <c r="AO187" s="228">
        <v>404.18</v>
      </c>
      <c r="AP187" s="228">
        <v>0</v>
      </c>
      <c r="AQ187" s="228">
        <v>0</v>
      </c>
      <c r="AR187" s="230">
        <v>1443000</v>
      </c>
      <c r="AS187" s="230">
        <v>1292000</v>
      </c>
      <c r="AT187" s="230">
        <v>151000</v>
      </c>
      <c r="AU187" s="229">
        <v>0.1169</v>
      </c>
      <c r="AV187" s="230">
        <v>1443000</v>
      </c>
      <c r="AW187" s="230">
        <v>1292000</v>
      </c>
      <c r="AX187" s="230">
        <v>151000</v>
      </c>
      <c r="AY187" s="229">
        <v>0.1169</v>
      </c>
      <c r="AZ187" s="228">
        <v>0</v>
      </c>
      <c r="BA187" s="228">
        <v>0</v>
      </c>
      <c r="BB187" s="228">
        <v>0</v>
      </c>
      <c r="BC187" s="229">
        <v>0</v>
      </c>
      <c r="BD187" s="228">
        <v>0</v>
      </c>
      <c r="BE187" s="228">
        <v>0</v>
      </c>
      <c r="BF187" s="228">
        <v>0</v>
      </c>
      <c r="BG187" s="229">
        <v>0</v>
      </c>
      <c r="BH187" s="230">
        <v>2759000</v>
      </c>
      <c r="BI187" s="230">
        <v>3570000</v>
      </c>
      <c r="BJ187" s="230">
        <v>-811000</v>
      </c>
      <c r="BK187" s="229">
        <v>-0.22720000000000001</v>
      </c>
      <c r="BL187" s="230">
        <v>1916000</v>
      </c>
      <c r="BM187" s="230">
        <v>943000</v>
      </c>
      <c r="BN187" s="230">
        <v>973000</v>
      </c>
      <c r="BO187" s="229">
        <v>1.0318000000000001</v>
      </c>
      <c r="BP187" s="230">
        <v>6118000</v>
      </c>
      <c r="BQ187" s="230">
        <v>5805000</v>
      </c>
      <c r="BR187" s="230">
        <v>313000</v>
      </c>
      <c r="BS187" s="229">
        <v>5.3900000000000003E-2</v>
      </c>
      <c r="BT187" s="230">
        <v>641686</v>
      </c>
      <c r="BU187" s="230">
        <v>638318</v>
      </c>
      <c r="BV187" s="230">
        <v>3368</v>
      </c>
      <c r="BW187" s="229">
        <v>5.3E-3</v>
      </c>
      <c r="BX187" s="230">
        <v>8649000</v>
      </c>
      <c r="BY187" s="230">
        <v>8724000</v>
      </c>
      <c r="BZ187" s="230">
        <v>-75000</v>
      </c>
      <c r="CA187" s="229">
        <v>-8.6E-3</v>
      </c>
      <c r="CB187" s="230">
        <v>8649000</v>
      </c>
      <c r="CC187" s="230">
        <v>8724000</v>
      </c>
      <c r="CD187" s="230">
        <v>-75000</v>
      </c>
      <c r="CE187" s="229">
        <v>-8.6E-3</v>
      </c>
      <c r="CF187" s="228">
        <v>0</v>
      </c>
      <c r="CG187" s="228">
        <v>0</v>
      </c>
      <c r="CH187" s="228">
        <v>0</v>
      </c>
      <c r="CI187" s="229">
        <v>0</v>
      </c>
      <c r="CJ187" s="228">
        <v>0</v>
      </c>
      <c r="CK187" s="228">
        <v>0</v>
      </c>
      <c r="CL187" s="228">
        <v>0</v>
      </c>
      <c r="CM187" s="229">
        <v>0</v>
      </c>
      <c r="CN187" s="230">
        <v>5535000</v>
      </c>
      <c r="CO187" s="230">
        <v>5260000</v>
      </c>
      <c r="CP187" s="230">
        <v>275000</v>
      </c>
      <c r="CQ187" s="229">
        <v>5.2299999999999999E-2</v>
      </c>
      <c r="CR187" s="230">
        <v>2924000</v>
      </c>
      <c r="CS187" s="230">
        <v>2976000</v>
      </c>
      <c r="CT187" s="230">
        <v>-52000</v>
      </c>
      <c r="CU187" s="229">
        <v>-1.7500000000000002E-2</v>
      </c>
      <c r="CV187" s="230">
        <v>17108000</v>
      </c>
      <c r="CW187" s="230">
        <v>16960000</v>
      </c>
      <c r="CX187" s="230">
        <v>148000</v>
      </c>
      <c r="CY187" s="229">
        <v>8.6999999999999994E-3</v>
      </c>
      <c r="CZ187" s="228">
        <v>38.26</v>
      </c>
      <c r="DA187" s="228">
        <v>37.46</v>
      </c>
      <c r="DB187" s="228">
        <v>0.8</v>
      </c>
      <c r="DC187" s="228">
        <v>0.8</v>
      </c>
      <c r="DD187" s="228">
        <v>35.92</v>
      </c>
      <c r="DE187" s="228">
        <v>35.99</v>
      </c>
      <c r="DF187" s="228">
        <v>2.34</v>
      </c>
      <c r="DG187" s="228">
        <v>-7.0000000000000007E-2</v>
      </c>
      <c r="DH187" s="228">
        <v>37.61</v>
      </c>
      <c r="DI187" s="228">
        <v>37.39</v>
      </c>
      <c r="DJ187" s="228">
        <v>0.22</v>
      </c>
      <c r="DK187" s="228">
        <v>0.22</v>
      </c>
      <c r="DL187" s="228">
        <v>39.200000000000003</v>
      </c>
      <c r="DM187" s="228">
        <v>37.69</v>
      </c>
      <c r="DN187" s="228">
        <v>1.51</v>
      </c>
      <c r="DO187" s="228">
        <v>1.51</v>
      </c>
      <c r="DP187" s="228">
        <v>0.53</v>
      </c>
      <c r="DQ187" s="228">
        <v>0.56999999999999995</v>
      </c>
      <c r="DR187" s="228">
        <v>-0.04</v>
      </c>
      <c r="DS187" s="229">
        <v>-7.0199999999999999E-2</v>
      </c>
      <c r="DT187" s="228">
        <v>450</v>
      </c>
      <c r="DU187" s="228">
        <v>440</v>
      </c>
      <c r="DV187" s="228">
        <v>0.69</v>
      </c>
      <c r="DW187" s="228">
        <v>0.26</v>
      </c>
      <c r="DX187" s="228">
        <v>0.43</v>
      </c>
      <c r="DY187" s="229">
        <v>1.6537999999999999</v>
      </c>
      <c r="DZ187" s="229">
        <v>0</v>
      </c>
      <c r="EA187" s="228">
        <v>0</v>
      </c>
      <c r="EB187" s="229">
        <v>0</v>
      </c>
      <c r="EC187" s="229">
        <v>0</v>
      </c>
      <c r="ED187" s="228">
        <v>0</v>
      </c>
      <c r="EE187" s="229">
        <v>0</v>
      </c>
      <c r="EF187" s="230">
        <v>229895</v>
      </c>
      <c r="EG187" s="230">
        <v>337603</v>
      </c>
      <c r="EH187" s="229">
        <v>-0.31900000000000001</v>
      </c>
      <c r="EI187" s="229">
        <v>0.35830000000000001</v>
      </c>
      <c r="EJ187" s="231">
        <v>12153.05</v>
      </c>
      <c r="EK187" s="231">
        <v>7583.05</v>
      </c>
      <c r="EL187" s="231">
        <v>5832.32</v>
      </c>
      <c r="EM187" s="231">
        <v>1217</v>
      </c>
      <c r="EN187" s="231">
        <v>25568.42</v>
      </c>
      <c r="EO187" s="231">
        <v>25208.07</v>
      </c>
      <c r="EP187" s="228">
        <v>360.35</v>
      </c>
      <c r="EQ187" s="229">
        <v>1.43E-2</v>
      </c>
      <c r="ER187" s="231">
        <v>25180</v>
      </c>
      <c r="ES187" s="231">
        <v>12835</v>
      </c>
      <c r="ET187" s="231">
        <v>35007</v>
      </c>
      <c r="EU187" s="231">
        <v>24733183</v>
      </c>
      <c r="EV187" s="231">
        <v>73022</v>
      </c>
      <c r="EW187" s="231">
        <v>72603</v>
      </c>
      <c r="EX187" s="228">
        <v>419</v>
      </c>
      <c r="EY187" s="229">
        <v>5.7999999999999996E-3</v>
      </c>
      <c r="EZ187" s="229">
        <v>0.69169999999999998</v>
      </c>
      <c r="FA187" s="227" t="s">
        <v>568</v>
      </c>
      <c r="FB187" s="161">
        <f t="shared" si="4"/>
        <v>0</v>
      </c>
    </row>
    <row r="188" spans="1:158" ht="17.25" thickBot="1" x14ac:dyDescent="0.3">
      <c r="A188" s="226">
        <v>46093</v>
      </c>
      <c r="B188" s="227" t="s">
        <v>168</v>
      </c>
      <c r="C188" s="227" t="s">
        <v>291</v>
      </c>
      <c r="D188" s="228">
        <v>550</v>
      </c>
      <c r="E188" s="231">
        <v>1061.5</v>
      </c>
      <c r="F188" s="231">
        <v>1076.5999999999999</v>
      </c>
      <c r="G188" s="228">
        <v>-15.1</v>
      </c>
      <c r="H188" s="229">
        <v>-1.4E-2</v>
      </c>
      <c r="I188" s="231">
        <v>1057.8</v>
      </c>
      <c r="J188" s="231">
        <v>1073.4000000000001</v>
      </c>
      <c r="K188" s="228">
        <v>-15.6</v>
      </c>
      <c r="L188" s="229">
        <v>-1.4500000000000001E-2</v>
      </c>
      <c r="M188" s="231">
        <v>1061.5</v>
      </c>
      <c r="N188" s="231">
        <v>1076.5999999999999</v>
      </c>
      <c r="O188" s="228">
        <v>-15.1</v>
      </c>
      <c r="P188" s="229">
        <v>-1.4E-2</v>
      </c>
      <c r="Q188" s="231">
        <v>1067.7</v>
      </c>
      <c r="R188" s="231">
        <v>1084</v>
      </c>
      <c r="S188" s="228">
        <v>-16.3</v>
      </c>
      <c r="T188" s="229">
        <v>-1.4999999999999999E-2</v>
      </c>
      <c r="U188" s="231">
        <v>1071</v>
      </c>
      <c r="V188" s="231">
        <v>1088.5999999999999</v>
      </c>
      <c r="W188" s="228">
        <v>-17.600000000000001</v>
      </c>
      <c r="X188" s="229">
        <v>-1.6199999999999999E-2</v>
      </c>
      <c r="Y188" s="228">
        <v>3.7</v>
      </c>
      <c r="Z188" s="228">
        <v>3.2</v>
      </c>
      <c r="AA188" s="228">
        <v>0.5</v>
      </c>
      <c r="AB188" s="229">
        <v>3.5000000000000001E-3</v>
      </c>
      <c r="AC188" s="228">
        <v>3.7</v>
      </c>
      <c r="AD188" s="228">
        <v>3.2</v>
      </c>
      <c r="AE188" s="228">
        <v>0.5</v>
      </c>
      <c r="AF188" s="229">
        <v>3.5000000000000001E-3</v>
      </c>
      <c r="AG188" s="228">
        <v>9.9</v>
      </c>
      <c r="AH188" s="228">
        <v>10.6</v>
      </c>
      <c r="AI188" s="228">
        <v>-0.7</v>
      </c>
      <c r="AJ188" s="229">
        <v>9.4000000000000004E-3</v>
      </c>
      <c r="AK188" s="228">
        <v>13.2</v>
      </c>
      <c r="AL188" s="228">
        <v>15.2</v>
      </c>
      <c r="AM188" s="228">
        <v>-2</v>
      </c>
      <c r="AN188" s="229">
        <v>1.2500000000000001E-2</v>
      </c>
      <c r="AO188" s="231">
        <v>1064.1099999999999</v>
      </c>
      <c r="AP188" s="231">
        <v>1070.01</v>
      </c>
      <c r="AQ188" s="228">
        <v>0</v>
      </c>
      <c r="AR188" s="230">
        <v>1266100</v>
      </c>
      <c r="AS188" s="230">
        <v>1351350</v>
      </c>
      <c r="AT188" s="230">
        <v>-85250</v>
      </c>
      <c r="AU188" s="229">
        <v>-6.3100000000000003E-2</v>
      </c>
      <c r="AV188" s="230">
        <v>1031800</v>
      </c>
      <c r="AW188" s="230">
        <v>1238050</v>
      </c>
      <c r="AX188" s="230">
        <v>-206250</v>
      </c>
      <c r="AY188" s="229">
        <v>-0.1666</v>
      </c>
      <c r="AZ188" s="230">
        <v>228800</v>
      </c>
      <c r="BA188" s="230">
        <v>106150</v>
      </c>
      <c r="BB188" s="230">
        <v>122650</v>
      </c>
      <c r="BC188" s="229">
        <v>1.1554</v>
      </c>
      <c r="BD188" s="230">
        <v>5500</v>
      </c>
      <c r="BE188" s="230">
        <v>7150</v>
      </c>
      <c r="BF188" s="230">
        <v>-1650</v>
      </c>
      <c r="BG188" s="229">
        <v>-0.23080000000000001</v>
      </c>
      <c r="BH188" s="230">
        <v>1507000</v>
      </c>
      <c r="BI188" s="230">
        <v>2344650</v>
      </c>
      <c r="BJ188" s="230">
        <v>-837650</v>
      </c>
      <c r="BK188" s="229">
        <v>-0.35730000000000001</v>
      </c>
      <c r="BL188" s="230">
        <v>1321100</v>
      </c>
      <c r="BM188" s="230">
        <v>3679500</v>
      </c>
      <c r="BN188" s="230">
        <v>-2358400</v>
      </c>
      <c r="BO188" s="229">
        <v>-0.64100000000000001</v>
      </c>
      <c r="BP188" s="230">
        <v>4094200</v>
      </c>
      <c r="BQ188" s="230">
        <v>7375500</v>
      </c>
      <c r="BR188" s="230">
        <v>-3281300</v>
      </c>
      <c r="BS188" s="229">
        <v>-0.44490000000000002</v>
      </c>
      <c r="BT188" s="230">
        <v>983400</v>
      </c>
      <c r="BU188" s="230">
        <v>1298506</v>
      </c>
      <c r="BV188" s="230">
        <v>-315106</v>
      </c>
      <c r="BW188" s="229">
        <v>-0.2427</v>
      </c>
      <c r="BX188" s="230">
        <v>13375450</v>
      </c>
      <c r="BY188" s="230">
        <v>13273150</v>
      </c>
      <c r="BZ188" s="230">
        <v>102300</v>
      </c>
      <c r="CA188" s="229">
        <v>7.7000000000000002E-3</v>
      </c>
      <c r="CB188" s="230">
        <v>13004750</v>
      </c>
      <c r="CC188" s="230">
        <v>13064150</v>
      </c>
      <c r="CD188" s="230">
        <v>-59400</v>
      </c>
      <c r="CE188" s="229">
        <v>-4.4999999999999997E-3</v>
      </c>
      <c r="CF188" s="230">
        <v>355300</v>
      </c>
      <c r="CG188" s="230">
        <v>193050</v>
      </c>
      <c r="CH188" s="230">
        <v>162250</v>
      </c>
      <c r="CI188" s="229">
        <v>0.84050000000000002</v>
      </c>
      <c r="CJ188" s="230">
        <v>15400</v>
      </c>
      <c r="CK188" s="230">
        <v>15950</v>
      </c>
      <c r="CL188" s="228">
        <v>-550</v>
      </c>
      <c r="CM188" s="229">
        <v>-3.4500000000000003E-2</v>
      </c>
      <c r="CN188" s="230">
        <v>3108600</v>
      </c>
      <c r="CO188" s="230">
        <v>2888050</v>
      </c>
      <c r="CP188" s="230">
        <v>220550</v>
      </c>
      <c r="CQ188" s="229">
        <v>7.6399999999999996E-2</v>
      </c>
      <c r="CR188" s="230">
        <v>1668700</v>
      </c>
      <c r="CS188" s="230">
        <v>1873850</v>
      </c>
      <c r="CT188" s="230">
        <v>-205150</v>
      </c>
      <c r="CU188" s="229">
        <v>-0.1095</v>
      </c>
      <c r="CV188" s="230">
        <v>18152750</v>
      </c>
      <c r="CW188" s="230">
        <v>18035050</v>
      </c>
      <c r="CX188" s="230">
        <v>117700</v>
      </c>
      <c r="CY188" s="229">
        <v>6.4999999999999997E-3</v>
      </c>
      <c r="CZ188" s="228">
        <v>26.53</v>
      </c>
      <c r="DA188" s="228">
        <v>26.72</v>
      </c>
      <c r="DB188" s="228">
        <v>-0.19</v>
      </c>
      <c r="DC188" s="228">
        <v>-0.19</v>
      </c>
      <c r="DD188" s="228">
        <v>27.08</v>
      </c>
      <c r="DE188" s="228">
        <v>27.07</v>
      </c>
      <c r="DF188" s="228">
        <v>-0.55000000000000004</v>
      </c>
      <c r="DG188" s="228">
        <v>0.01</v>
      </c>
      <c r="DH188" s="228">
        <v>26.15</v>
      </c>
      <c r="DI188" s="228">
        <v>25.88</v>
      </c>
      <c r="DJ188" s="228">
        <v>0.27</v>
      </c>
      <c r="DK188" s="228">
        <v>0.27</v>
      </c>
      <c r="DL188" s="228">
        <v>26.96</v>
      </c>
      <c r="DM188" s="228">
        <v>27.25</v>
      </c>
      <c r="DN188" s="228">
        <v>-0.28999999999999998</v>
      </c>
      <c r="DO188" s="228">
        <v>-0.28999999999999998</v>
      </c>
      <c r="DP188" s="228">
        <v>0.54</v>
      </c>
      <c r="DQ188" s="228">
        <v>0.65</v>
      </c>
      <c r="DR188" s="228">
        <v>-0.11</v>
      </c>
      <c r="DS188" s="229">
        <v>-0.16919999999999999</v>
      </c>
      <c r="DT188" s="231">
        <v>1300</v>
      </c>
      <c r="DU188" s="231">
        <v>1100</v>
      </c>
      <c r="DV188" s="228">
        <v>0.88</v>
      </c>
      <c r="DW188" s="228">
        <v>1.57</v>
      </c>
      <c r="DX188" s="228">
        <v>-0.69</v>
      </c>
      <c r="DY188" s="229">
        <v>-0.4395</v>
      </c>
      <c r="DZ188" s="229">
        <v>2.7699999999999999E-2</v>
      </c>
      <c r="EA188" s="230">
        <v>209000</v>
      </c>
      <c r="EB188" s="229">
        <v>5.7999999999999996E-3</v>
      </c>
      <c r="EC188" s="229">
        <v>2.7699999999999999E-2</v>
      </c>
      <c r="ED188" s="228">
        <v>5.9</v>
      </c>
      <c r="EE188" s="229">
        <v>5.4999999999999997E-3</v>
      </c>
      <c r="EF188" s="230">
        <v>524425</v>
      </c>
      <c r="EG188" s="230">
        <v>784737</v>
      </c>
      <c r="EH188" s="229">
        <v>-0.33169999999999999</v>
      </c>
      <c r="EI188" s="229">
        <v>0.5333</v>
      </c>
      <c r="EJ188" s="231">
        <v>17053</v>
      </c>
      <c r="EK188" s="231">
        <v>14085.33</v>
      </c>
      <c r="EL188" s="231">
        <v>13486.86</v>
      </c>
      <c r="EM188" s="231">
        <v>2305</v>
      </c>
      <c r="EN188" s="231">
        <v>44625.19</v>
      </c>
      <c r="EO188" s="231">
        <v>81095.37</v>
      </c>
      <c r="EP188" s="231">
        <v>-36470.18</v>
      </c>
      <c r="EQ188" s="229">
        <v>-0.44969999999999999</v>
      </c>
      <c r="ER188" s="231">
        <v>37124</v>
      </c>
      <c r="ES188" s="231">
        <v>18122</v>
      </c>
      <c r="ET188" s="231">
        <v>142004</v>
      </c>
      <c r="EU188" s="231">
        <v>65472326</v>
      </c>
      <c r="EV188" s="231">
        <v>197251</v>
      </c>
      <c r="EW188" s="231">
        <v>197869</v>
      </c>
      <c r="EX188" s="228">
        <v>-618</v>
      </c>
      <c r="EY188" s="229">
        <v>-3.0999999999999999E-3</v>
      </c>
      <c r="EZ188" s="229">
        <v>0.27729999999999999</v>
      </c>
      <c r="FA188" s="227" t="s">
        <v>567</v>
      </c>
      <c r="FB188" s="161">
        <f t="shared" si="4"/>
        <v>0</v>
      </c>
    </row>
    <row r="189" spans="1:158" ht="17.25" thickBot="1" x14ac:dyDescent="0.3">
      <c r="A189" s="226">
        <v>46093</v>
      </c>
      <c r="B189" s="227" t="s">
        <v>221</v>
      </c>
      <c r="C189" s="227" t="s">
        <v>604</v>
      </c>
      <c r="D189" s="228">
        <v>100</v>
      </c>
      <c r="E189" s="231">
        <v>4312.3999999999996</v>
      </c>
      <c r="F189" s="231">
        <v>4334.7</v>
      </c>
      <c r="G189" s="228">
        <v>-22.3</v>
      </c>
      <c r="H189" s="229">
        <v>-5.1000000000000004E-3</v>
      </c>
      <c r="I189" s="231">
        <v>4330</v>
      </c>
      <c r="J189" s="231">
        <v>4343.3999999999996</v>
      </c>
      <c r="K189" s="228">
        <v>-13.4</v>
      </c>
      <c r="L189" s="229">
        <v>-3.0999999999999999E-3</v>
      </c>
      <c r="M189" s="231">
        <v>4312.3999999999996</v>
      </c>
      <c r="N189" s="231">
        <v>4334.7</v>
      </c>
      <c r="O189" s="228">
        <v>-22.3</v>
      </c>
      <c r="P189" s="229">
        <v>-5.1000000000000004E-3</v>
      </c>
      <c r="Q189" s="231">
        <v>4300.3999999999996</v>
      </c>
      <c r="R189" s="231">
        <v>4319.6000000000004</v>
      </c>
      <c r="S189" s="228">
        <v>-19.2</v>
      </c>
      <c r="T189" s="229">
        <v>-4.4000000000000003E-3</v>
      </c>
      <c r="U189" s="231">
        <v>4294.1000000000004</v>
      </c>
      <c r="V189" s="231">
        <v>4320.5</v>
      </c>
      <c r="W189" s="228">
        <v>-26.4</v>
      </c>
      <c r="X189" s="229">
        <v>-6.1000000000000004E-3</v>
      </c>
      <c r="Y189" s="228">
        <v>-17.600000000000001</v>
      </c>
      <c r="Z189" s="228">
        <v>-8.6999999999999993</v>
      </c>
      <c r="AA189" s="228">
        <v>-8.9</v>
      </c>
      <c r="AB189" s="229">
        <v>-4.1000000000000003E-3</v>
      </c>
      <c r="AC189" s="228">
        <v>-17.600000000000001</v>
      </c>
      <c r="AD189" s="228">
        <v>-8.6999999999999993</v>
      </c>
      <c r="AE189" s="228">
        <v>-8.9</v>
      </c>
      <c r="AF189" s="229">
        <v>-4.1000000000000003E-3</v>
      </c>
      <c r="AG189" s="228">
        <v>-29.6</v>
      </c>
      <c r="AH189" s="228">
        <v>-23.8</v>
      </c>
      <c r="AI189" s="228">
        <v>-5.8</v>
      </c>
      <c r="AJ189" s="229">
        <v>-6.7999999999999996E-3</v>
      </c>
      <c r="AK189" s="228">
        <v>-35.9</v>
      </c>
      <c r="AL189" s="228">
        <v>-22.9</v>
      </c>
      <c r="AM189" s="228">
        <v>-13</v>
      </c>
      <c r="AN189" s="229">
        <v>-8.3000000000000001E-3</v>
      </c>
      <c r="AO189" s="231">
        <v>4305.8100000000004</v>
      </c>
      <c r="AP189" s="231">
        <v>4294.2700000000004</v>
      </c>
      <c r="AQ189" s="228">
        <v>0</v>
      </c>
      <c r="AR189" s="230">
        <v>364600</v>
      </c>
      <c r="AS189" s="230">
        <v>432200</v>
      </c>
      <c r="AT189" s="230">
        <v>-67600</v>
      </c>
      <c r="AU189" s="229">
        <v>-0.15640000000000001</v>
      </c>
      <c r="AV189" s="230">
        <v>270400</v>
      </c>
      <c r="AW189" s="230">
        <v>300500</v>
      </c>
      <c r="AX189" s="230">
        <v>-30100</v>
      </c>
      <c r="AY189" s="229">
        <v>-0.1002</v>
      </c>
      <c r="AZ189" s="230">
        <v>92400</v>
      </c>
      <c r="BA189" s="230">
        <v>129700</v>
      </c>
      <c r="BB189" s="230">
        <v>-37300</v>
      </c>
      <c r="BC189" s="229">
        <v>-0.28760000000000002</v>
      </c>
      <c r="BD189" s="230">
        <v>1800</v>
      </c>
      <c r="BE189" s="230">
        <v>2000</v>
      </c>
      <c r="BF189" s="228">
        <v>-200</v>
      </c>
      <c r="BG189" s="229">
        <v>-0.1</v>
      </c>
      <c r="BH189" s="230">
        <v>1734600</v>
      </c>
      <c r="BI189" s="230">
        <v>2214600</v>
      </c>
      <c r="BJ189" s="230">
        <v>-480000</v>
      </c>
      <c r="BK189" s="229">
        <v>-0.2167</v>
      </c>
      <c r="BL189" s="230">
        <v>529700</v>
      </c>
      <c r="BM189" s="230">
        <v>461300</v>
      </c>
      <c r="BN189" s="230">
        <v>68400</v>
      </c>
      <c r="BO189" s="229">
        <v>0.14829999999999999</v>
      </c>
      <c r="BP189" s="230">
        <v>2628900</v>
      </c>
      <c r="BQ189" s="230">
        <v>3108100</v>
      </c>
      <c r="BR189" s="230">
        <v>-479200</v>
      </c>
      <c r="BS189" s="229">
        <v>-0.1542</v>
      </c>
      <c r="BT189" s="230">
        <v>248056</v>
      </c>
      <c r="BU189" s="230">
        <v>231925</v>
      </c>
      <c r="BV189" s="230">
        <v>16131</v>
      </c>
      <c r="BW189" s="229">
        <v>6.9599999999999995E-2</v>
      </c>
      <c r="BX189" s="230">
        <v>1964600</v>
      </c>
      <c r="BY189" s="230">
        <v>1893700</v>
      </c>
      <c r="BZ189" s="230">
        <v>70900</v>
      </c>
      <c r="CA189" s="229">
        <v>3.7400000000000003E-2</v>
      </c>
      <c r="CB189" s="230">
        <v>1638100</v>
      </c>
      <c r="CC189" s="230">
        <v>1618500</v>
      </c>
      <c r="CD189" s="230">
        <v>19600</v>
      </c>
      <c r="CE189" s="229">
        <v>1.21E-2</v>
      </c>
      <c r="CF189" s="230">
        <v>319500</v>
      </c>
      <c r="CG189" s="230">
        <v>268700</v>
      </c>
      <c r="CH189" s="230">
        <v>50800</v>
      </c>
      <c r="CI189" s="229">
        <v>0.18909999999999999</v>
      </c>
      <c r="CJ189" s="230">
        <v>7000</v>
      </c>
      <c r="CK189" s="230">
        <v>6500</v>
      </c>
      <c r="CL189" s="228">
        <v>500</v>
      </c>
      <c r="CM189" s="229">
        <v>7.6899999999999996E-2</v>
      </c>
      <c r="CN189" s="230">
        <v>1891100</v>
      </c>
      <c r="CO189" s="230">
        <v>1818100</v>
      </c>
      <c r="CP189" s="230">
        <v>73000</v>
      </c>
      <c r="CQ189" s="229">
        <v>4.02E-2</v>
      </c>
      <c r="CR189" s="230">
        <v>799100</v>
      </c>
      <c r="CS189" s="230">
        <v>810200</v>
      </c>
      <c r="CT189" s="230">
        <v>-11100</v>
      </c>
      <c r="CU189" s="229">
        <v>-1.37E-2</v>
      </c>
      <c r="CV189" s="230">
        <v>4654800</v>
      </c>
      <c r="CW189" s="230">
        <v>4522000</v>
      </c>
      <c r="CX189" s="230">
        <v>132800</v>
      </c>
      <c r="CY189" s="229">
        <v>2.9399999999999999E-2</v>
      </c>
      <c r="CZ189" s="228">
        <v>40.57</v>
      </c>
      <c r="DA189" s="228">
        <v>42.05</v>
      </c>
      <c r="DB189" s="228">
        <v>-1.48</v>
      </c>
      <c r="DC189" s="228">
        <v>-1.48</v>
      </c>
      <c r="DD189" s="228">
        <v>37.86</v>
      </c>
      <c r="DE189" s="228">
        <v>37.950000000000003</v>
      </c>
      <c r="DF189" s="228">
        <v>2.71</v>
      </c>
      <c r="DG189" s="228">
        <v>-0.09</v>
      </c>
      <c r="DH189" s="228">
        <v>40.869999999999997</v>
      </c>
      <c r="DI189" s="228">
        <v>42.36</v>
      </c>
      <c r="DJ189" s="228">
        <v>-1.49</v>
      </c>
      <c r="DK189" s="228">
        <v>-1.49</v>
      </c>
      <c r="DL189" s="228">
        <v>39.6</v>
      </c>
      <c r="DM189" s="228">
        <v>40.520000000000003</v>
      </c>
      <c r="DN189" s="228">
        <v>-0.92</v>
      </c>
      <c r="DO189" s="228">
        <v>-0.92</v>
      </c>
      <c r="DP189" s="228">
        <v>0.42</v>
      </c>
      <c r="DQ189" s="228">
        <v>0.45</v>
      </c>
      <c r="DR189" s="228">
        <v>-0.03</v>
      </c>
      <c r="DS189" s="229">
        <v>-6.6699999999999995E-2</v>
      </c>
      <c r="DT189" s="231">
        <v>5000</v>
      </c>
      <c r="DU189" s="231">
        <v>4400</v>
      </c>
      <c r="DV189" s="228">
        <v>0.31</v>
      </c>
      <c r="DW189" s="228">
        <v>0.21</v>
      </c>
      <c r="DX189" s="228">
        <v>0.1</v>
      </c>
      <c r="DY189" s="229">
        <v>0.47620000000000001</v>
      </c>
      <c r="DZ189" s="229">
        <v>0.16619999999999999</v>
      </c>
      <c r="EA189" s="230">
        <v>275200</v>
      </c>
      <c r="EB189" s="229">
        <v>-2.8E-3</v>
      </c>
      <c r="EC189" s="229">
        <v>0.16619999999999999</v>
      </c>
      <c r="ED189" s="228">
        <v>-11.54</v>
      </c>
      <c r="EE189" s="229">
        <v>-2.7000000000000001E-3</v>
      </c>
      <c r="EF189" s="230">
        <v>83939</v>
      </c>
      <c r="EG189" s="230">
        <v>90254</v>
      </c>
      <c r="EH189" s="229">
        <v>-7.0000000000000007E-2</v>
      </c>
      <c r="EI189" s="229">
        <v>0.33839999999999998</v>
      </c>
      <c r="EJ189" s="231">
        <v>90882.04</v>
      </c>
      <c r="EK189" s="231">
        <v>22502.11</v>
      </c>
      <c r="EL189" s="231">
        <v>15687.69</v>
      </c>
      <c r="EM189" s="231">
        <v>3750</v>
      </c>
      <c r="EN189" s="231">
        <v>129071.84</v>
      </c>
      <c r="EO189" s="231">
        <v>152000.54</v>
      </c>
      <c r="EP189" s="231">
        <v>-22928.7</v>
      </c>
      <c r="EQ189" s="229">
        <v>-0.15079999999999999</v>
      </c>
      <c r="ER189" s="231">
        <v>92563</v>
      </c>
      <c r="ES189" s="231">
        <v>35610</v>
      </c>
      <c r="ET189" s="231">
        <v>84682</v>
      </c>
      <c r="EU189" s="231">
        <v>5241546</v>
      </c>
      <c r="EV189" s="231">
        <v>212855</v>
      </c>
      <c r="EW189" s="231">
        <v>207044</v>
      </c>
      <c r="EX189" s="231">
        <v>5811</v>
      </c>
      <c r="EY189" s="229">
        <v>2.81E-2</v>
      </c>
      <c r="EZ189" s="229">
        <v>0.8881</v>
      </c>
      <c r="FA189" s="227" t="s">
        <v>567</v>
      </c>
      <c r="FB189" s="161">
        <f t="shared" si="4"/>
        <v>0</v>
      </c>
    </row>
    <row r="190" spans="1:158" ht="17.25" thickBot="1" x14ac:dyDescent="0.3">
      <c r="A190" s="226">
        <v>46093</v>
      </c>
      <c r="B190" s="227" t="s">
        <v>161</v>
      </c>
      <c r="C190" s="227" t="s">
        <v>293</v>
      </c>
      <c r="D190" s="228">
        <v>1450</v>
      </c>
      <c r="E190" s="228">
        <v>403.6</v>
      </c>
      <c r="F190" s="228">
        <v>386.9</v>
      </c>
      <c r="G190" s="228">
        <v>16.7</v>
      </c>
      <c r="H190" s="229">
        <v>4.3200000000000002E-2</v>
      </c>
      <c r="I190" s="228">
        <v>402.15</v>
      </c>
      <c r="J190" s="228">
        <v>385.75</v>
      </c>
      <c r="K190" s="228">
        <v>16.399999999999999</v>
      </c>
      <c r="L190" s="229">
        <v>4.2500000000000003E-2</v>
      </c>
      <c r="M190" s="228">
        <v>403.6</v>
      </c>
      <c r="N190" s="228">
        <v>386.9</v>
      </c>
      <c r="O190" s="228">
        <v>16.7</v>
      </c>
      <c r="P190" s="229">
        <v>4.3200000000000002E-2</v>
      </c>
      <c r="Q190" s="228">
        <v>406</v>
      </c>
      <c r="R190" s="228">
        <v>389.25</v>
      </c>
      <c r="S190" s="228">
        <v>16.75</v>
      </c>
      <c r="T190" s="229">
        <v>4.2999999999999997E-2</v>
      </c>
      <c r="U190" s="228">
        <v>407.9</v>
      </c>
      <c r="V190" s="228">
        <v>391.75</v>
      </c>
      <c r="W190" s="228">
        <v>16.149999999999999</v>
      </c>
      <c r="X190" s="229">
        <v>4.1200000000000001E-2</v>
      </c>
      <c r="Y190" s="228">
        <v>1.45</v>
      </c>
      <c r="Z190" s="228">
        <v>1.1499999999999999</v>
      </c>
      <c r="AA190" s="228">
        <v>0.3</v>
      </c>
      <c r="AB190" s="229">
        <v>3.5999999999999999E-3</v>
      </c>
      <c r="AC190" s="228">
        <v>1.45</v>
      </c>
      <c r="AD190" s="228">
        <v>1.1499999999999999</v>
      </c>
      <c r="AE190" s="228">
        <v>0.3</v>
      </c>
      <c r="AF190" s="229">
        <v>3.5999999999999999E-3</v>
      </c>
      <c r="AG190" s="228">
        <v>3.85</v>
      </c>
      <c r="AH190" s="228">
        <v>3.5</v>
      </c>
      <c r="AI190" s="228">
        <v>0.35</v>
      </c>
      <c r="AJ190" s="229">
        <v>9.5999999999999992E-3</v>
      </c>
      <c r="AK190" s="228">
        <v>5.75</v>
      </c>
      <c r="AL190" s="228">
        <v>6</v>
      </c>
      <c r="AM190" s="228">
        <v>-0.25</v>
      </c>
      <c r="AN190" s="229">
        <v>1.43E-2</v>
      </c>
      <c r="AO190" s="228">
        <v>399.59</v>
      </c>
      <c r="AP190" s="228">
        <v>403.19</v>
      </c>
      <c r="AQ190" s="228">
        <v>0</v>
      </c>
      <c r="AR190" s="230">
        <v>31528800</v>
      </c>
      <c r="AS190" s="230">
        <v>17159300</v>
      </c>
      <c r="AT190" s="230">
        <v>14369500</v>
      </c>
      <c r="AU190" s="229">
        <v>0.83740000000000003</v>
      </c>
      <c r="AV190" s="230">
        <v>28865150</v>
      </c>
      <c r="AW190" s="230">
        <v>15703500</v>
      </c>
      <c r="AX190" s="230">
        <v>13161650</v>
      </c>
      <c r="AY190" s="229">
        <v>0.83809999999999996</v>
      </c>
      <c r="AZ190" s="230">
        <v>2408450</v>
      </c>
      <c r="BA190" s="230">
        <v>1236850</v>
      </c>
      <c r="BB190" s="230">
        <v>1171600</v>
      </c>
      <c r="BC190" s="229">
        <v>0.94720000000000004</v>
      </c>
      <c r="BD190" s="230">
        <v>255200</v>
      </c>
      <c r="BE190" s="230">
        <v>218950</v>
      </c>
      <c r="BF190" s="230">
        <v>36250</v>
      </c>
      <c r="BG190" s="229">
        <v>0.1656</v>
      </c>
      <c r="BH190" s="230">
        <v>210832900</v>
      </c>
      <c r="BI190" s="230">
        <v>94190550</v>
      </c>
      <c r="BJ190" s="230">
        <v>116642350</v>
      </c>
      <c r="BK190" s="229">
        <v>1.2383999999999999</v>
      </c>
      <c r="BL190" s="230">
        <v>77031250</v>
      </c>
      <c r="BM190" s="230">
        <v>30534100</v>
      </c>
      <c r="BN190" s="230">
        <v>46497150</v>
      </c>
      <c r="BO190" s="229">
        <v>1.5227999999999999</v>
      </c>
      <c r="BP190" s="230">
        <v>319392950</v>
      </c>
      <c r="BQ190" s="230">
        <v>141883950</v>
      </c>
      <c r="BR190" s="230">
        <v>177509000</v>
      </c>
      <c r="BS190" s="229">
        <v>1.2511000000000001</v>
      </c>
      <c r="BT190" s="230">
        <v>27798785</v>
      </c>
      <c r="BU190" s="230">
        <v>10763270</v>
      </c>
      <c r="BV190" s="230">
        <v>17035515</v>
      </c>
      <c r="BW190" s="229">
        <v>1.5827</v>
      </c>
      <c r="BX190" s="230">
        <v>55677100</v>
      </c>
      <c r="BY190" s="230">
        <v>50776100</v>
      </c>
      <c r="BZ190" s="230">
        <v>4901000</v>
      </c>
      <c r="CA190" s="229">
        <v>9.6500000000000002E-2</v>
      </c>
      <c r="CB190" s="230">
        <v>53259950</v>
      </c>
      <c r="CC190" s="230">
        <v>48675050</v>
      </c>
      <c r="CD190" s="230">
        <v>4584900</v>
      </c>
      <c r="CE190" s="229">
        <v>9.4200000000000006E-2</v>
      </c>
      <c r="CF190" s="230">
        <v>2080750</v>
      </c>
      <c r="CG190" s="230">
        <v>1792200</v>
      </c>
      <c r="CH190" s="230">
        <v>288550</v>
      </c>
      <c r="CI190" s="229">
        <v>0.161</v>
      </c>
      <c r="CJ190" s="230">
        <v>336400</v>
      </c>
      <c r="CK190" s="230">
        <v>308850</v>
      </c>
      <c r="CL190" s="230">
        <v>27550</v>
      </c>
      <c r="CM190" s="229">
        <v>8.9200000000000002E-2</v>
      </c>
      <c r="CN190" s="230">
        <v>29321900</v>
      </c>
      <c r="CO190" s="230">
        <v>30821200</v>
      </c>
      <c r="CP190" s="230">
        <v>-1499300</v>
      </c>
      <c r="CQ190" s="229">
        <v>-4.8599999999999997E-2</v>
      </c>
      <c r="CR190" s="230">
        <v>30160000</v>
      </c>
      <c r="CS190" s="230">
        <v>24809500</v>
      </c>
      <c r="CT190" s="230">
        <v>5350500</v>
      </c>
      <c r="CU190" s="229">
        <v>0.2157</v>
      </c>
      <c r="CV190" s="230">
        <v>115159000</v>
      </c>
      <c r="CW190" s="230">
        <v>106406800</v>
      </c>
      <c r="CX190" s="230">
        <v>8752200</v>
      </c>
      <c r="CY190" s="229">
        <v>8.2299999999999998E-2</v>
      </c>
      <c r="CZ190" s="228">
        <v>31.75</v>
      </c>
      <c r="DA190" s="228">
        <v>29.44</v>
      </c>
      <c r="DB190" s="228">
        <v>2.31</v>
      </c>
      <c r="DC190" s="228">
        <v>2.31</v>
      </c>
      <c r="DD190" s="228">
        <v>31.65</v>
      </c>
      <c r="DE190" s="228">
        <v>31.21</v>
      </c>
      <c r="DF190" s="228">
        <v>0.1</v>
      </c>
      <c r="DG190" s="228">
        <v>0.44</v>
      </c>
      <c r="DH190" s="228">
        <v>31.18</v>
      </c>
      <c r="DI190" s="228">
        <v>29.2</v>
      </c>
      <c r="DJ190" s="228">
        <v>1.98</v>
      </c>
      <c r="DK190" s="228">
        <v>1.98</v>
      </c>
      <c r="DL190" s="228">
        <v>33.31</v>
      </c>
      <c r="DM190" s="228">
        <v>30.16</v>
      </c>
      <c r="DN190" s="228">
        <v>3.15</v>
      </c>
      <c r="DO190" s="228">
        <v>3.15</v>
      </c>
      <c r="DP190" s="228">
        <v>1.03</v>
      </c>
      <c r="DQ190" s="228">
        <v>0.8</v>
      </c>
      <c r="DR190" s="228">
        <v>0.23</v>
      </c>
      <c r="DS190" s="229">
        <v>0.28749999999999998</v>
      </c>
      <c r="DT190" s="228">
        <v>420</v>
      </c>
      <c r="DU190" s="228">
        <v>380</v>
      </c>
      <c r="DV190" s="228">
        <v>0.37</v>
      </c>
      <c r="DW190" s="228">
        <v>0.32</v>
      </c>
      <c r="DX190" s="228">
        <v>0.05</v>
      </c>
      <c r="DY190" s="229">
        <v>0.15620000000000001</v>
      </c>
      <c r="DZ190" s="229">
        <v>4.3400000000000001E-2</v>
      </c>
      <c r="EA190" s="230">
        <v>2101050</v>
      </c>
      <c r="EB190" s="229">
        <v>5.8999999999999999E-3</v>
      </c>
      <c r="EC190" s="229">
        <v>4.3400000000000001E-2</v>
      </c>
      <c r="ED190" s="228">
        <v>3.6</v>
      </c>
      <c r="EE190" s="229">
        <v>8.9999999999999993E-3</v>
      </c>
      <c r="EF190" s="230">
        <v>9819661</v>
      </c>
      <c r="EG190" s="230">
        <v>3657094</v>
      </c>
      <c r="EH190" s="229">
        <v>1.6851</v>
      </c>
      <c r="EI190" s="229">
        <v>0.35320000000000001</v>
      </c>
      <c r="EJ190" s="231">
        <v>879030.1</v>
      </c>
      <c r="EK190" s="231">
        <v>303806.09000000003</v>
      </c>
      <c r="EL190" s="231">
        <v>126086.8</v>
      </c>
      <c r="EM190" s="231">
        <v>8099</v>
      </c>
      <c r="EN190" s="231">
        <v>1308922.99</v>
      </c>
      <c r="EO190" s="231">
        <v>567523.16</v>
      </c>
      <c r="EP190" s="231">
        <v>741399.83</v>
      </c>
      <c r="EQ190" s="229">
        <v>1.3064</v>
      </c>
      <c r="ER190" s="231">
        <v>118171</v>
      </c>
      <c r="ES190" s="231">
        <v>116191</v>
      </c>
      <c r="ET190" s="231">
        <v>224777</v>
      </c>
      <c r="EU190" s="231">
        <v>202215001</v>
      </c>
      <c r="EV190" s="231">
        <v>459139</v>
      </c>
      <c r="EW190" s="231">
        <v>414416</v>
      </c>
      <c r="EX190" s="231">
        <v>44723</v>
      </c>
      <c r="EY190" s="229">
        <v>0.1079</v>
      </c>
      <c r="EZ190" s="229">
        <v>0.56950000000000001</v>
      </c>
      <c r="FA190" s="227" t="s">
        <v>555</v>
      </c>
      <c r="FB190" s="161">
        <f t="shared" si="4"/>
        <v>0</v>
      </c>
    </row>
    <row r="191" spans="1:158" ht="17.25" thickBot="1" x14ac:dyDescent="0.3">
      <c r="A191" s="226">
        <v>46093</v>
      </c>
      <c r="B191" s="227" t="s">
        <v>227</v>
      </c>
      <c r="C191" s="227" t="s">
        <v>294</v>
      </c>
      <c r="D191" s="228">
        <v>5500</v>
      </c>
      <c r="E191" s="228">
        <v>193.92</v>
      </c>
      <c r="F191" s="228">
        <v>194.99</v>
      </c>
      <c r="G191" s="228">
        <v>-1.07</v>
      </c>
      <c r="H191" s="229">
        <v>-5.4999999999999997E-3</v>
      </c>
      <c r="I191" s="228">
        <v>193.47</v>
      </c>
      <c r="J191" s="228">
        <v>194.74</v>
      </c>
      <c r="K191" s="228">
        <v>-1.27</v>
      </c>
      <c r="L191" s="229">
        <v>-6.4999999999999997E-3</v>
      </c>
      <c r="M191" s="228">
        <v>193.92</v>
      </c>
      <c r="N191" s="228">
        <v>194.99</v>
      </c>
      <c r="O191" s="228">
        <v>-1.07</v>
      </c>
      <c r="P191" s="229">
        <v>-5.4999999999999997E-3</v>
      </c>
      <c r="Q191" s="228">
        <v>195.19</v>
      </c>
      <c r="R191" s="228">
        <v>196.28</v>
      </c>
      <c r="S191" s="228">
        <v>-1.0900000000000001</v>
      </c>
      <c r="T191" s="229">
        <v>-5.5999999999999999E-3</v>
      </c>
      <c r="U191" s="228">
        <v>195.71</v>
      </c>
      <c r="V191" s="228">
        <v>197.09</v>
      </c>
      <c r="W191" s="228">
        <v>-1.38</v>
      </c>
      <c r="X191" s="229">
        <v>-7.0000000000000001E-3</v>
      </c>
      <c r="Y191" s="228">
        <v>0.45</v>
      </c>
      <c r="Z191" s="228">
        <v>0.25</v>
      </c>
      <c r="AA191" s="228">
        <v>0.2</v>
      </c>
      <c r="AB191" s="229">
        <v>2.3E-3</v>
      </c>
      <c r="AC191" s="228">
        <v>0.45</v>
      </c>
      <c r="AD191" s="228">
        <v>0.25</v>
      </c>
      <c r="AE191" s="228">
        <v>0.2</v>
      </c>
      <c r="AF191" s="229">
        <v>2.3E-3</v>
      </c>
      <c r="AG191" s="228">
        <v>1.72</v>
      </c>
      <c r="AH191" s="228">
        <v>1.54</v>
      </c>
      <c r="AI191" s="228">
        <v>0.18</v>
      </c>
      <c r="AJ191" s="229">
        <v>8.8999999999999999E-3</v>
      </c>
      <c r="AK191" s="228">
        <v>2.2400000000000002</v>
      </c>
      <c r="AL191" s="228">
        <v>2.35</v>
      </c>
      <c r="AM191" s="228">
        <v>-0.11</v>
      </c>
      <c r="AN191" s="229">
        <v>1.1599999999999999E-2</v>
      </c>
      <c r="AO191" s="228">
        <v>192.94</v>
      </c>
      <c r="AP191" s="228">
        <v>194.04</v>
      </c>
      <c r="AQ191" s="228">
        <v>0</v>
      </c>
      <c r="AR191" s="230">
        <v>37158000</v>
      </c>
      <c r="AS191" s="230">
        <v>49115000</v>
      </c>
      <c r="AT191" s="230">
        <v>-11957000</v>
      </c>
      <c r="AU191" s="229">
        <v>-0.24340000000000001</v>
      </c>
      <c r="AV191" s="230">
        <v>32587500</v>
      </c>
      <c r="AW191" s="230">
        <v>43923000</v>
      </c>
      <c r="AX191" s="230">
        <v>-11335500</v>
      </c>
      <c r="AY191" s="229">
        <v>-0.2581</v>
      </c>
      <c r="AZ191" s="230">
        <v>4152500</v>
      </c>
      <c r="BA191" s="230">
        <v>4741000</v>
      </c>
      <c r="BB191" s="230">
        <v>-588500</v>
      </c>
      <c r="BC191" s="229">
        <v>-0.1241</v>
      </c>
      <c r="BD191" s="230">
        <v>418000</v>
      </c>
      <c r="BE191" s="230">
        <v>451000</v>
      </c>
      <c r="BF191" s="230">
        <v>-33000</v>
      </c>
      <c r="BG191" s="229">
        <v>-7.3200000000000001E-2</v>
      </c>
      <c r="BH191" s="230">
        <v>90788500</v>
      </c>
      <c r="BI191" s="230">
        <v>129442500</v>
      </c>
      <c r="BJ191" s="230">
        <v>-38654000</v>
      </c>
      <c r="BK191" s="229">
        <v>-0.29859999999999998</v>
      </c>
      <c r="BL191" s="230">
        <v>50347000</v>
      </c>
      <c r="BM191" s="230">
        <v>68887500</v>
      </c>
      <c r="BN191" s="230">
        <v>-18540500</v>
      </c>
      <c r="BO191" s="229">
        <v>-0.26910000000000001</v>
      </c>
      <c r="BP191" s="230">
        <v>178293500</v>
      </c>
      <c r="BQ191" s="230">
        <v>247445000</v>
      </c>
      <c r="BR191" s="230">
        <v>-69151500</v>
      </c>
      <c r="BS191" s="229">
        <v>-0.27950000000000003</v>
      </c>
      <c r="BT191" s="230">
        <v>25428612</v>
      </c>
      <c r="BU191" s="230">
        <v>36100115</v>
      </c>
      <c r="BV191" s="230">
        <v>-10671503</v>
      </c>
      <c r="BW191" s="229">
        <v>-0.29559999999999997</v>
      </c>
      <c r="BX191" s="230">
        <v>228519500</v>
      </c>
      <c r="BY191" s="230">
        <v>230439000</v>
      </c>
      <c r="BZ191" s="230">
        <v>-1919500</v>
      </c>
      <c r="CA191" s="229">
        <v>-8.3000000000000001E-3</v>
      </c>
      <c r="CB191" s="230">
        <v>196856000</v>
      </c>
      <c r="CC191" s="230">
        <v>199320000</v>
      </c>
      <c r="CD191" s="230">
        <v>-2464000</v>
      </c>
      <c r="CE191" s="229">
        <v>-1.24E-2</v>
      </c>
      <c r="CF191" s="230">
        <v>19090500</v>
      </c>
      <c r="CG191" s="230">
        <v>18535000</v>
      </c>
      <c r="CH191" s="230">
        <v>555500</v>
      </c>
      <c r="CI191" s="229">
        <v>0.03</v>
      </c>
      <c r="CJ191" s="230">
        <v>12573000</v>
      </c>
      <c r="CK191" s="230">
        <v>12584000</v>
      </c>
      <c r="CL191" s="230">
        <v>-11000</v>
      </c>
      <c r="CM191" s="229">
        <v>-8.9999999999999998E-4</v>
      </c>
      <c r="CN191" s="230">
        <v>133226500</v>
      </c>
      <c r="CO191" s="230">
        <v>130663500</v>
      </c>
      <c r="CP191" s="230">
        <v>2563000</v>
      </c>
      <c r="CQ191" s="229">
        <v>1.9599999999999999E-2</v>
      </c>
      <c r="CR191" s="230">
        <v>86784500</v>
      </c>
      <c r="CS191" s="230">
        <v>85349000</v>
      </c>
      <c r="CT191" s="230">
        <v>1435500</v>
      </c>
      <c r="CU191" s="229">
        <v>1.6799999999999999E-2</v>
      </c>
      <c r="CV191" s="230">
        <v>448530500</v>
      </c>
      <c r="CW191" s="230">
        <v>446451500</v>
      </c>
      <c r="CX191" s="230">
        <v>2079000</v>
      </c>
      <c r="CY191" s="229">
        <v>4.7000000000000002E-3</v>
      </c>
      <c r="CZ191" s="228">
        <v>37.380000000000003</v>
      </c>
      <c r="DA191" s="228">
        <v>37.31</v>
      </c>
      <c r="DB191" s="228">
        <v>7.0000000000000007E-2</v>
      </c>
      <c r="DC191" s="228">
        <v>7.0000000000000007E-2</v>
      </c>
      <c r="DD191" s="228">
        <v>34.9</v>
      </c>
      <c r="DE191" s="228">
        <v>34.979999999999997</v>
      </c>
      <c r="DF191" s="228">
        <v>2.48</v>
      </c>
      <c r="DG191" s="228">
        <v>-0.08</v>
      </c>
      <c r="DH191" s="228">
        <v>36.96</v>
      </c>
      <c r="DI191" s="228">
        <v>36.9</v>
      </c>
      <c r="DJ191" s="228">
        <v>0.06</v>
      </c>
      <c r="DK191" s="228">
        <v>0.06</v>
      </c>
      <c r="DL191" s="228">
        <v>38.14</v>
      </c>
      <c r="DM191" s="228">
        <v>38.1</v>
      </c>
      <c r="DN191" s="228">
        <v>0.04</v>
      </c>
      <c r="DO191" s="228">
        <v>0.04</v>
      </c>
      <c r="DP191" s="228">
        <v>0.65</v>
      </c>
      <c r="DQ191" s="228">
        <v>0.65</v>
      </c>
      <c r="DR191" s="228">
        <v>0</v>
      </c>
      <c r="DS191" s="229">
        <v>0</v>
      </c>
      <c r="DT191" s="228">
        <v>210</v>
      </c>
      <c r="DU191" s="228">
        <v>200</v>
      </c>
      <c r="DV191" s="228">
        <v>0.55000000000000004</v>
      </c>
      <c r="DW191" s="228">
        <v>0.53</v>
      </c>
      <c r="DX191" s="228">
        <v>0.02</v>
      </c>
      <c r="DY191" s="229">
        <v>3.7699999999999997E-2</v>
      </c>
      <c r="DZ191" s="229">
        <v>0.1386</v>
      </c>
      <c r="EA191" s="230">
        <v>31119000</v>
      </c>
      <c r="EB191" s="229">
        <v>6.4999999999999997E-3</v>
      </c>
      <c r="EC191" s="229">
        <v>0.1386</v>
      </c>
      <c r="ED191" s="228">
        <v>1.1000000000000001</v>
      </c>
      <c r="EE191" s="229">
        <v>5.7000000000000002E-3</v>
      </c>
      <c r="EF191" s="230">
        <v>9681852</v>
      </c>
      <c r="EG191" s="230">
        <v>13878731</v>
      </c>
      <c r="EH191" s="229">
        <v>-0.3024</v>
      </c>
      <c r="EI191" s="229">
        <v>0.38069999999999998</v>
      </c>
      <c r="EJ191" s="231">
        <v>188145.06</v>
      </c>
      <c r="EK191" s="231">
        <v>96205.67</v>
      </c>
      <c r="EL191" s="231">
        <v>71746.259999999995</v>
      </c>
      <c r="EM191" s="231">
        <v>10894</v>
      </c>
      <c r="EN191" s="231">
        <v>356096.99</v>
      </c>
      <c r="EO191" s="231">
        <v>500095.01</v>
      </c>
      <c r="EP191" s="231">
        <v>-143998.01999999999</v>
      </c>
      <c r="EQ191" s="229">
        <v>-0.28789999999999999</v>
      </c>
      <c r="ER191" s="231">
        <v>282524</v>
      </c>
      <c r="ES191" s="231">
        <v>169254</v>
      </c>
      <c r="ET191" s="231">
        <v>443613</v>
      </c>
      <c r="EU191" s="231">
        <v>872935214</v>
      </c>
      <c r="EV191" s="231">
        <v>895390</v>
      </c>
      <c r="EW191" s="231">
        <v>894348</v>
      </c>
      <c r="EX191" s="231">
        <v>1042</v>
      </c>
      <c r="EY191" s="229">
        <v>1.1999999999999999E-3</v>
      </c>
      <c r="EZ191" s="229">
        <v>0.51380000000000003</v>
      </c>
      <c r="FA191" s="227" t="s">
        <v>568</v>
      </c>
      <c r="FB191" s="161">
        <f t="shared" si="4"/>
        <v>0</v>
      </c>
    </row>
    <row r="192" spans="1:158" ht="17.25" thickBot="1" x14ac:dyDescent="0.3">
      <c r="A192" s="226">
        <v>46093</v>
      </c>
      <c r="B192" s="227" t="s">
        <v>221</v>
      </c>
      <c r="C192" s="227" t="s">
        <v>663</v>
      </c>
      <c r="D192" s="228">
        <v>800</v>
      </c>
      <c r="E192" s="228">
        <v>554.29999999999995</v>
      </c>
      <c r="F192" s="228">
        <v>557.65</v>
      </c>
      <c r="G192" s="228">
        <v>-3.35</v>
      </c>
      <c r="H192" s="229">
        <v>-6.0000000000000001E-3</v>
      </c>
      <c r="I192" s="228">
        <v>551.85</v>
      </c>
      <c r="J192" s="228">
        <v>556.9</v>
      </c>
      <c r="K192" s="228">
        <v>-5.05</v>
      </c>
      <c r="L192" s="229">
        <v>-9.1000000000000004E-3</v>
      </c>
      <c r="M192" s="228">
        <v>554.29999999999995</v>
      </c>
      <c r="N192" s="228">
        <v>557.65</v>
      </c>
      <c r="O192" s="228">
        <v>-3.35</v>
      </c>
      <c r="P192" s="229">
        <v>-6.0000000000000001E-3</v>
      </c>
      <c r="Q192" s="228">
        <v>556.6</v>
      </c>
      <c r="R192" s="228">
        <v>559.6</v>
      </c>
      <c r="S192" s="228">
        <v>-3</v>
      </c>
      <c r="T192" s="229">
        <v>-5.4000000000000003E-3</v>
      </c>
      <c r="U192" s="228">
        <v>0</v>
      </c>
      <c r="V192" s="228">
        <v>0</v>
      </c>
      <c r="W192" s="228">
        <v>0</v>
      </c>
      <c r="X192" s="229">
        <v>0</v>
      </c>
      <c r="Y192" s="228">
        <v>2.4500000000000002</v>
      </c>
      <c r="Z192" s="228">
        <v>0.75</v>
      </c>
      <c r="AA192" s="228">
        <v>1.7</v>
      </c>
      <c r="AB192" s="229">
        <v>4.4000000000000003E-3</v>
      </c>
      <c r="AC192" s="228">
        <v>2.4500000000000002</v>
      </c>
      <c r="AD192" s="228">
        <v>0.75</v>
      </c>
      <c r="AE192" s="228">
        <v>1.7</v>
      </c>
      <c r="AF192" s="229">
        <v>4.4000000000000003E-3</v>
      </c>
      <c r="AG192" s="228">
        <v>4.75</v>
      </c>
      <c r="AH192" s="228">
        <v>2.7</v>
      </c>
      <c r="AI192" s="228">
        <v>2.0499999999999998</v>
      </c>
      <c r="AJ192" s="229">
        <v>8.6E-3</v>
      </c>
      <c r="AK192" s="228">
        <v>0</v>
      </c>
      <c r="AL192" s="228">
        <v>0</v>
      </c>
      <c r="AM192" s="228">
        <v>0</v>
      </c>
      <c r="AN192" s="229">
        <v>0</v>
      </c>
      <c r="AO192" s="228">
        <v>553.04</v>
      </c>
      <c r="AP192" s="228">
        <v>555.13</v>
      </c>
      <c r="AQ192" s="228">
        <v>0</v>
      </c>
      <c r="AR192" s="230">
        <v>1072800</v>
      </c>
      <c r="AS192" s="230">
        <v>1013600</v>
      </c>
      <c r="AT192" s="230">
        <v>59200</v>
      </c>
      <c r="AU192" s="229">
        <v>5.8400000000000001E-2</v>
      </c>
      <c r="AV192" s="230">
        <v>959200</v>
      </c>
      <c r="AW192" s="230">
        <v>886400</v>
      </c>
      <c r="AX192" s="230">
        <v>72800</v>
      </c>
      <c r="AY192" s="229">
        <v>8.2100000000000006E-2</v>
      </c>
      <c r="AZ192" s="230">
        <v>113600</v>
      </c>
      <c r="BA192" s="230">
        <v>127200</v>
      </c>
      <c r="BB192" s="230">
        <v>-13600</v>
      </c>
      <c r="BC192" s="229">
        <v>-0.1069</v>
      </c>
      <c r="BD192" s="228">
        <v>0</v>
      </c>
      <c r="BE192" s="228">
        <v>0</v>
      </c>
      <c r="BF192" s="228">
        <v>0</v>
      </c>
      <c r="BG192" s="229">
        <v>0</v>
      </c>
      <c r="BH192" s="230">
        <v>2200800</v>
      </c>
      <c r="BI192" s="230">
        <v>1185600</v>
      </c>
      <c r="BJ192" s="230">
        <v>1015200</v>
      </c>
      <c r="BK192" s="229">
        <v>0.85629999999999995</v>
      </c>
      <c r="BL192" s="230">
        <v>712000</v>
      </c>
      <c r="BM192" s="230">
        <v>464000</v>
      </c>
      <c r="BN192" s="230">
        <v>248000</v>
      </c>
      <c r="BO192" s="229">
        <v>0.53449999999999998</v>
      </c>
      <c r="BP192" s="230">
        <v>3985600</v>
      </c>
      <c r="BQ192" s="230">
        <v>2663200</v>
      </c>
      <c r="BR192" s="230">
        <v>1322400</v>
      </c>
      <c r="BS192" s="229">
        <v>0.4965</v>
      </c>
      <c r="BT192" s="230">
        <v>890283</v>
      </c>
      <c r="BU192" s="230">
        <v>886264</v>
      </c>
      <c r="BV192" s="230">
        <v>4019</v>
      </c>
      <c r="BW192" s="229">
        <v>4.4999999999999997E-3</v>
      </c>
      <c r="BX192" s="230">
        <v>10980800</v>
      </c>
      <c r="BY192" s="230">
        <v>11156800</v>
      </c>
      <c r="BZ192" s="230">
        <v>-176000</v>
      </c>
      <c r="CA192" s="229">
        <v>-1.5800000000000002E-2</v>
      </c>
      <c r="CB192" s="230">
        <v>10111200</v>
      </c>
      <c r="CC192" s="230">
        <v>10291200</v>
      </c>
      <c r="CD192" s="230">
        <v>-180000</v>
      </c>
      <c r="CE192" s="229">
        <v>-1.7500000000000002E-2</v>
      </c>
      <c r="CF192" s="230">
        <v>869600</v>
      </c>
      <c r="CG192" s="230">
        <v>865600</v>
      </c>
      <c r="CH192" s="230">
        <v>4000</v>
      </c>
      <c r="CI192" s="229">
        <v>4.5999999999999999E-3</v>
      </c>
      <c r="CJ192" s="228">
        <v>0</v>
      </c>
      <c r="CK192" s="228">
        <v>0</v>
      </c>
      <c r="CL192" s="228">
        <v>0</v>
      </c>
      <c r="CM192" s="229">
        <v>0</v>
      </c>
      <c r="CN192" s="230">
        <v>4575200</v>
      </c>
      <c r="CO192" s="230">
        <v>4409600</v>
      </c>
      <c r="CP192" s="230">
        <v>165600</v>
      </c>
      <c r="CQ192" s="229">
        <v>3.7600000000000001E-2</v>
      </c>
      <c r="CR192" s="230">
        <v>2544800</v>
      </c>
      <c r="CS192" s="230">
        <v>2529600</v>
      </c>
      <c r="CT192" s="230">
        <v>15200</v>
      </c>
      <c r="CU192" s="229">
        <v>6.0000000000000001E-3</v>
      </c>
      <c r="CV192" s="230">
        <v>18100800</v>
      </c>
      <c r="CW192" s="230">
        <v>18096000</v>
      </c>
      <c r="CX192" s="230">
        <v>4800</v>
      </c>
      <c r="CY192" s="229">
        <v>2.9999999999999997E-4</v>
      </c>
      <c r="CZ192" s="228">
        <v>34.82</v>
      </c>
      <c r="DA192" s="228">
        <v>34.479999999999997</v>
      </c>
      <c r="DB192" s="228">
        <v>0.34</v>
      </c>
      <c r="DC192" s="228">
        <v>0.34</v>
      </c>
      <c r="DD192" s="228">
        <v>30.65</v>
      </c>
      <c r="DE192" s="228">
        <v>30.72</v>
      </c>
      <c r="DF192" s="228">
        <v>4.17</v>
      </c>
      <c r="DG192" s="228">
        <v>-7.0000000000000007E-2</v>
      </c>
      <c r="DH192" s="228">
        <v>35.1</v>
      </c>
      <c r="DI192" s="228">
        <v>34.29</v>
      </c>
      <c r="DJ192" s="228">
        <v>0.81</v>
      </c>
      <c r="DK192" s="228">
        <v>0.81</v>
      </c>
      <c r="DL192" s="228">
        <v>33.950000000000003</v>
      </c>
      <c r="DM192" s="228">
        <v>34.97</v>
      </c>
      <c r="DN192" s="228">
        <v>-1.02</v>
      </c>
      <c r="DO192" s="228">
        <v>-1.02</v>
      </c>
      <c r="DP192" s="228">
        <v>0.56000000000000005</v>
      </c>
      <c r="DQ192" s="228">
        <v>0.56999999999999995</v>
      </c>
      <c r="DR192" s="228">
        <v>-0.01</v>
      </c>
      <c r="DS192" s="229">
        <v>-1.7500000000000002E-2</v>
      </c>
      <c r="DT192" s="228">
        <v>700</v>
      </c>
      <c r="DU192" s="228">
        <v>600</v>
      </c>
      <c r="DV192" s="228">
        <v>0.32</v>
      </c>
      <c r="DW192" s="228">
        <v>0.39</v>
      </c>
      <c r="DX192" s="228">
        <v>-7.0000000000000007E-2</v>
      </c>
      <c r="DY192" s="229">
        <v>-0.17949999999999999</v>
      </c>
      <c r="DZ192" s="229">
        <v>7.9200000000000007E-2</v>
      </c>
      <c r="EA192" s="230">
        <v>865600</v>
      </c>
      <c r="EB192" s="229">
        <v>4.1000000000000003E-3</v>
      </c>
      <c r="EC192" s="229">
        <v>7.9200000000000007E-2</v>
      </c>
      <c r="ED192" s="228">
        <v>2.09</v>
      </c>
      <c r="EE192" s="229">
        <v>3.8E-3</v>
      </c>
      <c r="EF192" s="230">
        <v>368097</v>
      </c>
      <c r="EG192" s="230">
        <v>483210</v>
      </c>
      <c r="EH192" s="229">
        <v>-0.2382</v>
      </c>
      <c r="EI192" s="229">
        <v>0.41349999999999998</v>
      </c>
      <c r="EJ192" s="231">
        <v>13230.73</v>
      </c>
      <c r="EK192" s="231">
        <v>4074.31</v>
      </c>
      <c r="EL192" s="231">
        <v>5935.37</v>
      </c>
      <c r="EM192" s="231">
        <v>1525</v>
      </c>
      <c r="EN192" s="231">
        <v>23240.41</v>
      </c>
      <c r="EO192" s="231">
        <v>15549.85</v>
      </c>
      <c r="EP192" s="231">
        <v>7690.56</v>
      </c>
      <c r="EQ192" s="229">
        <v>0.49459999999999998</v>
      </c>
      <c r="ER192" s="231">
        <v>28941</v>
      </c>
      <c r="ES192" s="231">
        <v>15158</v>
      </c>
      <c r="ET192" s="231">
        <v>60887</v>
      </c>
      <c r="EU192" s="231">
        <v>25116370</v>
      </c>
      <c r="EV192" s="231">
        <v>104985</v>
      </c>
      <c r="EW192" s="231">
        <v>105427</v>
      </c>
      <c r="EX192" s="228">
        <v>-442</v>
      </c>
      <c r="EY192" s="229">
        <v>-4.1999999999999997E-3</v>
      </c>
      <c r="EZ192" s="229">
        <v>0.72070000000000001</v>
      </c>
      <c r="FA192" s="227" t="s">
        <v>568</v>
      </c>
      <c r="FB192" s="161">
        <f t="shared" si="4"/>
        <v>0</v>
      </c>
    </row>
    <row r="193" spans="1:158" ht="17.25" thickBot="1" x14ac:dyDescent="0.3">
      <c r="A193" s="226">
        <v>46093</v>
      </c>
      <c r="B193" s="227" t="s">
        <v>221</v>
      </c>
      <c r="C193" s="227" t="s">
        <v>295</v>
      </c>
      <c r="D193" s="228">
        <v>175</v>
      </c>
      <c r="E193" s="231">
        <v>2453</v>
      </c>
      <c r="F193" s="231">
        <v>2470.3000000000002</v>
      </c>
      <c r="G193" s="228">
        <v>-17.3</v>
      </c>
      <c r="H193" s="229">
        <v>-7.0000000000000001E-3</v>
      </c>
      <c r="I193" s="231">
        <v>2442.4</v>
      </c>
      <c r="J193" s="231">
        <v>2464.9</v>
      </c>
      <c r="K193" s="228">
        <v>-22.5</v>
      </c>
      <c r="L193" s="229">
        <v>-9.1000000000000004E-3</v>
      </c>
      <c r="M193" s="231">
        <v>2453</v>
      </c>
      <c r="N193" s="231">
        <v>2470.3000000000002</v>
      </c>
      <c r="O193" s="228">
        <v>-17.3</v>
      </c>
      <c r="P193" s="229">
        <v>-7.0000000000000001E-3</v>
      </c>
      <c r="Q193" s="231">
        <v>2466.6999999999998</v>
      </c>
      <c r="R193" s="231">
        <v>2487.3000000000002</v>
      </c>
      <c r="S193" s="228">
        <v>-20.6</v>
      </c>
      <c r="T193" s="229">
        <v>-8.3000000000000001E-3</v>
      </c>
      <c r="U193" s="231">
        <v>2473.9</v>
      </c>
      <c r="V193" s="231">
        <v>2493.6</v>
      </c>
      <c r="W193" s="228">
        <v>-19.7</v>
      </c>
      <c r="X193" s="229">
        <v>-7.9000000000000008E-3</v>
      </c>
      <c r="Y193" s="228">
        <v>10.6</v>
      </c>
      <c r="Z193" s="228">
        <v>5.4</v>
      </c>
      <c r="AA193" s="228">
        <v>5.2</v>
      </c>
      <c r="AB193" s="229">
        <v>4.3E-3</v>
      </c>
      <c r="AC193" s="228">
        <v>10.6</v>
      </c>
      <c r="AD193" s="228">
        <v>5.4</v>
      </c>
      <c r="AE193" s="228">
        <v>5.2</v>
      </c>
      <c r="AF193" s="229">
        <v>4.3E-3</v>
      </c>
      <c r="AG193" s="228">
        <v>24.3</v>
      </c>
      <c r="AH193" s="228">
        <v>22.4</v>
      </c>
      <c r="AI193" s="228">
        <v>1.9</v>
      </c>
      <c r="AJ193" s="229">
        <v>9.9000000000000008E-3</v>
      </c>
      <c r="AK193" s="228">
        <v>31.5</v>
      </c>
      <c r="AL193" s="228">
        <v>28.7</v>
      </c>
      <c r="AM193" s="228">
        <v>2.8</v>
      </c>
      <c r="AN193" s="229">
        <v>1.29E-2</v>
      </c>
      <c r="AO193" s="231">
        <v>2458.7800000000002</v>
      </c>
      <c r="AP193" s="231">
        <v>2472.33</v>
      </c>
      <c r="AQ193" s="228">
        <v>0</v>
      </c>
      <c r="AR193" s="230">
        <v>3219650</v>
      </c>
      <c r="AS193" s="230">
        <v>4829300</v>
      </c>
      <c r="AT193" s="230">
        <v>-1609650</v>
      </c>
      <c r="AU193" s="229">
        <v>-0.33329999999999999</v>
      </c>
      <c r="AV193" s="230">
        <v>2754325</v>
      </c>
      <c r="AW193" s="230">
        <v>2365300</v>
      </c>
      <c r="AX193" s="230">
        <v>389025</v>
      </c>
      <c r="AY193" s="229">
        <v>0.16450000000000001</v>
      </c>
      <c r="AZ193" s="230">
        <v>317800</v>
      </c>
      <c r="BA193" s="230">
        <v>2057475</v>
      </c>
      <c r="BB193" s="230">
        <v>-1739675</v>
      </c>
      <c r="BC193" s="229">
        <v>-0.84550000000000003</v>
      </c>
      <c r="BD193" s="230">
        <v>147525</v>
      </c>
      <c r="BE193" s="230">
        <v>406525</v>
      </c>
      <c r="BF193" s="230">
        <v>-259000</v>
      </c>
      <c r="BG193" s="229">
        <v>-0.6371</v>
      </c>
      <c r="BH193" s="230">
        <v>13169625</v>
      </c>
      <c r="BI193" s="230">
        <v>12294800</v>
      </c>
      <c r="BJ193" s="230">
        <v>874825</v>
      </c>
      <c r="BK193" s="229">
        <v>7.1199999999999999E-2</v>
      </c>
      <c r="BL193" s="230">
        <v>7281400</v>
      </c>
      <c r="BM193" s="230">
        <v>7096425</v>
      </c>
      <c r="BN193" s="230">
        <v>184975</v>
      </c>
      <c r="BO193" s="229">
        <v>2.6100000000000002E-2</v>
      </c>
      <c r="BP193" s="230">
        <v>23670675</v>
      </c>
      <c r="BQ193" s="230">
        <v>24220525</v>
      </c>
      <c r="BR193" s="230">
        <v>-549850</v>
      </c>
      <c r="BS193" s="229">
        <v>-2.2700000000000001E-2</v>
      </c>
      <c r="BT193" s="230">
        <v>3078779</v>
      </c>
      <c r="BU193" s="230">
        <v>2916747</v>
      </c>
      <c r="BV193" s="230">
        <v>162032</v>
      </c>
      <c r="BW193" s="229">
        <v>5.5599999999999997E-2</v>
      </c>
      <c r="BX193" s="230">
        <v>31884475</v>
      </c>
      <c r="BY193" s="230">
        <v>31613750</v>
      </c>
      <c r="BZ193" s="230">
        <v>270725</v>
      </c>
      <c r="CA193" s="229">
        <v>8.6E-3</v>
      </c>
      <c r="CB193" s="230">
        <v>26867575</v>
      </c>
      <c r="CC193" s="230">
        <v>26677525</v>
      </c>
      <c r="CD193" s="230">
        <v>190050</v>
      </c>
      <c r="CE193" s="229">
        <v>7.1000000000000004E-3</v>
      </c>
      <c r="CF193" s="230">
        <v>3344425</v>
      </c>
      <c r="CG193" s="230">
        <v>3292800</v>
      </c>
      <c r="CH193" s="230">
        <v>51625</v>
      </c>
      <c r="CI193" s="229">
        <v>1.5699999999999999E-2</v>
      </c>
      <c r="CJ193" s="230">
        <v>1672475</v>
      </c>
      <c r="CK193" s="230">
        <v>1643425</v>
      </c>
      <c r="CL193" s="230">
        <v>29050</v>
      </c>
      <c r="CM193" s="229">
        <v>1.77E-2</v>
      </c>
      <c r="CN193" s="230">
        <v>17724350</v>
      </c>
      <c r="CO193" s="230">
        <v>17088575</v>
      </c>
      <c r="CP193" s="230">
        <v>635775</v>
      </c>
      <c r="CQ193" s="229">
        <v>3.7199999999999997E-2</v>
      </c>
      <c r="CR193" s="230">
        <v>9928450</v>
      </c>
      <c r="CS193" s="230">
        <v>9889775</v>
      </c>
      <c r="CT193" s="230">
        <v>38675</v>
      </c>
      <c r="CU193" s="229">
        <v>3.8999999999999998E-3</v>
      </c>
      <c r="CV193" s="230">
        <v>59537275</v>
      </c>
      <c r="CW193" s="230">
        <v>58592100</v>
      </c>
      <c r="CX193" s="230">
        <v>945175</v>
      </c>
      <c r="CY193" s="229">
        <v>1.61E-2</v>
      </c>
      <c r="CZ193" s="228">
        <v>31.05</v>
      </c>
      <c r="DA193" s="228">
        <v>31.95</v>
      </c>
      <c r="DB193" s="228">
        <v>-0.9</v>
      </c>
      <c r="DC193" s="228">
        <v>-0.9</v>
      </c>
      <c r="DD193" s="228">
        <v>26.65</v>
      </c>
      <c r="DE193" s="228">
        <v>26.69</v>
      </c>
      <c r="DF193" s="228">
        <v>4.4000000000000004</v>
      </c>
      <c r="DG193" s="228">
        <v>-0.04</v>
      </c>
      <c r="DH193" s="228">
        <v>30.77</v>
      </c>
      <c r="DI193" s="228">
        <v>31.55</v>
      </c>
      <c r="DJ193" s="228">
        <v>-0.78</v>
      </c>
      <c r="DK193" s="228">
        <v>-0.78</v>
      </c>
      <c r="DL193" s="228">
        <v>31.56</v>
      </c>
      <c r="DM193" s="228">
        <v>32.630000000000003</v>
      </c>
      <c r="DN193" s="228">
        <v>-1.07</v>
      </c>
      <c r="DO193" s="228">
        <v>-1.07</v>
      </c>
      <c r="DP193" s="228">
        <v>0.56000000000000005</v>
      </c>
      <c r="DQ193" s="228">
        <v>0.57999999999999996</v>
      </c>
      <c r="DR193" s="228">
        <v>-0.02</v>
      </c>
      <c r="DS193" s="229">
        <v>-3.4500000000000003E-2</v>
      </c>
      <c r="DT193" s="231">
        <v>2700</v>
      </c>
      <c r="DU193" s="231">
        <v>2600</v>
      </c>
      <c r="DV193" s="228">
        <v>0.55000000000000004</v>
      </c>
      <c r="DW193" s="228">
        <v>0.57999999999999996</v>
      </c>
      <c r="DX193" s="228">
        <v>-0.03</v>
      </c>
      <c r="DY193" s="229">
        <v>-5.1700000000000003E-2</v>
      </c>
      <c r="DZ193" s="229">
        <v>0.1573</v>
      </c>
      <c r="EA193" s="230">
        <v>4936225</v>
      </c>
      <c r="EB193" s="229">
        <v>5.5999999999999999E-3</v>
      </c>
      <c r="EC193" s="229">
        <v>0.1573</v>
      </c>
      <c r="ED193" s="228">
        <v>13.55</v>
      </c>
      <c r="EE193" s="229">
        <v>5.4999999999999997E-3</v>
      </c>
      <c r="EF193" s="230">
        <v>1422196</v>
      </c>
      <c r="EG193" s="230">
        <v>1528873</v>
      </c>
      <c r="EH193" s="229">
        <v>-6.9800000000000001E-2</v>
      </c>
      <c r="EI193" s="229">
        <v>0.46189999999999998</v>
      </c>
      <c r="EJ193" s="231">
        <v>346180.24</v>
      </c>
      <c r="EK193" s="231">
        <v>180185.60000000001</v>
      </c>
      <c r="EL193" s="231">
        <v>79238.720000000001</v>
      </c>
      <c r="EM193" s="231">
        <v>25506</v>
      </c>
      <c r="EN193" s="231">
        <v>605604.56000000006</v>
      </c>
      <c r="EO193" s="231">
        <v>626155.57999999996</v>
      </c>
      <c r="EP193" s="231">
        <v>-20551.02</v>
      </c>
      <c r="EQ193" s="229">
        <v>-3.2800000000000003E-2</v>
      </c>
      <c r="ER193" s="231">
        <v>491295</v>
      </c>
      <c r="ES193" s="231">
        <v>264638</v>
      </c>
      <c r="ET193" s="231">
        <v>782934</v>
      </c>
      <c r="EU193" s="231">
        <v>126444612</v>
      </c>
      <c r="EV193" s="231">
        <v>1538867</v>
      </c>
      <c r="EW193" s="231">
        <v>1522165</v>
      </c>
      <c r="EX193" s="231">
        <v>16702</v>
      </c>
      <c r="EY193" s="229">
        <v>1.0999999999999999E-2</v>
      </c>
      <c r="EZ193" s="229">
        <v>0.47089999999999999</v>
      </c>
      <c r="FA193" s="227" t="s">
        <v>567</v>
      </c>
      <c r="FB193" s="161">
        <f t="shared" si="4"/>
        <v>0</v>
      </c>
    </row>
    <row r="194" spans="1:158" ht="17.25" thickBot="1" x14ac:dyDescent="0.3">
      <c r="A194" s="226">
        <v>46093</v>
      </c>
      <c r="B194" s="227" t="s">
        <v>221</v>
      </c>
      <c r="C194" s="227" t="s">
        <v>296</v>
      </c>
      <c r="D194" s="228">
        <v>600</v>
      </c>
      <c r="E194" s="231">
        <v>1351.3</v>
      </c>
      <c r="F194" s="231">
        <v>1335.6</v>
      </c>
      <c r="G194" s="228">
        <v>15.7</v>
      </c>
      <c r="H194" s="229">
        <v>1.18E-2</v>
      </c>
      <c r="I194" s="231">
        <v>1349.8</v>
      </c>
      <c r="J194" s="231">
        <v>1334.4</v>
      </c>
      <c r="K194" s="228">
        <v>15.4</v>
      </c>
      <c r="L194" s="229">
        <v>1.15E-2</v>
      </c>
      <c r="M194" s="231">
        <v>1351.3</v>
      </c>
      <c r="N194" s="231">
        <v>1335.6</v>
      </c>
      <c r="O194" s="228">
        <v>15.7</v>
      </c>
      <c r="P194" s="229">
        <v>1.18E-2</v>
      </c>
      <c r="Q194" s="231">
        <v>1359.4</v>
      </c>
      <c r="R194" s="231">
        <v>1343.6</v>
      </c>
      <c r="S194" s="228">
        <v>15.8</v>
      </c>
      <c r="T194" s="229">
        <v>1.18E-2</v>
      </c>
      <c r="U194" s="231">
        <v>1365.2</v>
      </c>
      <c r="V194" s="231">
        <v>1350.8</v>
      </c>
      <c r="W194" s="228">
        <v>14.4</v>
      </c>
      <c r="X194" s="229">
        <v>1.0699999999999999E-2</v>
      </c>
      <c r="Y194" s="228">
        <v>1.5</v>
      </c>
      <c r="Z194" s="228">
        <v>1.2</v>
      </c>
      <c r="AA194" s="228">
        <v>0.3</v>
      </c>
      <c r="AB194" s="229">
        <v>1.1000000000000001E-3</v>
      </c>
      <c r="AC194" s="228">
        <v>1.5</v>
      </c>
      <c r="AD194" s="228">
        <v>1.2</v>
      </c>
      <c r="AE194" s="228">
        <v>0.3</v>
      </c>
      <c r="AF194" s="229">
        <v>1.1000000000000001E-3</v>
      </c>
      <c r="AG194" s="228">
        <v>9.6</v>
      </c>
      <c r="AH194" s="228">
        <v>9.1999999999999993</v>
      </c>
      <c r="AI194" s="228">
        <v>0.4</v>
      </c>
      <c r="AJ194" s="229">
        <v>7.1000000000000004E-3</v>
      </c>
      <c r="AK194" s="228">
        <v>15.4</v>
      </c>
      <c r="AL194" s="228">
        <v>16.399999999999999</v>
      </c>
      <c r="AM194" s="228">
        <v>-1</v>
      </c>
      <c r="AN194" s="229">
        <v>1.14E-2</v>
      </c>
      <c r="AO194" s="231">
        <v>1347.54</v>
      </c>
      <c r="AP194" s="231">
        <v>1354.5</v>
      </c>
      <c r="AQ194" s="228">
        <v>0</v>
      </c>
      <c r="AR194" s="230">
        <v>3255000</v>
      </c>
      <c r="AS194" s="230">
        <v>2787600</v>
      </c>
      <c r="AT194" s="230">
        <v>467400</v>
      </c>
      <c r="AU194" s="229">
        <v>0.16769999999999999</v>
      </c>
      <c r="AV194" s="230">
        <v>3105600</v>
      </c>
      <c r="AW194" s="230">
        <v>2617200</v>
      </c>
      <c r="AX194" s="230">
        <v>488400</v>
      </c>
      <c r="AY194" s="229">
        <v>0.18659999999999999</v>
      </c>
      <c r="AZ194" s="230">
        <v>137400</v>
      </c>
      <c r="BA194" s="230">
        <v>148200</v>
      </c>
      <c r="BB194" s="230">
        <v>-10800</v>
      </c>
      <c r="BC194" s="229">
        <v>-7.2900000000000006E-2</v>
      </c>
      <c r="BD194" s="230">
        <v>12000</v>
      </c>
      <c r="BE194" s="230">
        <v>22200</v>
      </c>
      <c r="BF194" s="230">
        <v>-10200</v>
      </c>
      <c r="BG194" s="229">
        <v>-0.45950000000000002</v>
      </c>
      <c r="BH194" s="230">
        <v>10909800</v>
      </c>
      <c r="BI194" s="230">
        <v>7506000</v>
      </c>
      <c r="BJ194" s="230">
        <v>3403800</v>
      </c>
      <c r="BK194" s="229">
        <v>0.45350000000000001</v>
      </c>
      <c r="BL194" s="230">
        <v>3799800</v>
      </c>
      <c r="BM194" s="230">
        <v>3810000</v>
      </c>
      <c r="BN194" s="230">
        <v>-10200</v>
      </c>
      <c r="BO194" s="229">
        <v>-2.7000000000000001E-3</v>
      </c>
      <c r="BP194" s="230">
        <v>17964600</v>
      </c>
      <c r="BQ194" s="230">
        <v>14103600</v>
      </c>
      <c r="BR194" s="230">
        <v>3861000</v>
      </c>
      <c r="BS194" s="229">
        <v>0.27379999999999999</v>
      </c>
      <c r="BT194" s="230">
        <v>3130818</v>
      </c>
      <c r="BU194" s="230">
        <v>1533892</v>
      </c>
      <c r="BV194" s="230">
        <v>1596926</v>
      </c>
      <c r="BW194" s="229">
        <v>1.0410999999999999</v>
      </c>
      <c r="BX194" s="230">
        <v>18742200</v>
      </c>
      <c r="BY194" s="230">
        <v>19181400</v>
      </c>
      <c r="BZ194" s="230">
        <v>-439200</v>
      </c>
      <c r="CA194" s="229">
        <v>-2.29E-2</v>
      </c>
      <c r="CB194" s="230">
        <v>18334200</v>
      </c>
      <c r="CC194" s="230">
        <v>18805200</v>
      </c>
      <c r="CD194" s="230">
        <v>-471000</v>
      </c>
      <c r="CE194" s="229">
        <v>-2.5000000000000001E-2</v>
      </c>
      <c r="CF194" s="230">
        <v>375000</v>
      </c>
      <c r="CG194" s="230">
        <v>346200</v>
      </c>
      <c r="CH194" s="230">
        <v>28800</v>
      </c>
      <c r="CI194" s="229">
        <v>8.3199999999999996E-2</v>
      </c>
      <c r="CJ194" s="230">
        <v>33000</v>
      </c>
      <c r="CK194" s="230">
        <v>30000</v>
      </c>
      <c r="CL194" s="230">
        <v>3000</v>
      </c>
      <c r="CM194" s="229">
        <v>0.1</v>
      </c>
      <c r="CN194" s="230">
        <v>9586800</v>
      </c>
      <c r="CO194" s="230">
        <v>8833200</v>
      </c>
      <c r="CP194" s="230">
        <v>753600</v>
      </c>
      <c r="CQ194" s="229">
        <v>8.5300000000000001E-2</v>
      </c>
      <c r="CR194" s="230">
        <v>5676600</v>
      </c>
      <c r="CS194" s="230">
        <v>5622600</v>
      </c>
      <c r="CT194" s="230">
        <v>54000</v>
      </c>
      <c r="CU194" s="229">
        <v>9.5999999999999992E-3</v>
      </c>
      <c r="CV194" s="230">
        <v>34005600</v>
      </c>
      <c r="CW194" s="230">
        <v>33637200</v>
      </c>
      <c r="CX194" s="230">
        <v>368400</v>
      </c>
      <c r="CY194" s="229">
        <v>1.0999999999999999E-2</v>
      </c>
      <c r="CZ194" s="228">
        <v>32.49</v>
      </c>
      <c r="DA194" s="228">
        <v>32.590000000000003</v>
      </c>
      <c r="DB194" s="228">
        <v>-0.1</v>
      </c>
      <c r="DC194" s="228">
        <v>-0.1</v>
      </c>
      <c r="DD194" s="228">
        <v>30.67</v>
      </c>
      <c r="DE194" s="228">
        <v>30.7</v>
      </c>
      <c r="DF194" s="228">
        <v>1.82</v>
      </c>
      <c r="DG194" s="228">
        <v>-0.03</v>
      </c>
      <c r="DH194" s="228">
        <v>31.86</v>
      </c>
      <c r="DI194" s="228">
        <v>31.34</v>
      </c>
      <c r="DJ194" s="228">
        <v>0.52</v>
      </c>
      <c r="DK194" s="228">
        <v>0.52</v>
      </c>
      <c r="DL194" s="228">
        <v>34.29</v>
      </c>
      <c r="DM194" s="228">
        <v>35.04</v>
      </c>
      <c r="DN194" s="228">
        <v>-0.75</v>
      </c>
      <c r="DO194" s="228">
        <v>-0.75</v>
      </c>
      <c r="DP194" s="228">
        <v>0.59</v>
      </c>
      <c r="DQ194" s="228">
        <v>0.64</v>
      </c>
      <c r="DR194" s="228">
        <v>-0.05</v>
      </c>
      <c r="DS194" s="229">
        <v>-7.8100000000000003E-2</v>
      </c>
      <c r="DT194" s="231">
        <v>1440</v>
      </c>
      <c r="DU194" s="231">
        <v>1340</v>
      </c>
      <c r="DV194" s="228">
        <v>0.35</v>
      </c>
      <c r="DW194" s="228">
        <v>0.51</v>
      </c>
      <c r="DX194" s="228">
        <v>-0.16</v>
      </c>
      <c r="DY194" s="229">
        <v>-0.31369999999999998</v>
      </c>
      <c r="DZ194" s="229">
        <v>2.18E-2</v>
      </c>
      <c r="EA194" s="230">
        <v>376200</v>
      </c>
      <c r="EB194" s="229">
        <v>6.0000000000000001E-3</v>
      </c>
      <c r="EC194" s="229">
        <v>2.18E-2</v>
      </c>
      <c r="ED194" s="228">
        <v>6.96</v>
      </c>
      <c r="EE194" s="229">
        <v>5.1999999999999998E-3</v>
      </c>
      <c r="EF194" s="230">
        <v>1894613</v>
      </c>
      <c r="EG194" s="230">
        <v>864338</v>
      </c>
      <c r="EH194" s="229">
        <v>1.1919999999999999</v>
      </c>
      <c r="EI194" s="229">
        <v>0.60509999999999997</v>
      </c>
      <c r="EJ194" s="231">
        <v>154754.96</v>
      </c>
      <c r="EK194" s="231">
        <v>50769.81</v>
      </c>
      <c r="EL194" s="231">
        <v>43873.35</v>
      </c>
      <c r="EM194" s="231">
        <v>3707</v>
      </c>
      <c r="EN194" s="231">
        <v>249398.12</v>
      </c>
      <c r="EO194" s="231">
        <v>195176.3</v>
      </c>
      <c r="EP194" s="231">
        <v>54221.82</v>
      </c>
      <c r="EQ194" s="229">
        <v>0.27779999999999999</v>
      </c>
      <c r="ER194" s="231">
        <v>140271</v>
      </c>
      <c r="ES194" s="231">
        <v>77176</v>
      </c>
      <c r="ET194" s="231">
        <v>253298</v>
      </c>
      <c r="EU194" s="231">
        <v>80031540</v>
      </c>
      <c r="EV194" s="231">
        <v>470745</v>
      </c>
      <c r="EW194" s="231">
        <v>463001</v>
      </c>
      <c r="EX194" s="231">
        <v>7744</v>
      </c>
      <c r="EY194" s="229">
        <v>1.67E-2</v>
      </c>
      <c r="EZ194" s="229">
        <v>0.4249</v>
      </c>
      <c r="FA194" s="227" t="s">
        <v>556</v>
      </c>
      <c r="FB194" s="161">
        <f t="shared" si="4"/>
        <v>0</v>
      </c>
    </row>
    <row r="195" spans="1:158" ht="17.25" thickBot="1" x14ac:dyDescent="0.3">
      <c r="A195" s="226">
        <v>46093</v>
      </c>
      <c r="B195" s="227" t="s">
        <v>184</v>
      </c>
      <c r="C195" s="227" t="s">
        <v>595</v>
      </c>
      <c r="D195" s="228">
        <v>200</v>
      </c>
      <c r="E195" s="231">
        <v>2550.1999999999998</v>
      </c>
      <c r="F195" s="231">
        <v>2568.6</v>
      </c>
      <c r="G195" s="228">
        <v>-18.399999999999999</v>
      </c>
      <c r="H195" s="229">
        <v>-7.1999999999999998E-3</v>
      </c>
      <c r="I195" s="231">
        <v>2549.6999999999998</v>
      </c>
      <c r="J195" s="231">
        <v>2566</v>
      </c>
      <c r="K195" s="228">
        <v>-16.3</v>
      </c>
      <c r="L195" s="229">
        <v>-6.4000000000000003E-3</v>
      </c>
      <c r="M195" s="231">
        <v>2550.1999999999998</v>
      </c>
      <c r="N195" s="231">
        <v>2568.6</v>
      </c>
      <c r="O195" s="228">
        <v>-18.399999999999999</v>
      </c>
      <c r="P195" s="229">
        <v>-7.1999999999999998E-3</v>
      </c>
      <c r="Q195" s="231">
        <v>2547</v>
      </c>
      <c r="R195" s="231">
        <v>2571.6999999999998</v>
      </c>
      <c r="S195" s="228">
        <v>-24.7</v>
      </c>
      <c r="T195" s="229">
        <v>-9.5999999999999992E-3</v>
      </c>
      <c r="U195" s="231">
        <v>2553.1999999999998</v>
      </c>
      <c r="V195" s="231">
        <v>2575</v>
      </c>
      <c r="W195" s="228">
        <v>-21.8</v>
      </c>
      <c r="X195" s="229">
        <v>-8.5000000000000006E-3</v>
      </c>
      <c r="Y195" s="228">
        <v>0.5</v>
      </c>
      <c r="Z195" s="228">
        <v>2.6</v>
      </c>
      <c r="AA195" s="228">
        <v>-2.1</v>
      </c>
      <c r="AB195" s="229">
        <v>2.0000000000000001E-4</v>
      </c>
      <c r="AC195" s="228">
        <v>0.5</v>
      </c>
      <c r="AD195" s="228">
        <v>2.6</v>
      </c>
      <c r="AE195" s="228">
        <v>-2.1</v>
      </c>
      <c r="AF195" s="229">
        <v>2.0000000000000001E-4</v>
      </c>
      <c r="AG195" s="228">
        <v>-2.7</v>
      </c>
      <c r="AH195" s="228">
        <v>5.7</v>
      </c>
      <c r="AI195" s="228">
        <v>-8.4</v>
      </c>
      <c r="AJ195" s="229">
        <v>-1.1000000000000001E-3</v>
      </c>
      <c r="AK195" s="228">
        <v>3.5</v>
      </c>
      <c r="AL195" s="228">
        <v>9</v>
      </c>
      <c r="AM195" s="228">
        <v>-5.5</v>
      </c>
      <c r="AN195" s="229">
        <v>1.4E-3</v>
      </c>
      <c r="AO195" s="231">
        <v>2534.27</v>
      </c>
      <c r="AP195" s="231">
        <v>2528.6999999999998</v>
      </c>
      <c r="AQ195" s="228">
        <v>0</v>
      </c>
      <c r="AR195" s="230">
        <v>419800</v>
      </c>
      <c r="AS195" s="230">
        <v>396600</v>
      </c>
      <c r="AT195" s="230">
        <v>23200</v>
      </c>
      <c r="AU195" s="229">
        <v>5.8500000000000003E-2</v>
      </c>
      <c r="AV195" s="230">
        <v>389600</v>
      </c>
      <c r="AW195" s="230">
        <v>380200</v>
      </c>
      <c r="AX195" s="230">
        <v>9400</v>
      </c>
      <c r="AY195" s="229">
        <v>2.47E-2</v>
      </c>
      <c r="AZ195" s="230">
        <v>28400</v>
      </c>
      <c r="BA195" s="230">
        <v>14200</v>
      </c>
      <c r="BB195" s="230">
        <v>14200</v>
      </c>
      <c r="BC195" s="229">
        <v>1</v>
      </c>
      <c r="BD195" s="230">
        <v>1800</v>
      </c>
      <c r="BE195" s="230">
        <v>2200</v>
      </c>
      <c r="BF195" s="228">
        <v>-400</v>
      </c>
      <c r="BG195" s="229">
        <v>-0.18179999999999999</v>
      </c>
      <c r="BH195" s="230">
        <v>304200</v>
      </c>
      <c r="BI195" s="230">
        <v>665400</v>
      </c>
      <c r="BJ195" s="230">
        <v>-361200</v>
      </c>
      <c r="BK195" s="229">
        <v>-0.54279999999999995</v>
      </c>
      <c r="BL195" s="230">
        <v>408800</v>
      </c>
      <c r="BM195" s="230">
        <v>321000</v>
      </c>
      <c r="BN195" s="230">
        <v>87800</v>
      </c>
      <c r="BO195" s="229">
        <v>0.27350000000000002</v>
      </c>
      <c r="BP195" s="230">
        <v>1132800</v>
      </c>
      <c r="BQ195" s="230">
        <v>1383000</v>
      </c>
      <c r="BR195" s="230">
        <v>-250200</v>
      </c>
      <c r="BS195" s="229">
        <v>-0.18090000000000001</v>
      </c>
      <c r="BT195" s="230">
        <v>268740</v>
      </c>
      <c r="BU195" s="230">
        <v>303295</v>
      </c>
      <c r="BV195" s="230">
        <v>-34555</v>
      </c>
      <c r="BW195" s="229">
        <v>-0.1139</v>
      </c>
      <c r="BX195" s="230">
        <v>3124400</v>
      </c>
      <c r="BY195" s="230">
        <v>3142400</v>
      </c>
      <c r="BZ195" s="230">
        <v>-18000</v>
      </c>
      <c r="CA195" s="229">
        <v>-5.7000000000000002E-3</v>
      </c>
      <c r="CB195" s="230">
        <v>3021200</v>
      </c>
      <c r="CC195" s="230">
        <v>3046600</v>
      </c>
      <c r="CD195" s="230">
        <v>-25400</v>
      </c>
      <c r="CE195" s="229">
        <v>-8.3000000000000001E-3</v>
      </c>
      <c r="CF195" s="230">
        <v>92000</v>
      </c>
      <c r="CG195" s="230">
        <v>84600</v>
      </c>
      <c r="CH195" s="230">
        <v>7400</v>
      </c>
      <c r="CI195" s="229">
        <v>8.7499999999999994E-2</v>
      </c>
      <c r="CJ195" s="230">
        <v>11200</v>
      </c>
      <c r="CK195" s="230">
        <v>11200</v>
      </c>
      <c r="CL195" s="228">
        <v>0</v>
      </c>
      <c r="CM195" s="229">
        <v>0</v>
      </c>
      <c r="CN195" s="230">
        <v>626400</v>
      </c>
      <c r="CO195" s="230">
        <v>622600</v>
      </c>
      <c r="CP195" s="230">
        <v>3800</v>
      </c>
      <c r="CQ195" s="229">
        <v>6.1000000000000004E-3</v>
      </c>
      <c r="CR195" s="230">
        <v>462400</v>
      </c>
      <c r="CS195" s="230">
        <v>464600</v>
      </c>
      <c r="CT195" s="230">
        <v>-2200</v>
      </c>
      <c r="CU195" s="229">
        <v>-4.7000000000000002E-3</v>
      </c>
      <c r="CV195" s="230">
        <v>4213200</v>
      </c>
      <c r="CW195" s="230">
        <v>4229600</v>
      </c>
      <c r="CX195" s="230">
        <v>-16400</v>
      </c>
      <c r="CY195" s="229">
        <v>-3.8999999999999998E-3</v>
      </c>
      <c r="CZ195" s="228">
        <v>42.26</v>
      </c>
      <c r="DA195" s="228">
        <v>41.17</v>
      </c>
      <c r="DB195" s="228">
        <v>1.0900000000000001</v>
      </c>
      <c r="DC195" s="228">
        <v>1.0900000000000001</v>
      </c>
      <c r="DD195" s="228">
        <v>43.64</v>
      </c>
      <c r="DE195" s="228">
        <v>43.74</v>
      </c>
      <c r="DF195" s="228">
        <v>-1.38</v>
      </c>
      <c r="DG195" s="228">
        <v>-0.1</v>
      </c>
      <c r="DH195" s="228">
        <v>40.72</v>
      </c>
      <c r="DI195" s="228">
        <v>40.880000000000003</v>
      </c>
      <c r="DJ195" s="228">
        <v>-0.16</v>
      </c>
      <c r="DK195" s="228">
        <v>-0.16</v>
      </c>
      <c r="DL195" s="228">
        <v>43.4</v>
      </c>
      <c r="DM195" s="228">
        <v>41.76</v>
      </c>
      <c r="DN195" s="228">
        <v>1.64</v>
      </c>
      <c r="DO195" s="228">
        <v>1.64</v>
      </c>
      <c r="DP195" s="228">
        <v>0.74</v>
      </c>
      <c r="DQ195" s="228">
        <v>0.75</v>
      </c>
      <c r="DR195" s="228">
        <v>-0.01</v>
      </c>
      <c r="DS195" s="229">
        <v>-1.3299999999999999E-2</v>
      </c>
      <c r="DT195" s="231">
        <v>2800</v>
      </c>
      <c r="DU195" s="231">
        <v>2700</v>
      </c>
      <c r="DV195" s="228">
        <v>1.34</v>
      </c>
      <c r="DW195" s="228">
        <v>0.48</v>
      </c>
      <c r="DX195" s="228">
        <v>0.86</v>
      </c>
      <c r="DY195" s="229">
        <v>1.7917000000000001</v>
      </c>
      <c r="DZ195" s="229">
        <v>3.3000000000000002E-2</v>
      </c>
      <c r="EA195" s="230">
        <v>95800</v>
      </c>
      <c r="EB195" s="229">
        <v>-1.2999999999999999E-3</v>
      </c>
      <c r="EC195" s="229">
        <v>3.3000000000000002E-2</v>
      </c>
      <c r="ED195" s="228">
        <v>-5.57</v>
      </c>
      <c r="EE195" s="229">
        <v>-2.2000000000000001E-3</v>
      </c>
      <c r="EF195" s="230">
        <v>124754</v>
      </c>
      <c r="EG195" s="230">
        <v>190598</v>
      </c>
      <c r="EH195" s="229">
        <v>-0.34549999999999997</v>
      </c>
      <c r="EI195" s="229">
        <v>0.4642</v>
      </c>
      <c r="EJ195" s="231">
        <v>8477.5499999999993</v>
      </c>
      <c r="EK195" s="231">
        <v>10462.049999999999</v>
      </c>
      <c r="EL195" s="231">
        <v>10637.15</v>
      </c>
      <c r="EM195" s="231">
        <v>2502</v>
      </c>
      <c r="EN195" s="231">
        <v>29576.75</v>
      </c>
      <c r="EO195" s="231">
        <v>37573.15</v>
      </c>
      <c r="EP195" s="231">
        <v>-7996.4</v>
      </c>
      <c r="EQ195" s="229">
        <v>-0.21279999999999999</v>
      </c>
      <c r="ER195" s="231">
        <v>17520</v>
      </c>
      <c r="ES195" s="231">
        <v>11891</v>
      </c>
      <c r="ET195" s="231">
        <v>79676</v>
      </c>
      <c r="EU195" s="231">
        <v>15879795</v>
      </c>
      <c r="EV195" s="231">
        <v>109087</v>
      </c>
      <c r="EW195" s="231">
        <v>110126</v>
      </c>
      <c r="EX195" s="231">
        <v>-1039</v>
      </c>
      <c r="EY195" s="229">
        <v>-9.4000000000000004E-3</v>
      </c>
      <c r="EZ195" s="229">
        <v>0.26529999999999998</v>
      </c>
      <c r="FA195" s="227" t="s">
        <v>568</v>
      </c>
      <c r="FB195" s="161">
        <f t="shared" ref="FB195:FB258" si="5">BX259-CB259</f>
        <v>0</v>
      </c>
    </row>
    <row r="196" spans="1:158" ht="17.25" thickBot="1" x14ac:dyDescent="0.3">
      <c r="A196" s="226">
        <v>46093</v>
      </c>
      <c r="B196" s="227" t="s">
        <v>168</v>
      </c>
      <c r="C196" s="227" t="s">
        <v>297</v>
      </c>
      <c r="D196" s="228">
        <v>175</v>
      </c>
      <c r="E196" s="231">
        <v>4145.6000000000004</v>
      </c>
      <c r="F196" s="231">
        <v>4143.6000000000004</v>
      </c>
      <c r="G196" s="228">
        <v>2</v>
      </c>
      <c r="H196" s="229">
        <v>5.0000000000000001E-4</v>
      </c>
      <c r="I196" s="231">
        <v>4129.6000000000004</v>
      </c>
      <c r="J196" s="231">
        <v>4140.3</v>
      </c>
      <c r="K196" s="228">
        <v>-10.7</v>
      </c>
      <c r="L196" s="229">
        <v>-2.5999999999999999E-3</v>
      </c>
      <c r="M196" s="231">
        <v>4145.6000000000004</v>
      </c>
      <c r="N196" s="231">
        <v>4143.6000000000004</v>
      </c>
      <c r="O196" s="228">
        <v>2</v>
      </c>
      <c r="P196" s="229">
        <v>5.0000000000000001E-4</v>
      </c>
      <c r="Q196" s="231">
        <v>4166.8999999999996</v>
      </c>
      <c r="R196" s="231">
        <v>4169.8</v>
      </c>
      <c r="S196" s="228">
        <v>-2.9</v>
      </c>
      <c r="T196" s="229">
        <v>-6.9999999999999999E-4</v>
      </c>
      <c r="U196" s="231">
        <v>4182</v>
      </c>
      <c r="V196" s="231">
        <v>4190</v>
      </c>
      <c r="W196" s="228">
        <v>-8</v>
      </c>
      <c r="X196" s="229">
        <v>-1.9E-3</v>
      </c>
      <c r="Y196" s="228">
        <v>16</v>
      </c>
      <c r="Z196" s="228">
        <v>3.3</v>
      </c>
      <c r="AA196" s="228">
        <v>12.7</v>
      </c>
      <c r="AB196" s="229">
        <v>3.8999999999999998E-3</v>
      </c>
      <c r="AC196" s="228">
        <v>16</v>
      </c>
      <c r="AD196" s="228">
        <v>3.3</v>
      </c>
      <c r="AE196" s="228">
        <v>12.7</v>
      </c>
      <c r="AF196" s="229">
        <v>3.8999999999999998E-3</v>
      </c>
      <c r="AG196" s="228">
        <v>37.299999999999997</v>
      </c>
      <c r="AH196" s="228">
        <v>29.5</v>
      </c>
      <c r="AI196" s="228">
        <v>7.8</v>
      </c>
      <c r="AJ196" s="229">
        <v>8.9999999999999993E-3</v>
      </c>
      <c r="AK196" s="228">
        <v>52.4</v>
      </c>
      <c r="AL196" s="228">
        <v>49.7</v>
      </c>
      <c r="AM196" s="228">
        <v>2.7</v>
      </c>
      <c r="AN196" s="229">
        <v>1.2699999999999999E-2</v>
      </c>
      <c r="AO196" s="231">
        <v>4114.83</v>
      </c>
      <c r="AP196" s="231">
        <v>4131.74</v>
      </c>
      <c r="AQ196" s="228">
        <v>0</v>
      </c>
      <c r="AR196" s="230">
        <v>1240925</v>
      </c>
      <c r="AS196" s="230">
        <v>725375</v>
      </c>
      <c r="AT196" s="230">
        <v>515550</v>
      </c>
      <c r="AU196" s="229">
        <v>0.7107</v>
      </c>
      <c r="AV196" s="230">
        <v>1156750</v>
      </c>
      <c r="AW196" s="230">
        <v>683900</v>
      </c>
      <c r="AX196" s="230">
        <v>472850</v>
      </c>
      <c r="AY196" s="229">
        <v>0.69140000000000001</v>
      </c>
      <c r="AZ196" s="230">
        <v>79275</v>
      </c>
      <c r="BA196" s="230">
        <v>39025</v>
      </c>
      <c r="BB196" s="230">
        <v>40250</v>
      </c>
      <c r="BC196" s="229">
        <v>1.0314000000000001</v>
      </c>
      <c r="BD196" s="230">
        <v>4900</v>
      </c>
      <c r="BE196" s="230">
        <v>2450</v>
      </c>
      <c r="BF196" s="230">
        <v>2450</v>
      </c>
      <c r="BG196" s="229">
        <v>1</v>
      </c>
      <c r="BH196" s="230">
        <v>3922800</v>
      </c>
      <c r="BI196" s="230">
        <v>1647975</v>
      </c>
      <c r="BJ196" s="230">
        <v>2274825</v>
      </c>
      <c r="BK196" s="229">
        <v>1.3804000000000001</v>
      </c>
      <c r="BL196" s="230">
        <v>2486400</v>
      </c>
      <c r="BM196" s="230">
        <v>1527925</v>
      </c>
      <c r="BN196" s="230">
        <v>958475</v>
      </c>
      <c r="BO196" s="229">
        <v>0.62729999999999997</v>
      </c>
      <c r="BP196" s="230">
        <v>7650125</v>
      </c>
      <c r="BQ196" s="230">
        <v>3901275</v>
      </c>
      <c r="BR196" s="230">
        <v>3748850</v>
      </c>
      <c r="BS196" s="229">
        <v>0.96089999999999998</v>
      </c>
      <c r="BT196" s="230">
        <v>1107862</v>
      </c>
      <c r="BU196" s="230">
        <v>464727</v>
      </c>
      <c r="BV196" s="230">
        <v>643135</v>
      </c>
      <c r="BW196" s="229">
        <v>1.3838999999999999</v>
      </c>
      <c r="BX196" s="230">
        <v>9812075</v>
      </c>
      <c r="BY196" s="230">
        <v>9805250</v>
      </c>
      <c r="BZ196" s="230">
        <v>6825</v>
      </c>
      <c r="CA196" s="229">
        <v>6.9999999999999999E-4</v>
      </c>
      <c r="CB196" s="230">
        <v>9561125</v>
      </c>
      <c r="CC196" s="230">
        <v>9574250</v>
      </c>
      <c r="CD196" s="230">
        <v>-13125</v>
      </c>
      <c r="CE196" s="229">
        <v>-1.4E-3</v>
      </c>
      <c r="CF196" s="230">
        <v>227150</v>
      </c>
      <c r="CG196" s="230">
        <v>209125</v>
      </c>
      <c r="CH196" s="230">
        <v>18025</v>
      </c>
      <c r="CI196" s="229">
        <v>8.6199999999999999E-2</v>
      </c>
      <c r="CJ196" s="230">
        <v>23800</v>
      </c>
      <c r="CK196" s="230">
        <v>21875</v>
      </c>
      <c r="CL196" s="230">
        <v>1925</v>
      </c>
      <c r="CM196" s="229">
        <v>8.7999999999999995E-2</v>
      </c>
      <c r="CN196" s="230">
        <v>3060400</v>
      </c>
      <c r="CO196" s="230">
        <v>2692900</v>
      </c>
      <c r="CP196" s="230">
        <v>367500</v>
      </c>
      <c r="CQ196" s="229">
        <v>0.13650000000000001</v>
      </c>
      <c r="CR196" s="230">
        <v>1393700</v>
      </c>
      <c r="CS196" s="230">
        <v>1343125</v>
      </c>
      <c r="CT196" s="230">
        <v>50575</v>
      </c>
      <c r="CU196" s="229">
        <v>3.7699999999999997E-2</v>
      </c>
      <c r="CV196" s="230">
        <v>14266175</v>
      </c>
      <c r="CW196" s="230">
        <v>13841275</v>
      </c>
      <c r="CX196" s="230">
        <v>424900</v>
      </c>
      <c r="CY196" s="229">
        <v>3.0700000000000002E-2</v>
      </c>
      <c r="CZ196" s="228">
        <v>25.76</v>
      </c>
      <c r="DA196" s="228">
        <v>26.41</v>
      </c>
      <c r="DB196" s="228">
        <v>-0.65</v>
      </c>
      <c r="DC196" s="228">
        <v>-0.65</v>
      </c>
      <c r="DD196" s="228">
        <v>24.5</v>
      </c>
      <c r="DE196" s="228">
        <v>24.56</v>
      </c>
      <c r="DF196" s="228">
        <v>1.26</v>
      </c>
      <c r="DG196" s="228">
        <v>-0.06</v>
      </c>
      <c r="DH196" s="228">
        <v>25.07</v>
      </c>
      <c r="DI196" s="228">
        <v>25.5</v>
      </c>
      <c r="DJ196" s="228">
        <v>-0.43</v>
      </c>
      <c r="DK196" s="228">
        <v>-0.43</v>
      </c>
      <c r="DL196" s="228">
        <v>26.86</v>
      </c>
      <c r="DM196" s="228">
        <v>27.39</v>
      </c>
      <c r="DN196" s="228">
        <v>-0.53</v>
      </c>
      <c r="DO196" s="228">
        <v>-0.53</v>
      </c>
      <c r="DP196" s="228">
        <v>0.46</v>
      </c>
      <c r="DQ196" s="228">
        <v>0.5</v>
      </c>
      <c r="DR196" s="228">
        <v>-0.04</v>
      </c>
      <c r="DS196" s="229">
        <v>-0.08</v>
      </c>
      <c r="DT196" s="231">
        <v>4760</v>
      </c>
      <c r="DU196" s="231">
        <v>4000</v>
      </c>
      <c r="DV196" s="228">
        <v>0.63</v>
      </c>
      <c r="DW196" s="228">
        <v>0.93</v>
      </c>
      <c r="DX196" s="228">
        <v>-0.3</v>
      </c>
      <c r="DY196" s="229">
        <v>-0.3226</v>
      </c>
      <c r="DZ196" s="229">
        <v>2.5600000000000001E-2</v>
      </c>
      <c r="EA196" s="230">
        <v>231000</v>
      </c>
      <c r="EB196" s="229">
        <v>5.1000000000000004E-3</v>
      </c>
      <c r="EC196" s="229">
        <v>2.5600000000000001E-2</v>
      </c>
      <c r="ED196" s="228">
        <v>16.91</v>
      </c>
      <c r="EE196" s="229">
        <v>4.1000000000000003E-3</v>
      </c>
      <c r="EF196" s="230">
        <v>569790</v>
      </c>
      <c r="EG196" s="230">
        <v>258938</v>
      </c>
      <c r="EH196" s="229">
        <v>1.2004999999999999</v>
      </c>
      <c r="EI196" s="229">
        <v>0.51429999999999998</v>
      </c>
      <c r="EJ196" s="231">
        <v>169080.84</v>
      </c>
      <c r="EK196" s="231">
        <v>102429.29</v>
      </c>
      <c r="EL196" s="231">
        <v>51076.81</v>
      </c>
      <c r="EM196" s="231">
        <v>4684</v>
      </c>
      <c r="EN196" s="231">
        <v>322586.94</v>
      </c>
      <c r="EO196" s="231">
        <v>165630.92000000001</v>
      </c>
      <c r="EP196" s="231">
        <v>156956.01999999999</v>
      </c>
      <c r="EQ196" s="229">
        <v>0.9476</v>
      </c>
      <c r="ER196" s="231">
        <v>134808</v>
      </c>
      <c r="ES196" s="231">
        <v>57044</v>
      </c>
      <c r="ET196" s="231">
        <v>406826</v>
      </c>
      <c r="EU196" s="231">
        <v>45680146</v>
      </c>
      <c r="EV196" s="231">
        <v>598679</v>
      </c>
      <c r="EW196" s="231">
        <v>580903</v>
      </c>
      <c r="EX196" s="231">
        <v>17776</v>
      </c>
      <c r="EY196" s="229">
        <v>3.0599999999999999E-2</v>
      </c>
      <c r="EZ196" s="229">
        <v>0.31230000000000002</v>
      </c>
      <c r="FA196" s="227" t="s">
        <v>555</v>
      </c>
      <c r="FB196" s="161">
        <f t="shared" si="5"/>
        <v>0</v>
      </c>
    </row>
    <row r="197" spans="1:158" ht="17.25" thickBot="1" x14ac:dyDescent="0.3">
      <c r="A197" s="226">
        <v>46093</v>
      </c>
      <c r="B197" s="227" t="s">
        <v>162</v>
      </c>
      <c r="C197" s="227" t="s">
        <v>688</v>
      </c>
      <c r="D197" s="228">
        <v>800</v>
      </c>
      <c r="E197" s="228">
        <v>325.45</v>
      </c>
      <c r="F197" s="228">
        <v>336.25</v>
      </c>
      <c r="G197" s="228">
        <v>-10.8</v>
      </c>
      <c r="H197" s="229">
        <v>-3.2099999999999997E-2</v>
      </c>
      <c r="I197" s="228">
        <v>324.55</v>
      </c>
      <c r="J197" s="228">
        <v>335.35</v>
      </c>
      <c r="K197" s="228">
        <v>-10.8</v>
      </c>
      <c r="L197" s="229">
        <v>-3.2199999999999999E-2</v>
      </c>
      <c r="M197" s="228">
        <v>325.45</v>
      </c>
      <c r="N197" s="228">
        <v>336.25</v>
      </c>
      <c r="O197" s="228">
        <v>-10.8</v>
      </c>
      <c r="P197" s="229">
        <v>-3.2099999999999997E-2</v>
      </c>
      <c r="Q197" s="228">
        <v>327.39999999999998</v>
      </c>
      <c r="R197" s="228">
        <v>338.55</v>
      </c>
      <c r="S197" s="228">
        <v>-11.15</v>
      </c>
      <c r="T197" s="229">
        <v>-3.2899999999999999E-2</v>
      </c>
      <c r="U197" s="228">
        <v>329.6</v>
      </c>
      <c r="V197" s="228">
        <v>340.7</v>
      </c>
      <c r="W197" s="228">
        <v>-11.1</v>
      </c>
      <c r="X197" s="229">
        <v>-3.2599999999999997E-2</v>
      </c>
      <c r="Y197" s="228">
        <v>0.9</v>
      </c>
      <c r="Z197" s="228">
        <v>0.9</v>
      </c>
      <c r="AA197" s="228">
        <v>0</v>
      </c>
      <c r="AB197" s="229">
        <v>2.8E-3</v>
      </c>
      <c r="AC197" s="228">
        <v>0.9</v>
      </c>
      <c r="AD197" s="228">
        <v>0.9</v>
      </c>
      <c r="AE197" s="228">
        <v>0</v>
      </c>
      <c r="AF197" s="229">
        <v>2.8E-3</v>
      </c>
      <c r="AG197" s="228">
        <v>2.85</v>
      </c>
      <c r="AH197" s="228">
        <v>3.2</v>
      </c>
      <c r="AI197" s="228">
        <v>-0.35</v>
      </c>
      <c r="AJ197" s="229">
        <v>8.8000000000000005E-3</v>
      </c>
      <c r="AK197" s="228">
        <v>5.05</v>
      </c>
      <c r="AL197" s="228">
        <v>5.35</v>
      </c>
      <c r="AM197" s="228">
        <v>-0.3</v>
      </c>
      <c r="AN197" s="229">
        <v>1.5599999999999999E-2</v>
      </c>
      <c r="AO197" s="228">
        <v>327.02</v>
      </c>
      <c r="AP197" s="228">
        <v>329.1</v>
      </c>
      <c r="AQ197" s="228">
        <v>0</v>
      </c>
      <c r="AR197" s="230">
        <v>14530400</v>
      </c>
      <c r="AS197" s="230">
        <v>8492000</v>
      </c>
      <c r="AT197" s="230">
        <v>6038400</v>
      </c>
      <c r="AU197" s="229">
        <v>0.71109999999999995</v>
      </c>
      <c r="AV197" s="230">
        <v>11309600</v>
      </c>
      <c r="AW197" s="230">
        <v>6829600</v>
      </c>
      <c r="AX197" s="230">
        <v>4480000</v>
      </c>
      <c r="AY197" s="229">
        <v>0.65600000000000003</v>
      </c>
      <c r="AZ197" s="230">
        <v>2567200</v>
      </c>
      <c r="BA197" s="230">
        <v>1280000</v>
      </c>
      <c r="BB197" s="230">
        <v>1287200</v>
      </c>
      <c r="BC197" s="229">
        <v>1.0056</v>
      </c>
      <c r="BD197" s="230">
        <v>653600</v>
      </c>
      <c r="BE197" s="230">
        <v>382400</v>
      </c>
      <c r="BF197" s="230">
        <v>271200</v>
      </c>
      <c r="BG197" s="229">
        <v>0.70920000000000005</v>
      </c>
      <c r="BH197" s="230">
        <v>40811200</v>
      </c>
      <c r="BI197" s="230">
        <v>28182400</v>
      </c>
      <c r="BJ197" s="230">
        <v>12628800</v>
      </c>
      <c r="BK197" s="229">
        <v>0.4481</v>
      </c>
      <c r="BL197" s="230">
        <v>28483200</v>
      </c>
      <c r="BM197" s="230">
        <v>16562400</v>
      </c>
      <c r="BN197" s="230">
        <v>11920800</v>
      </c>
      <c r="BO197" s="229">
        <v>0.7198</v>
      </c>
      <c r="BP197" s="230">
        <v>83824800</v>
      </c>
      <c r="BQ197" s="230">
        <v>53236800</v>
      </c>
      <c r="BR197" s="230">
        <v>30588000</v>
      </c>
      <c r="BS197" s="229">
        <v>0.5746</v>
      </c>
      <c r="BT197" s="230">
        <v>9707654</v>
      </c>
      <c r="BU197" s="230">
        <v>5949596</v>
      </c>
      <c r="BV197" s="230">
        <v>3758058</v>
      </c>
      <c r="BW197" s="229">
        <v>0.63160000000000005</v>
      </c>
      <c r="BX197" s="230">
        <v>72205600</v>
      </c>
      <c r="BY197" s="230">
        <v>72494400</v>
      </c>
      <c r="BZ197" s="230">
        <v>-288800</v>
      </c>
      <c r="CA197" s="229">
        <v>-4.0000000000000001E-3</v>
      </c>
      <c r="CB197" s="230">
        <v>66020800</v>
      </c>
      <c r="CC197" s="230">
        <v>66896000</v>
      </c>
      <c r="CD197" s="230">
        <v>-875200</v>
      </c>
      <c r="CE197" s="229">
        <v>-1.3100000000000001E-2</v>
      </c>
      <c r="CF197" s="230">
        <v>4876000</v>
      </c>
      <c r="CG197" s="230">
        <v>4452000</v>
      </c>
      <c r="CH197" s="230">
        <v>424000</v>
      </c>
      <c r="CI197" s="229">
        <v>9.5200000000000007E-2</v>
      </c>
      <c r="CJ197" s="230">
        <v>1308800</v>
      </c>
      <c r="CK197" s="230">
        <v>1146400</v>
      </c>
      <c r="CL197" s="230">
        <v>162400</v>
      </c>
      <c r="CM197" s="229">
        <v>0.14169999999999999</v>
      </c>
      <c r="CN197" s="230">
        <v>53146400</v>
      </c>
      <c r="CO197" s="230">
        <v>48857600</v>
      </c>
      <c r="CP197" s="230">
        <v>4288800</v>
      </c>
      <c r="CQ197" s="229">
        <v>8.7800000000000003E-2</v>
      </c>
      <c r="CR197" s="230">
        <v>26233600</v>
      </c>
      <c r="CS197" s="230">
        <v>26120000</v>
      </c>
      <c r="CT197" s="230">
        <v>113600</v>
      </c>
      <c r="CU197" s="229">
        <v>4.3E-3</v>
      </c>
      <c r="CV197" s="230">
        <v>151585600</v>
      </c>
      <c r="CW197" s="230">
        <v>147472000</v>
      </c>
      <c r="CX197" s="230">
        <v>4113600</v>
      </c>
      <c r="CY197" s="229">
        <v>2.7900000000000001E-2</v>
      </c>
      <c r="CZ197" s="228">
        <v>41.17</v>
      </c>
      <c r="DA197" s="228">
        <v>38.76</v>
      </c>
      <c r="DB197" s="228">
        <v>2.41</v>
      </c>
      <c r="DC197" s="228">
        <v>2.41</v>
      </c>
      <c r="DD197" s="228">
        <v>35.49</v>
      </c>
      <c r="DE197" s="228">
        <v>35.31</v>
      </c>
      <c r="DF197" s="228">
        <v>5.68</v>
      </c>
      <c r="DG197" s="228">
        <v>0.18</v>
      </c>
      <c r="DH197" s="228">
        <v>40.61</v>
      </c>
      <c r="DI197" s="228">
        <v>38.299999999999997</v>
      </c>
      <c r="DJ197" s="228">
        <v>2.31</v>
      </c>
      <c r="DK197" s="228">
        <v>2.31</v>
      </c>
      <c r="DL197" s="228">
        <v>41.96</v>
      </c>
      <c r="DM197" s="228">
        <v>39.54</v>
      </c>
      <c r="DN197" s="228">
        <v>2.42</v>
      </c>
      <c r="DO197" s="228">
        <v>2.42</v>
      </c>
      <c r="DP197" s="228">
        <v>0.49</v>
      </c>
      <c r="DQ197" s="228">
        <v>0.53</v>
      </c>
      <c r="DR197" s="228">
        <v>-0.04</v>
      </c>
      <c r="DS197" s="229">
        <v>-7.5499999999999998E-2</v>
      </c>
      <c r="DT197" s="228">
        <v>400</v>
      </c>
      <c r="DU197" s="228">
        <v>290</v>
      </c>
      <c r="DV197" s="228">
        <v>0.7</v>
      </c>
      <c r="DW197" s="228">
        <v>0.59</v>
      </c>
      <c r="DX197" s="228">
        <v>0.11</v>
      </c>
      <c r="DY197" s="229">
        <v>0.18640000000000001</v>
      </c>
      <c r="DZ197" s="229">
        <v>8.5699999999999998E-2</v>
      </c>
      <c r="EA197" s="230">
        <v>5598400</v>
      </c>
      <c r="EB197" s="229">
        <v>6.0000000000000001E-3</v>
      </c>
      <c r="EC197" s="229">
        <v>8.5699999999999998E-2</v>
      </c>
      <c r="ED197" s="228">
        <v>2.08</v>
      </c>
      <c r="EE197" s="229">
        <v>6.4000000000000003E-3</v>
      </c>
      <c r="EF197" s="230">
        <v>4003939</v>
      </c>
      <c r="EG197" s="230">
        <v>2658610</v>
      </c>
      <c r="EH197" s="229">
        <v>0.50600000000000001</v>
      </c>
      <c r="EI197" s="229">
        <v>0.41249999999999998</v>
      </c>
      <c r="EJ197" s="231">
        <v>146180.39000000001</v>
      </c>
      <c r="EK197" s="231">
        <v>93165.32</v>
      </c>
      <c r="EL197" s="231">
        <v>47596.46</v>
      </c>
      <c r="EM197" s="231">
        <v>16504</v>
      </c>
      <c r="EN197" s="231">
        <v>286942.17</v>
      </c>
      <c r="EO197" s="231">
        <v>189614.76</v>
      </c>
      <c r="EP197" s="231">
        <v>97327.41</v>
      </c>
      <c r="EQ197" s="229">
        <v>0.51329999999999998</v>
      </c>
      <c r="ER197" s="231">
        <v>202972</v>
      </c>
      <c r="ES197" s="231">
        <v>91317</v>
      </c>
      <c r="ET197" s="231">
        <v>235143</v>
      </c>
      <c r="EU197" s="231">
        <v>317235726</v>
      </c>
      <c r="EV197" s="231">
        <v>529432</v>
      </c>
      <c r="EW197" s="231">
        <v>523963</v>
      </c>
      <c r="EX197" s="231">
        <v>5469</v>
      </c>
      <c r="EY197" s="229">
        <v>1.04E-2</v>
      </c>
      <c r="EZ197" s="229">
        <v>0.4778</v>
      </c>
      <c r="FA197" s="227" t="s">
        <v>568</v>
      </c>
      <c r="FB197" s="161">
        <f t="shared" si="5"/>
        <v>0</v>
      </c>
    </row>
    <row r="198" spans="1:158" ht="17.25" thickBot="1" x14ac:dyDescent="0.3">
      <c r="A198" s="226">
        <v>46093</v>
      </c>
      <c r="B198" s="227" t="s">
        <v>170</v>
      </c>
      <c r="C198" s="227" t="s">
        <v>298</v>
      </c>
      <c r="D198" s="228">
        <v>250</v>
      </c>
      <c r="E198" s="231">
        <v>4442.8</v>
      </c>
      <c r="F198" s="231">
        <v>4438.7</v>
      </c>
      <c r="G198" s="228">
        <v>4.0999999999999996</v>
      </c>
      <c r="H198" s="229">
        <v>8.9999999999999998E-4</v>
      </c>
      <c r="I198" s="231">
        <v>4446</v>
      </c>
      <c r="J198" s="231">
        <v>4431.2</v>
      </c>
      <c r="K198" s="228">
        <v>14.8</v>
      </c>
      <c r="L198" s="229">
        <v>3.3E-3</v>
      </c>
      <c r="M198" s="231">
        <v>4442.8</v>
      </c>
      <c r="N198" s="231">
        <v>4438.7</v>
      </c>
      <c r="O198" s="228">
        <v>4.0999999999999996</v>
      </c>
      <c r="P198" s="229">
        <v>8.9999999999999998E-4</v>
      </c>
      <c r="Q198" s="231">
        <v>4445</v>
      </c>
      <c r="R198" s="231">
        <v>4439.2</v>
      </c>
      <c r="S198" s="228">
        <v>5.8</v>
      </c>
      <c r="T198" s="229">
        <v>1.2999999999999999E-3</v>
      </c>
      <c r="U198" s="231">
        <v>4454.7</v>
      </c>
      <c r="V198" s="231">
        <v>4466</v>
      </c>
      <c r="W198" s="228">
        <v>-11.3</v>
      </c>
      <c r="X198" s="229">
        <v>-2.5000000000000001E-3</v>
      </c>
      <c r="Y198" s="228">
        <v>-3.2</v>
      </c>
      <c r="Z198" s="228">
        <v>7.5</v>
      </c>
      <c r="AA198" s="228">
        <v>-10.7</v>
      </c>
      <c r="AB198" s="229">
        <v>-6.9999999999999999E-4</v>
      </c>
      <c r="AC198" s="228">
        <v>-3.2</v>
      </c>
      <c r="AD198" s="228">
        <v>7.5</v>
      </c>
      <c r="AE198" s="228">
        <v>-10.7</v>
      </c>
      <c r="AF198" s="229">
        <v>-6.9999999999999999E-4</v>
      </c>
      <c r="AG198" s="228">
        <v>-1</v>
      </c>
      <c r="AH198" s="228">
        <v>8</v>
      </c>
      <c r="AI198" s="228">
        <v>-9</v>
      </c>
      <c r="AJ198" s="229">
        <v>-2.0000000000000001E-4</v>
      </c>
      <c r="AK198" s="228">
        <v>8.6999999999999993</v>
      </c>
      <c r="AL198" s="228">
        <v>34.799999999999997</v>
      </c>
      <c r="AM198" s="228">
        <v>-26.1</v>
      </c>
      <c r="AN198" s="229">
        <v>2E-3</v>
      </c>
      <c r="AO198" s="231">
        <v>4432.5600000000004</v>
      </c>
      <c r="AP198" s="231">
        <v>4443.3900000000003</v>
      </c>
      <c r="AQ198" s="228">
        <v>0</v>
      </c>
      <c r="AR198" s="230">
        <v>378250</v>
      </c>
      <c r="AS198" s="230">
        <v>431500</v>
      </c>
      <c r="AT198" s="230">
        <v>-53250</v>
      </c>
      <c r="AU198" s="229">
        <v>-0.1234</v>
      </c>
      <c r="AV198" s="230">
        <v>366000</v>
      </c>
      <c r="AW198" s="230">
        <v>417750</v>
      </c>
      <c r="AX198" s="230">
        <v>-51750</v>
      </c>
      <c r="AY198" s="229">
        <v>-0.1239</v>
      </c>
      <c r="AZ198" s="230">
        <v>11500</v>
      </c>
      <c r="BA198" s="230">
        <v>12750</v>
      </c>
      <c r="BB198" s="230">
        <v>-1250</v>
      </c>
      <c r="BC198" s="229">
        <v>-9.8000000000000004E-2</v>
      </c>
      <c r="BD198" s="228">
        <v>750</v>
      </c>
      <c r="BE198" s="230">
        <v>1000</v>
      </c>
      <c r="BF198" s="228">
        <v>-250</v>
      </c>
      <c r="BG198" s="229">
        <v>-0.25</v>
      </c>
      <c r="BH198" s="230">
        <v>892000</v>
      </c>
      <c r="BI198" s="230">
        <v>829000</v>
      </c>
      <c r="BJ198" s="230">
        <v>63000</v>
      </c>
      <c r="BK198" s="229">
        <v>7.5999999999999998E-2</v>
      </c>
      <c r="BL198" s="230">
        <v>330000</v>
      </c>
      <c r="BM198" s="230">
        <v>314000</v>
      </c>
      <c r="BN198" s="230">
        <v>16000</v>
      </c>
      <c r="BO198" s="229">
        <v>5.0999999999999997E-2</v>
      </c>
      <c r="BP198" s="230">
        <v>1600250</v>
      </c>
      <c r="BQ198" s="230">
        <v>1574500</v>
      </c>
      <c r="BR198" s="230">
        <v>25750</v>
      </c>
      <c r="BS198" s="229">
        <v>1.6400000000000001E-2</v>
      </c>
      <c r="BT198" s="230">
        <v>325369</v>
      </c>
      <c r="BU198" s="230">
        <v>325752</v>
      </c>
      <c r="BV198" s="228">
        <v>-383</v>
      </c>
      <c r="BW198" s="229">
        <v>-1.1999999999999999E-3</v>
      </c>
      <c r="BX198" s="230">
        <v>2744250</v>
      </c>
      <c r="BY198" s="230">
        <v>2762500</v>
      </c>
      <c r="BZ198" s="230">
        <v>-18250</v>
      </c>
      <c r="CA198" s="229">
        <v>-6.6E-3</v>
      </c>
      <c r="CB198" s="230">
        <v>2696500</v>
      </c>
      <c r="CC198" s="230">
        <v>2716500</v>
      </c>
      <c r="CD198" s="230">
        <v>-20000</v>
      </c>
      <c r="CE198" s="229">
        <v>-7.4000000000000003E-3</v>
      </c>
      <c r="CF198" s="230">
        <v>45750</v>
      </c>
      <c r="CG198" s="230">
        <v>44250</v>
      </c>
      <c r="CH198" s="230">
        <v>1500</v>
      </c>
      <c r="CI198" s="229">
        <v>3.39E-2</v>
      </c>
      <c r="CJ198" s="230">
        <v>2000</v>
      </c>
      <c r="CK198" s="230">
        <v>1750</v>
      </c>
      <c r="CL198" s="228">
        <v>250</v>
      </c>
      <c r="CM198" s="229">
        <v>0.1429</v>
      </c>
      <c r="CN198" s="230">
        <v>830250</v>
      </c>
      <c r="CO198" s="230">
        <v>748750</v>
      </c>
      <c r="CP198" s="230">
        <v>81500</v>
      </c>
      <c r="CQ198" s="229">
        <v>0.10879999999999999</v>
      </c>
      <c r="CR198" s="230">
        <v>684250</v>
      </c>
      <c r="CS198" s="230">
        <v>677000</v>
      </c>
      <c r="CT198" s="230">
        <v>7250</v>
      </c>
      <c r="CU198" s="229">
        <v>1.0699999999999999E-2</v>
      </c>
      <c r="CV198" s="230">
        <v>4258750</v>
      </c>
      <c r="CW198" s="230">
        <v>4188250</v>
      </c>
      <c r="CX198" s="230">
        <v>70500</v>
      </c>
      <c r="CY198" s="229">
        <v>1.6799999999999999E-2</v>
      </c>
      <c r="CZ198" s="228">
        <v>23.9</v>
      </c>
      <c r="DA198" s="228">
        <v>24.3</v>
      </c>
      <c r="DB198" s="228">
        <v>-0.4</v>
      </c>
      <c r="DC198" s="228">
        <v>-0.4</v>
      </c>
      <c r="DD198" s="228">
        <v>25.21</v>
      </c>
      <c r="DE198" s="228">
        <v>25.27</v>
      </c>
      <c r="DF198" s="228">
        <v>-1.31</v>
      </c>
      <c r="DG198" s="228">
        <v>-0.06</v>
      </c>
      <c r="DH198" s="228">
        <v>23.24</v>
      </c>
      <c r="DI198" s="228">
        <v>23.74</v>
      </c>
      <c r="DJ198" s="228">
        <v>-0.5</v>
      </c>
      <c r="DK198" s="228">
        <v>-0.5</v>
      </c>
      <c r="DL198" s="228">
        <v>25.68</v>
      </c>
      <c r="DM198" s="228">
        <v>25.76</v>
      </c>
      <c r="DN198" s="228">
        <v>-0.08</v>
      </c>
      <c r="DO198" s="228">
        <v>-0.08</v>
      </c>
      <c r="DP198" s="228">
        <v>0.82</v>
      </c>
      <c r="DQ198" s="228">
        <v>0.9</v>
      </c>
      <c r="DR198" s="228">
        <v>-0.08</v>
      </c>
      <c r="DS198" s="229">
        <v>-8.8900000000000007E-2</v>
      </c>
      <c r="DT198" s="231">
        <v>4700</v>
      </c>
      <c r="DU198" s="231">
        <v>4200</v>
      </c>
      <c r="DV198" s="228">
        <v>0.37</v>
      </c>
      <c r="DW198" s="228">
        <v>0.38</v>
      </c>
      <c r="DX198" s="228">
        <v>-0.01</v>
      </c>
      <c r="DY198" s="229">
        <v>-2.63E-2</v>
      </c>
      <c r="DZ198" s="229">
        <v>1.7399999999999999E-2</v>
      </c>
      <c r="EA198" s="230">
        <v>46000</v>
      </c>
      <c r="EB198" s="229">
        <v>5.0000000000000001E-4</v>
      </c>
      <c r="EC198" s="229">
        <v>1.7399999999999999E-2</v>
      </c>
      <c r="ED198" s="228">
        <v>10.83</v>
      </c>
      <c r="EE198" s="229">
        <v>2.3999999999999998E-3</v>
      </c>
      <c r="EF198" s="230">
        <v>170961</v>
      </c>
      <c r="EG198" s="230">
        <v>187820</v>
      </c>
      <c r="EH198" s="229">
        <v>-8.9800000000000005E-2</v>
      </c>
      <c r="EI198" s="229">
        <v>0.52539999999999998</v>
      </c>
      <c r="EJ198" s="231">
        <v>41076.480000000003</v>
      </c>
      <c r="EK198" s="231">
        <v>14478.03</v>
      </c>
      <c r="EL198" s="231">
        <v>16767.599999999999</v>
      </c>
      <c r="EM198" s="231">
        <v>1986</v>
      </c>
      <c r="EN198" s="231">
        <v>72322.11</v>
      </c>
      <c r="EO198" s="231">
        <v>70896.009999999995</v>
      </c>
      <c r="EP198" s="231">
        <v>1426.1</v>
      </c>
      <c r="EQ198" s="229">
        <v>2.01E-2</v>
      </c>
      <c r="ER198" s="231">
        <v>37430</v>
      </c>
      <c r="ES198" s="231">
        <v>28684</v>
      </c>
      <c r="ET198" s="231">
        <v>121923</v>
      </c>
      <c r="EU198" s="231">
        <v>10726004</v>
      </c>
      <c r="EV198" s="231">
        <v>188037</v>
      </c>
      <c r="EW198" s="231">
        <v>184583</v>
      </c>
      <c r="EX198" s="231">
        <v>3454</v>
      </c>
      <c r="EY198" s="229">
        <v>1.8700000000000001E-2</v>
      </c>
      <c r="EZ198" s="229">
        <v>0.39700000000000002</v>
      </c>
      <c r="FA198" s="227" t="s">
        <v>556</v>
      </c>
      <c r="FB198" s="161">
        <f t="shared" si="5"/>
        <v>0</v>
      </c>
    </row>
    <row r="199" spans="1:158" ht="17.25" thickBot="1" x14ac:dyDescent="0.3">
      <c r="A199" s="226">
        <v>46093</v>
      </c>
      <c r="B199" s="227" t="s">
        <v>161</v>
      </c>
      <c r="C199" s="227" t="s">
        <v>299</v>
      </c>
      <c r="D199" s="228">
        <v>425</v>
      </c>
      <c r="E199" s="231">
        <v>1503.2</v>
      </c>
      <c r="F199" s="231">
        <v>1443.3</v>
      </c>
      <c r="G199" s="228">
        <v>59.9</v>
      </c>
      <c r="H199" s="229">
        <v>4.1500000000000002E-2</v>
      </c>
      <c r="I199" s="231">
        <v>1506</v>
      </c>
      <c r="J199" s="231">
        <v>1439</v>
      </c>
      <c r="K199" s="228">
        <v>67</v>
      </c>
      <c r="L199" s="229">
        <v>4.6600000000000003E-2</v>
      </c>
      <c r="M199" s="231">
        <v>1503.2</v>
      </c>
      <c r="N199" s="231">
        <v>1443.3</v>
      </c>
      <c r="O199" s="228">
        <v>59.9</v>
      </c>
      <c r="P199" s="229">
        <v>4.1500000000000002E-2</v>
      </c>
      <c r="Q199" s="231">
        <v>1500.2</v>
      </c>
      <c r="R199" s="231">
        <v>1442.4</v>
      </c>
      <c r="S199" s="228">
        <v>57.8</v>
      </c>
      <c r="T199" s="229">
        <v>4.0099999999999997E-2</v>
      </c>
      <c r="U199" s="228">
        <v>0</v>
      </c>
      <c r="V199" s="228">
        <v>0</v>
      </c>
      <c r="W199" s="228">
        <v>0</v>
      </c>
      <c r="X199" s="229">
        <v>0</v>
      </c>
      <c r="Y199" s="228">
        <v>-2.8</v>
      </c>
      <c r="Z199" s="228">
        <v>4.3</v>
      </c>
      <c r="AA199" s="228">
        <v>-7.1</v>
      </c>
      <c r="AB199" s="229">
        <v>-1.9E-3</v>
      </c>
      <c r="AC199" s="228">
        <v>-2.8</v>
      </c>
      <c r="AD199" s="228">
        <v>4.3</v>
      </c>
      <c r="AE199" s="228">
        <v>-7.1</v>
      </c>
      <c r="AF199" s="229">
        <v>-1.9E-3</v>
      </c>
      <c r="AG199" s="228">
        <v>-5.8</v>
      </c>
      <c r="AH199" s="228">
        <v>3.4</v>
      </c>
      <c r="AI199" s="228">
        <v>-9.1999999999999993</v>
      </c>
      <c r="AJ199" s="229">
        <v>-3.8999999999999998E-3</v>
      </c>
      <c r="AK199" s="228">
        <v>0</v>
      </c>
      <c r="AL199" s="228">
        <v>0</v>
      </c>
      <c r="AM199" s="228">
        <v>0</v>
      </c>
      <c r="AN199" s="229">
        <v>0</v>
      </c>
      <c r="AO199" s="231">
        <v>1495.28</v>
      </c>
      <c r="AP199" s="231">
        <v>1492.89</v>
      </c>
      <c r="AQ199" s="228">
        <v>0</v>
      </c>
      <c r="AR199" s="230">
        <v>1303050</v>
      </c>
      <c r="AS199" s="230">
        <v>612000</v>
      </c>
      <c r="AT199" s="230">
        <v>691050</v>
      </c>
      <c r="AU199" s="229">
        <v>1.1292</v>
      </c>
      <c r="AV199" s="230">
        <v>1249500</v>
      </c>
      <c r="AW199" s="230">
        <v>568225</v>
      </c>
      <c r="AX199" s="230">
        <v>681275</v>
      </c>
      <c r="AY199" s="229">
        <v>1.1990000000000001</v>
      </c>
      <c r="AZ199" s="230">
        <v>53550</v>
      </c>
      <c r="BA199" s="230">
        <v>43775</v>
      </c>
      <c r="BB199" s="230">
        <v>9775</v>
      </c>
      <c r="BC199" s="229">
        <v>0.2233</v>
      </c>
      <c r="BD199" s="228">
        <v>0</v>
      </c>
      <c r="BE199" s="228">
        <v>0</v>
      </c>
      <c r="BF199" s="228">
        <v>0</v>
      </c>
      <c r="BG199" s="229">
        <v>0</v>
      </c>
      <c r="BH199" s="230">
        <v>7644050</v>
      </c>
      <c r="BI199" s="230">
        <v>988125</v>
      </c>
      <c r="BJ199" s="230">
        <v>6655925</v>
      </c>
      <c r="BK199" s="229">
        <v>6.7359</v>
      </c>
      <c r="BL199" s="230">
        <v>1780325</v>
      </c>
      <c r="BM199" s="230">
        <v>262225</v>
      </c>
      <c r="BN199" s="230">
        <v>1518100</v>
      </c>
      <c r="BO199" s="229">
        <v>5.7892999999999999</v>
      </c>
      <c r="BP199" s="230">
        <v>10727425</v>
      </c>
      <c r="BQ199" s="230">
        <v>1862350</v>
      </c>
      <c r="BR199" s="230">
        <v>8865075</v>
      </c>
      <c r="BS199" s="229">
        <v>4.7602000000000002</v>
      </c>
      <c r="BT199" s="230">
        <v>960464</v>
      </c>
      <c r="BU199" s="230">
        <v>292340</v>
      </c>
      <c r="BV199" s="230">
        <v>668124</v>
      </c>
      <c r="BW199" s="229">
        <v>2.2854000000000001</v>
      </c>
      <c r="BX199" s="230">
        <v>3655425</v>
      </c>
      <c r="BY199" s="230">
        <v>3576800</v>
      </c>
      <c r="BZ199" s="230">
        <v>78625</v>
      </c>
      <c r="CA199" s="229">
        <v>2.1999999999999999E-2</v>
      </c>
      <c r="CB199" s="230">
        <v>3506675</v>
      </c>
      <c r="CC199" s="230">
        <v>3434425</v>
      </c>
      <c r="CD199" s="230">
        <v>72250</v>
      </c>
      <c r="CE199" s="229">
        <v>2.1000000000000001E-2</v>
      </c>
      <c r="CF199" s="230">
        <v>148750</v>
      </c>
      <c r="CG199" s="230">
        <v>142375</v>
      </c>
      <c r="CH199" s="230">
        <v>6375</v>
      </c>
      <c r="CI199" s="229">
        <v>4.48E-2</v>
      </c>
      <c r="CJ199" s="228">
        <v>0</v>
      </c>
      <c r="CK199" s="228">
        <v>0</v>
      </c>
      <c r="CL199" s="228">
        <v>0</v>
      </c>
      <c r="CM199" s="229">
        <v>0</v>
      </c>
      <c r="CN199" s="230">
        <v>1666425</v>
      </c>
      <c r="CO199" s="230">
        <v>1704250</v>
      </c>
      <c r="CP199" s="230">
        <v>-37825</v>
      </c>
      <c r="CQ199" s="229">
        <v>-2.2200000000000001E-2</v>
      </c>
      <c r="CR199" s="230">
        <v>1038700</v>
      </c>
      <c r="CS199" s="230">
        <v>935425</v>
      </c>
      <c r="CT199" s="230">
        <v>103275</v>
      </c>
      <c r="CU199" s="229">
        <v>0.1104</v>
      </c>
      <c r="CV199" s="230">
        <v>6360550</v>
      </c>
      <c r="CW199" s="230">
        <v>6216475</v>
      </c>
      <c r="CX199" s="230">
        <v>144075</v>
      </c>
      <c r="CY199" s="229">
        <v>2.3199999999999998E-2</v>
      </c>
      <c r="CZ199" s="228">
        <v>40.590000000000003</v>
      </c>
      <c r="DA199" s="228">
        <v>36.729999999999997</v>
      </c>
      <c r="DB199" s="228">
        <v>3.86</v>
      </c>
      <c r="DC199" s="228">
        <v>3.86</v>
      </c>
      <c r="DD199" s="228">
        <v>41.39</v>
      </c>
      <c r="DE199" s="228">
        <v>41.13</v>
      </c>
      <c r="DF199" s="228">
        <v>-0.8</v>
      </c>
      <c r="DG199" s="228">
        <v>0.26</v>
      </c>
      <c r="DH199" s="228">
        <v>40.35</v>
      </c>
      <c r="DI199" s="228">
        <v>36.44</v>
      </c>
      <c r="DJ199" s="228">
        <v>3.91</v>
      </c>
      <c r="DK199" s="228">
        <v>3.91</v>
      </c>
      <c r="DL199" s="228">
        <v>41.66</v>
      </c>
      <c r="DM199" s="228">
        <v>37.82</v>
      </c>
      <c r="DN199" s="228">
        <v>3.84</v>
      </c>
      <c r="DO199" s="228">
        <v>3.84</v>
      </c>
      <c r="DP199" s="228">
        <v>0.62</v>
      </c>
      <c r="DQ199" s="228">
        <v>0.55000000000000004</v>
      </c>
      <c r="DR199" s="228">
        <v>7.0000000000000007E-2</v>
      </c>
      <c r="DS199" s="229">
        <v>0.1273</v>
      </c>
      <c r="DT199" s="231">
        <v>1500</v>
      </c>
      <c r="DU199" s="231">
        <v>1400</v>
      </c>
      <c r="DV199" s="228">
        <v>0.23</v>
      </c>
      <c r="DW199" s="228">
        <v>0.27</v>
      </c>
      <c r="DX199" s="228">
        <v>-0.04</v>
      </c>
      <c r="DY199" s="229">
        <v>-0.14810000000000001</v>
      </c>
      <c r="DZ199" s="229">
        <v>4.07E-2</v>
      </c>
      <c r="EA199" s="230">
        <v>142375</v>
      </c>
      <c r="EB199" s="229">
        <v>-2E-3</v>
      </c>
      <c r="EC199" s="229">
        <v>4.07E-2</v>
      </c>
      <c r="ED199" s="228">
        <v>-2.39</v>
      </c>
      <c r="EE199" s="229">
        <v>-1.6000000000000001E-3</v>
      </c>
      <c r="EF199" s="230">
        <v>185322</v>
      </c>
      <c r="EG199" s="230">
        <v>137870</v>
      </c>
      <c r="EH199" s="229">
        <v>0.34420000000000001</v>
      </c>
      <c r="EI199" s="229">
        <v>0.193</v>
      </c>
      <c r="EJ199" s="231">
        <v>121098.21</v>
      </c>
      <c r="EK199" s="231">
        <v>26118.32</v>
      </c>
      <c r="EL199" s="231">
        <v>19482.97</v>
      </c>
      <c r="EM199" s="231">
        <v>2236</v>
      </c>
      <c r="EN199" s="231">
        <v>166699.5</v>
      </c>
      <c r="EO199" s="231">
        <v>28303.79</v>
      </c>
      <c r="EP199" s="231">
        <v>138395.71</v>
      </c>
      <c r="EQ199" s="229">
        <v>4.8897000000000004</v>
      </c>
      <c r="ER199" s="231">
        <v>26255</v>
      </c>
      <c r="ES199" s="231">
        <v>15015</v>
      </c>
      <c r="ET199" s="231">
        <v>54944</v>
      </c>
      <c r="EU199" s="231">
        <v>24646022</v>
      </c>
      <c r="EV199" s="231">
        <v>96214</v>
      </c>
      <c r="EW199" s="231">
        <v>92003</v>
      </c>
      <c r="EX199" s="231">
        <v>4211</v>
      </c>
      <c r="EY199" s="229">
        <v>4.58E-2</v>
      </c>
      <c r="EZ199" s="229">
        <v>0.2581</v>
      </c>
      <c r="FA199" s="227" t="s">
        <v>555</v>
      </c>
      <c r="FB199" s="161">
        <f t="shared" si="5"/>
        <v>0</v>
      </c>
    </row>
    <row r="200" spans="1:158" ht="17.25" thickBot="1" x14ac:dyDescent="0.3">
      <c r="A200" s="226">
        <v>46093</v>
      </c>
      <c r="B200" s="227" t="s">
        <v>197</v>
      </c>
      <c r="C200" s="227" t="s">
        <v>482</v>
      </c>
      <c r="D200" s="228">
        <v>100</v>
      </c>
      <c r="E200" s="231">
        <v>3537.1</v>
      </c>
      <c r="F200" s="231">
        <v>3629.3</v>
      </c>
      <c r="G200" s="228">
        <v>-92.2</v>
      </c>
      <c r="H200" s="229">
        <v>-2.5399999999999999E-2</v>
      </c>
      <c r="I200" s="231">
        <v>3533.6</v>
      </c>
      <c r="J200" s="231">
        <v>3627.4</v>
      </c>
      <c r="K200" s="228">
        <v>-93.8</v>
      </c>
      <c r="L200" s="229">
        <v>-2.5899999999999999E-2</v>
      </c>
      <c r="M200" s="231">
        <v>3537.1</v>
      </c>
      <c r="N200" s="231">
        <v>3629.3</v>
      </c>
      <c r="O200" s="228">
        <v>-92.2</v>
      </c>
      <c r="P200" s="229">
        <v>-2.5399999999999999E-2</v>
      </c>
      <c r="Q200" s="231">
        <v>3558.7</v>
      </c>
      <c r="R200" s="231">
        <v>3653.2</v>
      </c>
      <c r="S200" s="228">
        <v>-94.5</v>
      </c>
      <c r="T200" s="229">
        <v>-2.5899999999999999E-2</v>
      </c>
      <c r="U200" s="231">
        <v>3579.2</v>
      </c>
      <c r="V200" s="231">
        <v>3669.7</v>
      </c>
      <c r="W200" s="228">
        <v>-90.5</v>
      </c>
      <c r="X200" s="229">
        <v>-2.47E-2</v>
      </c>
      <c r="Y200" s="228">
        <v>3.5</v>
      </c>
      <c r="Z200" s="228">
        <v>1.9</v>
      </c>
      <c r="AA200" s="228">
        <v>1.6</v>
      </c>
      <c r="AB200" s="229">
        <v>1E-3</v>
      </c>
      <c r="AC200" s="228">
        <v>3.5</v>
      </c>
      <c r="AD200" s="228">
        <v>1.9</v>
      </c>
      <c r="AE200" s="228">
        <v>1.6</v>
      </c>
      <c r="AF200" s="229">
        <v>1E-3</v>
      </c>
      <c r="AG200" s="228">
        <v>25.1</v>
      </c>
      <c r="AH200" s="228">
        <v>25.8</v>
      </c>
      <c r="AI200" s="228">
        <v>-0.7</v>
      </c>
      <c r="AJ200" s="229">
        <v>7.1000000000000004E-3</v>
      </c>
      <c r="AK200" s="228">
        <v>45.6</v>
      </c>
      <c r="AL200" s="228">
        <v>42.3</v>
      </c>
      <c r="AM200" s="228">
        <v>3.3</v>
      </c>
      <c r="AN200" s="229">
        <v>1.29E-2</v>
      </c>
      <c r="AO200" s="231">
        <v>3541.8</v>
      </c>
      <c r="AP200" s="231">
        <v>3565.71</v>
      </c>
      <c r="AQ200" s="228">
        <v>0</v>
      </c>
      <c r="AR200" s="230">
        <v>794000</v>
      </c>
      <c r="AS200" s="230">
        <v>646800</v>
      </c>
      <c r="AT200" s="230">
        <v>147200</v>
      </c>
      <c r="AU200" s="229">
        <v>0.2276</v>
      </c>
      <c r="AV200" s="230">
        <v>672000</v>
      </c>
      <c r="AW200" s="230">
        <v>563000</v>
      </c>
      <c r="AX200" s="230">
        <v>109000</v>
      </c>
      <c r="AY200" s="229">
        <v>0.19359999999999999</v>
      </c>
      <c r="AZ200" s="230">
        <v>113400</v>
      </c>
      <c r="BA200" s="230">
        <v>76600</v>
      </c>
      <c r="BB200" s="230">
        <v>36800</v>
      </c>
      <c r="BC200" s="229">
        <v>0.48039999999999999</v>
      </c>
      <c r="BD200" s="230">
        <v>8600</v>
      </c>
      <c r="BE200" s="230">
        <v>7200</v>
      </c>
      <c r="BF200" s="230">
        <v>1400</v>
      </c>
      <c r="BG200" s="229">
        <v>0.19439999999999999</v>
      </c>
      <c r="BH200" s="230">
        <v>3515700</v>
      </c>
      <c r="BI200" s="230">
        <v>2231500</v>
      </c>
      <c r="BJ200" s="230">
        <v>1284200</v>
      </c>
      <c r="BK200" s="229">
        <v>0.57550000000000001</v>
      </c>
      <c r="BL200" s="230">
        <v>2035100</v>
      </c>
      <c r="BM200" s="230">
        <v>1137200</v>
      </c>
      <c r="BN200" s="230">
        <v>897900</v>
      </c>
      <c r="BO200" s="229">
        <v>0.78959999999999997</v>
      </c>
      <c r="BP200" s="230">
        <v>6344800</v>
      </c>
      <c r="BQ200" s="230">
        <v>4015500</v>
      </c>
      <c r="BR200" s="230">
        <v>2329300</v>
      </c>
      <c r="BS200" s="229">
        <v>0.58009999999999995</v>
      </c>
      <c r="BT200" s="230">
        <v>1009206</v>
      </c>
      <c r="BU200" s="230">
        <v>701835</v>
      </c>
      <c r="BV200" s="230">
        <v>307371</v>
      </c>
      <c r="BW200" s="229">
        <v>0.438</v>
      </c>
      <c r="BX200" s="230">
        <v>6255200</v>
      </c>
      <c r="BY200" s="230">
        <v>6206700</v>
      </c>
      <c r="BZ200" s="230">
        <v>48500</v>
      </c>
      <c r="CA200" s="229">
        <v>7.7999999999999996E-3</v>
      </c>
      <c r="CB200" s="230">
        <v>5904700</v>
      </c>
      <c r="CC200" s="230">
        <v>5901100</v>
      </c>
      <c r="CD200" s="230">
        <v>3600</v>
      </c>
      <c r="CE200" s="229">
        <v>5.9999999999999995E-4</v>
      </c>
      <c r="CF200" s="230">
        <v>324200</v>
      </c>
      <c r="CG200" s="230">
        <v>281400</v>
      </c>
      <c r="CH200" s="230">
        <v>42800</v>
      </c>
      <c r="CI200" s="229">
        <v>0.15210000000000001</v>
      </c>
      <c r="CJ200" s="230">
        <v>26300</v>
      </c>
      <c r="CK200" s="230">
        <v>24200</v>
      </c>
      <c r="CL200" s="230">
        <v>2100</v>
      </c>
      <c r="CM200" s="229">
        <v>8.6800000000000002E-2</v>
      </c>
      <c r="CN200" s="230">
        <v>3097400</v>
      </c>
      <c r="CO200" s="230">
        <v>2790600</v>
      </c>
      <c r="CP200" s="230">
        <v>306800</v>
      </c>
      <c r="CQ200" s="229">
        <v>0.1099</v>
      </c>
      <c r="CR200" s="230">
        <v>1695100</v>
      </c>
      <c r="CS200" s="230">
        <v>1614100</v>
      </c>
      <c r="CT200" s="230">
        <v>81000</v>
      </c>
      <c r="CU200" s="229">
        <v>5.0200000000000002E-2</v>
      </c>
      <c r="CV200" s="230">
        <v>11047700</v>
      </c>
      <c r="CW200" s="230">
        <v>10611400</v>
      </c>
      <c r="CX200" s="230">
        <v>436300</v>
      </c>
      <c r="CY200" s="229">
        <v>4.1099999999999998E-2</v>
      </c>
      <c r="CZ200" s="228">
        <v>36.69</v>
      </c>
      <c r="DA200" s="228">
        <v>36.33</v>
      </c>
      <c r="DB200" s="228">
        <v>0.36</v>
      </c>
      <c r="DC200" s="228">
        <v>0.36</v>
      </c>
      <c r="DD200" s="228">
        <v>41.71</v>
      </c>
      <c r="DE200" s="228">
        <v>41.67</v>
      </c>
      <c r="DF200" s="228">
        <v>-5.0199999999999996</v>
      </c>
      <c r="DG200" s="228">
        <v>0.04</v>
      </c>
      <c r="DH200" s="228">
        <v>36.619999999999997</v>
      </c>
      <c r="DI200" s="228">
        <v>36.01</v>
      </c>
      <c r="DJ200" s="228">
        <v>0.61</v>
      </c>
      <c r="DK200" s="228">
        <v>0.61</v>
      </c>
      <c r="DL200" s="228">
        <v>36.799999999999997</v>
      </c>
      <c r="DM200" s="228">
        <v>36.950000000000003</v>
      </c>
      <c r="DN200" s="228">
        <v>-0.15</v>
      </c>
      <c r="DO200" s="228">
        <v>-0.15</v>
      </c>
      <c r="DP200" s="228">
        <v>0.55000000000000004</v>
      </c>
      <c r="DQ200" s="228">
        <v>0.57999999999999996</v>
      </c>
      <c r="DR200" s="228">
        <v>-0.03</v>
      </c>
      <c r="DS200" s="229">
        <v>-5.1700000000000003E-2</v>
      </c>
      <c r="DT200" s="231">
        <v>4000</v>
      </c>
      <c r="DU200" s="231">
        <v>4000</v>
      </c>
      <c r="DV200" s="228">
        <v>0.57999999999999996</v>
      </c>
      <c r="DW200" s="228">
        <v>0.51</v>
      </c>
      <c r="DX200" s="228">
        <v>7.0000000000000007E-2</v>
      </c>
      <c r="DY200" s="229">
        <v>0.13730000000000001</v>
      </c>
      <c r="DZ200" s="229">
        <v>5.6000000000000001E-2</v>
      </c>
      <c r="EA200" s="230">
        <v>305600</v>
      </c>
      <c r="EB200" s="229">
        <v>6.1000000000000004E-3</v>
      </c>
      <c r="EC200" s="229">
        <v>5.6000000000000001E-2</v>
      </c>
      <c r="ED200" s="228">
        <v>23.91</v>
      </c>
      <c r="EE200" s="229">
        <v>6.7999999999999996E-3</v>
      </c>
      <c r="EF200" s="230">
        <v>518059</v>
      </c>
      <c r="EG200" s="230">
        <v>334831</v>
      </c>
      <c r="EH200" s="229">
        <v>0.54720000000000002</v>
      </c>
      <c r="EI200" s="229">
        <v>0.51329999999999998</v>
      </c>
      <c r="EJ200" s="231">
        <v>135542.07999999999</v>
      </c>
      <c r="EK200" s="231">
        <v>72532.740000000005</v>
      </c>
      <c r="EL200" s="231">
        <v>28152.799999999999</v>
      </c>
      <c r="EM200" s="231">
        <v>6858</v>
      </c>
      <c r="EN200" s="231">
        <v>236227.62</v>
      </c>
      <c r="EO200" s="231">
        <v>153642.01999999999</v>
      </c>
      <c r="EP200" s="231">
        <v>82585.600000000006</v>
      </c>
      <c r="EQ200" s="229">
        <v>0.53749999999999998</v>
      </c>
      <c r="ER200" s="231">
        <v>124326</v>
      </c>
      <c r="ES200" s="231">
        <v>65162</v>
      </c>
      <c r="ET200" s="231">
        <v>221334</v>
      </c>
      <c r="EU200" s="231">
        <v>33590487</v>
      </c>
      <c r="EV200" s="231">
        <v>410822</v>
      </c>
      <c r="EW200" s="231">
        <v>401419</v>
      </c>
      <c r="EX200" s="231">
        <v>9403</v>
      </c>
      <c r="EY200" s="229">
        <v>2.3400000000000001E-2</v>
      </c>
      <c r="EZ200" s="229">
        <v>0.32890000000000003</v>
      </c>
      <c r="FA200" s="227" t="s">
        <v>567</v>
      </c>
      <c r="FB200" s="161">
        <f t="shared" si="5"/>
        <v>0</v>
      </c>
    </row>
    <row r="201" spans="1:158" ht="17.25" thickBot="1" x14ac:dyDescent="0.3">
      <c r="A201" s="226">
        <v>46093</v>
      </c>
      <c r="B201" s="227" t="s">
        <v>162</v>
      </c>
      <c r="C201" s="227" t="s">
        <v>300</v>
      </c>
      <c r="D201" s="228">
        <v>175</v>
      </c>
      <c r="E201" s="231">
        <v>3426.6</v>
      </c>
      <c r="F201" s="231">
        <v>3597.2</v>
      </c>
      <c r="G201" s="228">
        <v>-170.6</v>
      </c>
      <c r="H201" s="229">
        <v>-4.7399999999999998E-2</v>
      </c>
      <c r="I201" s="231">
        <v>3422.6</v>
      </c>
      <c r="J201" s="231">
        <v>3600.8</v>
      </c>
      <c r="K201" s="228">
        <v>-178.2</v>
      </c>
      <c r="L201" s="229">
        <v>-4.9500000000000002E-2</v>
      </c>
      <c r="M201" s="231">
        <v>3426.6</v>
      </c>
      <c r="N201" s="231">
        <v>3597.2</v>
      </c>
      <c r="O201" s="228">
        <v>-170.6</v>
      </c>
      <c r="P201" s="229">
        <v>-4.7399999999999998E-2</v>
      </c>
      <c r="Q201" s="231">
        <v>3447.4</v>
      </c>
      <c r="R201" s="231">
        <v>3615.3</v>
      </c>
      <c r="S201" s="228">
        <v>-167.9</v>
      </c>
      <c r="T201" s="229">
        <v>-4.6399999999999997E-2</v>
      </c>
      <c r="U201" s="231">
        <v>3464.1</v>
      </c>
      <c r="V201" s="231">
        <v>3635.9</v>
      </c>
      <c r="W201" s="228">
        <v>-171.8</v>
      </c>
      <c r="X201" s="229">
        <v>-4.7300000000000002E-2</v>
      </c>
      <c r="Y201" s="228">
        <v>4</v>
      </c>
      <c r="Z201" s="228">
        <v>-3.6</v>
      </c>
      <c r="AA201" s="228">
        <v>7.6</v>
      </c>
      <c r="AB201" s="229">
        <v>1.1999999999999999E-3</v>
      </c>
      <c r="AC201" s="228">
        <v>4</v>
      </c>
      <c r="AD201" s="228">
        <v>-3.6</v>
      </c>
      <c r="AE201" s="228">
        <v>7.6</v>
      </c>
      <c r="AF201" s="229">
        <v>1.1999999999999999E-3</v>
      </c>
      <c r="AG201" s="228">
        <v>24.8</v>
      </c>
      <c r="AH201" s="228">
        <v>14.5</v>
      </c>
      <c r="AI201" s="228">
        <v>10.3</v>
      </c>
      <c r="AJ201" s="229">
        <v>7.1999999999999998E-3</v>
      </c>
      <c r="AK201" s="228">
        <v>41.5</v>
      </c>
      <c r="AL201" s="228">
        <v>35.1</v>
      </c>
      <c r="AM201" s="228">
        <v>6.4</v>
      </c>
      <c r="AN201" s="229">
        <v>1.21E-2</v>
      </c>
      <c r="AO201" s="231">
        <v>3462.9</v>
      </c>
      <c r="AP201" s="231">
        <v>3487.35</v>
      </c>
      <c r="AQ201" s="228">
        <v>0</v>
      </c>
      <c r="AR201" s="230">
        <v>2188550</v>
      </c>
      <c r="AS201" s="230">
        <v>1553300</v>
      </c>
      <c r="AT201" s="230">
        <v>635250</v>
      </c>
      <c r="AU201" s="229">
        <v>0.40899999999999997</v>
      </c>
      <c r="AV201" s="230">
        <v>2018100</v>
      </c>
      <c r="AW201" s="230">
        <v>1457575</v>
      </c>
      <c r="AX201" s="230">
        <v>560525</v>
      </c>
      <c r="AY201" s="229">
        <v>0.3846</v>
      </c>
      <c r="AZ201" s="230">
        <v>149450</v>
      </c>
      <c r="BA201" s="230">
        <v>85575</v>
      </c>
      <c r="BB201" s="230">
        <v>63875</v>
      </c>
      <c r="BC201" s="229">
        <v>0.74639999999999995</v>
      </c>
      <c r="BD201" s="230">
        <v>21000</v>
      </c>
      <c r="BE201" s="230">
        <v>10150</v>
      </c>
      <c r="BF201" s="230">
        <v>10850</v>
      </c>
      <c r="BG201" s="229">
        <v>1.069</v>
      </c>
      <c r="BH201" s="230">
        <v>4414375</v>
      </c>
      <c r="BI201" s="230">
        <v>3867675</v>
      </c>
      <c r="BJ201" s="230">
        <v>546700</v>
      </c>
      <c r="BK201" s="229">
        <v>0.1414</v>
      </c>
      <c r="BL201" s="230">
        <v>4137175</v>
      </c>
      <c r="BM201" s="230">
        <v>3957450</v>
      </c>
      <c r="BN201" s="230">
        <v>179725</v>
      </c>
      <c r="BO201" s="229">
        <v>4.5400000000000003E-2</v>
      </c>
      <c r="BP201" s="230">
        <v>10740100</v>
      </c>
      <c r="BQ201" s="230">
        <v>9378425</v>
      </c>
      <c r="BR201" s="230">
        <v>1361675</v>
      </c>
      <c r="BS201" s="229">
        <v>0.1452</v>
      </c>
      <c r="BT201" s="230">
        <v>2626713</v>
      </c>
      <c r="BU201" s="230">
        <v>1335349</v>
      </c>
      <c r="BV201" s="230">
        <v>1291364</v>
      </c>
      <c r="BW201" s="229">
        <v>0.96709999999999996</v>
      </c>
      <c r="BX201" s="230">
        <v>8616300</v>
      </c>
      <c r="BY201" s="230">
        <v>8141000</v>
      </c>
      <c r="BZ201" s="230">
        <v>475300</v>
      </c>
      <c r="CA201" s="229">
        <v>5.8400000000000001E-2</v>
      </c>
      <c r="CB201" s="230">
        <v>8511125</v>
      </c>
      <c r="CC201" s="230">
        <v>8062075</v>
      </c>
      <c r="CD201" s="230">
        <v>449050</v>
      </c>
      <c r="CE201" s="229">
        <v>5.57E-2</v>
      </c>
      <c r="CF201" s="230">
        <v>88550</v>
      </c>
      <c r="CG201" s="230">
        <v>68775</v>
      </c>
      <c r="CH201" s="230">
        <v>19775</v>
      </c>
      <c r="CI201" s="229">
        <v>0.28749999999999998</v>
      </c>
      <c r="CJ201" s="230">
        <v>16625</v>
      </c>
      <c r="CK201" s="230">
        <v>10150</v>
      </c>
      <c r="CL201" s="230">
        <v>6475</v>
      </c>
      <c r="CM201" s="229">
        <v>0.63790000000000002</v>
      </c>
      <c r="CN201" s="230">
        <v>2914975</v>
      </c>
      <c r="CO201" s="230">
        <v>2417800</v>
      </c>
      <c r="CP201" s="230">
        <v>497175</v>
      </c>
      <c r="CQ201" s="229">
        <v>0.2056</v>
      </c>
      <c r="CR201" s="230">
        <v>1786225</v>
      </c>
      <c r="CS201" s="230">
        <v>1671075</v>
      </c>
      <c r="CT201" s="230">
        <v>115150</v>
      </c>
      <c r="CU201" s="229">
        <v>6.8900000000000003E-2</v>
      </c>
      <c r="CV201" s="230">
        <v>13317500</v>
      </c>
      <c r="CW201" s="230">
        <v>12229875</v>
      </c>
      <c r="CX201" s="230">
        <v>1087625</v>
      </c>
      <c r="CY201" s="229">
        <v>8.8900000000000007E-2</v>
      </c>
      <c r="CZ201" s="228">
        <v>39.07</v>
      </c>
      <c r="DA201" s="228">
        <v>35.340000000000003</v>
      </c>
      <c r="DB201" s="228">
        <v>3.73</v>
      </c>
      <c r="DC201" s="228">
        <v>3.73</v>
      </c>
      <c r="DD201" s="228">
        <v>31.62</v>
      </c>
      <c r="DE201" s="228">
        <v>30.94</v>
      </c>
      <c r="DF201" s="228">
        <v>7.45</v>
      </c>
      <c r="DG201" s="228">
        <v>0.68</v>
      </c>
      <c r="DH201" s="228">
        <v>38.99</v>
      </c>
      <c r="DI201" s="228">
        <v>34.92</v>
      </c>
      <c r="DJ201" s="228">
        <v>4.07</v>
      </c>
      <c r="DK201" s="228">
        <v>4.07</v>
      </c>
      <c r="DL201" s="228">
        <v>39.14</v>
      </c>
      <c r="DM201" s="228">
        <v>35.74</v>
      </c>
      <c r="DN201" s="228">
        <v>3.4</v>
      </c>
      <c r="DO201" s="228">
        <v>3.4</v>
      </c>
      <c r="DP201" s="228">
        <v>0.61</v>
      </c>
      <c r="DQ201" s="228">
        <v>0.69</v>
      </c>
      <c r="DR201" s="228">
        <v>-0.08</v>
      </c>
      <c r="DS201" s="229">
        <v>-0.1159</v>
      </c>
      <c r="DT201" s="231">
        <v>3800</v>
      </c>
      <c r="DU201" s="231">
        <v>3400</v>
      </c>
      <c r="DV201" s="228">
        <v>0.94</v>
      </c>
      <c r="DW201" s="228">
        <v>1.02</v>
      </c>
      <c r="DX201" s="228">
        <v>-0.08</v>
      </c>
      <c r="DY201" s="229">
        <v>-7.8399999999999997E-2</v>
      </c>
      <c r="DZ201" s="229">
        <v>1.2200000000000001E-2</v>
      </c>
      <c r="EA201" s="230">
        <v>78925</v>
      </c>
      <c r="EB201" s="229">
        <v>6.1000000000000004E-3</v>
      </c>
      <c r="EC201" s="229">
        <v>1.2200000000000001E-2</v>
      </c>
      <c r="ED201" s="228">
        <v>24.45</v>
      </c>
      <c r="EE201" s="229">
        <v>7.1000000000000004E-3</v>
      </c>
      <c r="EF201" s="230">
        <v>1404908</v>
      </c>
      <c r="EG201" s="230">
        <v>724254</v>
      </c>
      <c r="EH201" s="229">
        <v>0.93979999999999997</v>
      </c>
      <c r="EI201" s="229">
        <v>0.53490000000000004</v>
      </c>
      <c r="EJ201" s="231">
        <v>165988.64000000001</v>
      </c>
      <c r="EK201" s="231">
        <v>146137.76999999999</v>
      </c>
      <c r="EL201" s="231">
        <v>75833.509999999995</v>
      </c>
      <c r="EM201" s="231">
        <v>5753</v>
      </c>
      <c r="EN201" s="231">
        <v>387959.92</v>
      </c>
      <c r="EO201" s="231">
        <v>352419.9</v>
      </c>
      <c r="EP201" s="231">
        <v>35540.019999999997</v>
      </c>
      <c r="EQ201" s="229">
        <v>0.1008</v>
      </c>
      <c r="ER201" s="231">
        <v>112655</v>
      </c>
      <c r="ES201" s="231">
        <v>64540</v>
      </c>
      <c r="ET201" s="231">
        <v>295271</v>
      </c>
      <c r="EU201" s="231">
        <v>31634588</v>
      </c>
      <c r="EV201" s="231">
        <v>472465</v>
      </c>
      <c r="EW201" s="231">
        <v>448755</v>
      </c>
      <c r="EX201" s="231">
        <v>23710</v>
      </c>
      <c r="EY201" s="229">
        <v>5.28E-2</v>
      </c>
      <c r="EZ201" s="229">
        <v>0.42099999999999999</v>
      </c>
      <c r="FA201" s="227" t="s">
        <v>567</v>
      </c>
      <c r="FB201" s="161">
        <f t="shared" si="5"/>
        <v>0</v>
      </c>
    </row>
    <row r="202" spans="1:158" ht="17.25" thickBot="1" x14ac:dyDescent="0.3">
      <c r="A202" s="226">
        <v>46093</v>
      </c>
      <c r="B202" s="227" t="s">
        <v>157</v>
      </c>
      <c r="C202" s="227" t="s">
        <v>302</v>
      </c>
      <c r="D202" s="228">
        <v>50</v>
      </c>
      <c r="E202" s="231">
        <v>11130</v>
      </c>
      <c r="F202" s="231">
        <v>11472</v>
      </c>
      <c r="G202" s="228">
        <v>-342</v>
      </c>
      <c r="H202" s="229">
        <v>-2.98E-2</v>
      </c>
      <c r="I202" s="231">
        <v>11089</v>
      </c>
      <c r="J202" s="231">
        <v>11462</v>
      </c>
      <c r="K202" s="228">
        <v>-373</v>
      </c>
      <c r="L202" s="229">
        <v>-3.2500000000000001E-2</v>
      </c>
      <c r="M202" s="231">
        <v>11130</v>
      </c>
      <c r="N202" s="231">
        <v>11472</v>
      </c>
      <c r="O202" s="228">
        <v>-342</v>
      </c>
      <c r="P202" s="229">
        <v>-2.98E-2</v>
      </c>
      <c r="Q202" s="231">
        <v>11195</v>
      </c>
      <c r="R202" s="231">
        <v>11550</v>
      </c>
      <c r="S202" s="228">
        <v>-355</v>
      </c>
      <c r="T202" s="229">
        <v>-3.0700000000000002E-2</v>
      </c>
      <c r="U202" s="231">
        <v>11260</v>
      </c>
      <c r="V202" s="231">
        <v>11620</v>
      </c>
      <c r="W202" s="228">
        <v>-360</v>
      </c>
      <c r="X202" s="229">
        <v>-3.1E-2</v>
      </c>
      <c r="Y202" s="228">
        <v>41</v>
      </c>
      <c r="Z202" s="228">
        <v>10</v>
      </c>
      <c r="AA202" s="228">
        <v>31</v>
      </c>
      <c r="AB202" s="229">
        <v>3.7000000000000002E-3</v>
      </c>
      <c r="AC202" s="228">
        <v>41</v>
      </c>
      <c r="AD202" s="228">
        <v>10</v>
      </c>
      <c r="AE202" s="228">
        <v>31</v>
      </c>
      <c r="AF202" s="229">
        <v>3.7000000000000002E-3</v>
      </c>
      <c r="AG202" s="228">
        <v>106</v>
      </c>
      <c r="AH202" s="228">
        <v>88</v>
      </c>
      <c r="AI202" s="228">
        <v>18</v>
      </c>
      <c r="AJ202" s="229">
        <v>9.5999999999999992E-3</v>
      </c>
      <c r="AK202" s="228">
        <v>171</v>
      </c>
      <c r="AL202" s="228">
        <v>158</v>
      </c>
      <c r="AM202" s="228">
        <v>13</v>
      </c>
      <c r="AN202" s="229">
        <v>1.54E-2</v>
      </c>
      <c r="AO202" s="231">
        <v>11236.86</v>
      </c>
      <c r="AP202" s="231">
        <v>11321.85</v>
      </c>
      <c r="AQ202" s="228">
        <v>0</v>
      </c>
      <c r="AR202" s="230">
        <v>354050</v>
      </c>
      <c r="AS202" s="230">
        <v>188300</v>
      </c>
      <c r="AT202" s="230">
        <v>165750</v>
      </c>
      <c r="AU202" s="229">
        <v>0.88019999999999998</v>
      </c>
      <c r="AV202" s="230">
        <v>331050</v>
      </c>
      <c r="AW202" s="230">
        <v>177500</v>
      </c>
      <c r="AX202" s="230">
        <v>153550</v>
      </c>
      <c r="AY202" s="229">
        <v>0.86509999999999998</v>
      </c>
      <c r="AZ202" s="230">
        <v>20550</v>
      </c>
      <c r="BA202" s="230">
        <v>10400</v>
      </c>
      <c r="BB202" s="230">
        <v>10150</v>
      </c>
      <c r="BC202" s="229">
        <v>0.97599999999999998</v>
      </c>
      <c r="BD202" s="230">
        <v>2450</v>
      </c>
      <c r="BE202" s="228">
        <v>400</v>
      </c>
      <c r="BF202" s="230">
        <v>2050</v>
      </c>
      <c r="BG202" s="229">
        <v>5.125</v>
      </c>
      <c r="BH202" s="230">
        <v>915000</v>
      </c>
      <c r="BI202" s="230">
        <v>615300</v>
      </c>
      <c r="BJ202" s="230">
        <v>299700</v>
      </c>
      <c r="BK202" s="229">
        <v>0.48709999999999998</v>
      </c>
      <c r="BL202" s="230">
        <v>382750</v>
      </c>
      <c r="BM202" s="230">
        <v>270800</v>
      </c>
      <c r="BN202" s="230">
        <v>111950</v>
      </c>
      <c r="BO202" s="229">
        <v>0.41339999999999999</v>
      </c>
      <c r="BP202" s="230">
        <v>1651800</v>
      </c>
      <c r="BQ202" s="230">
        <v>1074400</v>
      </c>
      <c r="BR202" s="230">
        <v>577400</v>
      </c>
      <c r="BS202" s="229">
        <v>0.53739999999999999</v>
      </c>
      <c r="BT202" s="230">
        <v>544321</v>
      </c>
      <c r="BU202" s="230">
        <v>239649</v>
      </c>
      <c r="BV202" s="230">
        <v>304672</v>
      </c>
      <c r="BW202" s="229">
        <v>1.2713000000000001</v>
      </c>
      <c r="BX202" s="230">
        <v>2179350</v>
      </c>
      <c r="BY202" s="230">
        <v>2121250</v>
      </c>
      <c r="BZ202" s="230">
        <v>58100</v>
      </c>
      <c r="CA202" s="229">
        <v>2.7400000000000001E-2</v>
      </c>
      <c r="CB202" s="230">
        <v>2125700</v>
      </c>
      <c r="CC202" s="230">
        <v>2077150</v>
      </c>
      <c r="CD202" s="230">
        <v>48550</v>
      </c>
      <c r="CE202" s="229">
        <v>2.3400000000000001E-2</v>
      </c>
      <c r="CF202" s="230">
        <v>46900</v>
      </c>
      <c r="CG202" s="230">
        <v>38500</v>
      </c>
      <c r="CH202" s="230">
        <v>8400</v>
      </c>
      <c r="CI202" s="229">
        <v>0.21820000000000001</v>
      </c>
      <c r="CJ202" s="230">
        <v>6750</v>
      </c>
      <c r="CK202" s="230">
        <v>5600</v>
      </c>
      <c r="CL202" s="230">
        <v>1150</v>
      </c>
      <c r="CM202" s="229">
        <v>0.2054</v>
      </c>
      <c r="CN202" s="230">
        <v>876150</v>
      </c>
      <c r="CO202" s="230">
        <v>837800</v>
      </c>
      <c r="CP202" s="230">
        <v>38350</v>
      </c>
      <c r="CQ202" s="229">
        <v>4.58E-2</v>
      </c>
      <c r="CR202" s="230">
        <v>395450</v>
      </c>
      <c r="CS202" s="230">
        <v>399300</v>
      </c>
      <c r="CT202" s="230">
        <v>-3850</v>
      </c>
      <c r="CU202" s="229">
        <v>-9.5999999999999992E-3</v>
      </c>
      <c r="CV202" s="230">
        <v>3450950</v>
      </c>
      <c r="CW202" s="230">
        <v>3358350</v>
      </c>
      <c r="CX202" s="230">
        <v>92600</v>
      </c>
      <c r="CY202" s="229">
        <v>2.76E-2</v>
      </c>
      <c r="CZ202" s="228">
        <v>33.44</v>
      </c>
      <c r="DA202" s="228">
        <v>31.68</v>
      </c>
      <c r="DB202" s="228">
        <v>1.76</v>
      </c>
      <c r="DC202" s="228">
        <v>1.76</v>
      </c>
      <c r="DD202" s="228">
        <v>25.84</v>
      </c>
      <c r="DE202" s="228">
        <v>25.51</v>
      </c>
      <c r="DF202" s="228">
        <v>7.6</v>
      </c>
      <c r="DG202" s="228">
        <v>0.33</v>
      </c>
      <c r="DH202" s="228">
        <v>33.049999999999997</v>
      </c>
      <c r="DI202" s="228">
        <v>31.12</v>
      </c>
      <c r="DJ202" s="228">
        <v>1.93</v>
      </c>
      <c r="DK202" s="228">
        <v>1.93</v>
      </c>
      <c r="DL202" s="228">
        <v>34.35</v>
      </c>
      <c r="DM202" s="228">
        <v>32.96</v>
      </c>
      <c r="DN202" s="228">
        <v>1.39</v>
      </c>
      <c r="DO202" s="228">
        <v>1.39</v>
      </c>
      <c r="DP202" s="228">
        <v>0.45</v>
      </c>
      <c r="DQ202" s="228">
        <v>0.48</v>
      </c>
      <c r="DR202" s="228">
        <v>-0.03</v>
      </c>
      <c r="DS202" s="229">
        <v>-6.25E-2</v>
      </c>
      <c r="DT202" s="231">
        <v>13000</v>
      </c>
      <c r="DU202" s="231">
        <v>11000</v>
      </c>
      <c r="DV202" s="228">
        <v>0.42</v>
      </c>
      <c r="DW202" s="228">
        <v>0.44</v>
      </c>
      <c r="DX202" s="228">
        <v>-0.02</v>
      </c>
      <c r="DY202" s="229">
        <v>-4.5499999999999999E-2</v>
      </c>
      <c r="DZ202" s="229">
        <v>2.46E-2</v>
      </c>
      <c r="EA202" s="230">
        <v>44100</v>
      </c>
      <c r="EB202" s="229">
        <v>5.7999999999999996E-3</v>
      </c>
      <c r="EC202" s="229">
        <v>2.46E-2</v>
      </c>
      <c r="ED202" s="228">
        <v>84.99</v>
      </c>
      <c r="EE202" s="229">
        <v>7.6E-3</v>
      </c>
      <c r="EF202" s="230">
        <v>353773</v>
      </c>
      <c r="EG202" s="230">
        <v>142489</v>
      </c>
      <c r="EH202" s="229">
        <v>1.4827999999999999</v>
      </c>
      <c r="EI202" s="229">
        <v>0.64990000000000003</v>
      </c>
      <c r="EJ202" s="231">
        <v>112992.59</v>
      </c>
      <c r="EK202" s="231">
        <v>42974.21</v>
      </c>
      <c r="EL202" s="231">
        <v>39804.699999999997</v>
      </c>
      <c r="EM202" s="231">
        <v>7453</v>
      </c>
      <c r="EN202" s="231">
        <v>195771.5</v>
      </c>
      <c r="EO202" s="231">
        <v>130794.88</v>
      </c>
      <c r="EP202" s="231">
        <v>64976.62</v>
      </c>
      <c r="EQ202" s="229">
        <v>0.49680000000000002</v>
      </c>
      <c r="ER202" s="231">
        <v>111142</v>
      </c>
      <c r="ES202" s="231">
        <v>46494</v>
      </c>
      <c r="ET202" s="231">
        <v>242601</v>
      </c>
      <c r="EU202" s="231">
        <v>11955674</v>
      </c>
      <c r="EV202" s="231">
        <v>400236</v>
      </c>
      <c r="EW202" s="231">
        <v>397597</v>
      </c>
      <c r="EX202" s="231">
        <v>2639</v>
      </c>
      <c r="EY202" s="229">
        <v>6.6E-3</v>
      </c>
      <c r="EZ202" s="229">
        <v>0.28860000000000002</v>
      </c>
      <c r="FA202" s="227" t="s">
        <v>567</v>
      </c>
      <c r="FB202" s="161">
        <f t="shared" si="5"/>
        <v>0</v>
      </c>
    </row>
    <row r="203" spans="1:158" ht="17.25" thickBot="1" x14ac:dyDescent="0.3">
      <c r="A203" s="226">
        <v>46093</v>
      </c>
      <c r="B203" s="227" t="s">
        <v>172</v>
      </c>
      <c r="C203" s="227" t="s">
        <v>593</v>
      </c>
      <c r="D203" s="228">
        <v>4425</v>
      </c>
      <c r="E203" s="228">
        <v>182.7</v>
      </c>
      <c r="F203" s="228">
        <v>181.55</v>
      </c>
      <c r="G203" s="228">
        <v>1.1499999999999999</v>
      </c>
      <c r="H203" s="229">
        <v>6.3E-3</v>
      </c>
      <c r="I203" s="228">
        <v>182.1</v>
      </c>
      <c r="J203" s="228">
        <v>180.92</v>
      </c>
      <c r="K203" s="228">
        <v>1.18</v>
      </c>
      <c r="L203" s="229">
        <v>6.4999999999999997E-3</v>
      </c>
      <c r="M203" s="228">
        <v>182.7</v>
      </c>
      <c r="N203" s="228">
        <v>181.55</v>
      </c>
      <c r="O203" s="228">
        <v>1.1499999999999999</v>
      </c>
      <c r="P203" s="229">
        <v>6.3E-3</v>
      </c>
      <c r="Q203" s="228">
        <v>183.7</v>
      </c>
      <c r="R203" s="228">
        <v>182.72</v>
      </c>
      <c r="S203" s="228">
        <v>0.98</v>
      </c>
      <c r="T203" s="229">
        <v>5.4000000000000003E-3</v>
      </c>
      <c r="U203" s="228">
        <v>184.8</v>
      </c>
      <c r="V203" s="228">
        <v>183.84</v>
      </c>
      <c r="W203" s="228">
        <v>0.96</v>
      </c>
      <c r="X203" s="229">
        <v>5.1999999999999998E-3</v>
      </c>
      <c r="Y203" s="228">
        <v>0.6</v>
      </c>
      <c r="Z203" s="228">
        <v>0.63</v>
      </c>
      <c r="AA203" s="228">
        <v>-0.03</v>
      </c>
      <c r="AB203" s="229">
        <v>3.3E-3</v>
      </c>
      <c r="AC203" s="228">
        <v>0.6</v>
      </c>
      <c r="AD203" s="228">
        <v>0.63</v>
      </c>
      <c r="AE203" s="228">
        <v>-0.03</v>
      </c>
      <c r="AF203" s="229">
        <v>3.3E-3</v>
      </c>
      <c r="AG203" s="228">
        <v>1.6</v>
      </c>
      <c r="AH203" s="228">
        <v>1.8</v>
      </c>
      <c r="AI203" s="228">
        <v>-0.2</v>
      </c>
      <c r="AJ203" s="229">
        <v>8.8000000000000005E-3</v>
      </c>
      <c r="AK203" s="228">
        <v>2.7</v>
      </c>
      <c r="AL203" s="228">
        <v>2.92</v>
      </c>
      <c r="AM203" s="228">
        <v>-0.22</v>
      </c>
      <c r="AN203" s="229">
        <v>1.4800000000000001E-2</v>
      </c>
      <c r="AO203" s="228">
        <v>180.52</v>
      </c>
      <c r="AP203" s="228">
        <v>181.05</v>
      </c>
      <c r="AQ203" s="228">
        <v>0</v>
      </c>
      <c r="AR203" s="230">
        <v>24412725</v>
      </c>
      <c r="AS203" s="230">
        <v>20120475</v>
      </c>
      <c r="AT203" s="230">
        <v>4292250</v>
      </c>
      <c r="AU203" s="229">
        <v>0.21329999999999999</v>
      </c>
      <c r="AV203" s="230">
        <v>22319700</v>
      </c>
      <c r="AW203" s="230">
        <v>17686725</v>
      </c>
      <c r="AX203" s="230">
        <v>4632975</v>
      </c>
      <c r="AY203" s="229">
        <v>0.26190000000000002</v>
      </c>
      <c r="AZ203" s="230">
        <v>1871775</v>
      </c>
      <c r="BA203" s="230">
        <v>2247900</v>
      </c>
      <c r="BB203" s="230">
        <v>-376125</v>
      </c>
      <c r="BC203" s="229">
        <v>-0.1673</v>
      </c>
      <c r="BD203" s="230">
        <v>221250</v>
      </c>
      <c r="BE203" s="230">
        <v>185850</v>
      </c>
      <c r="BF203" s="230">
        <v>35400</v>
      </c>
      <c r="BG203" s="229">
        <v>0.1905</v>
      </c>
      <c r="BH203" s="230">
        <v>40440075</v>
      </c>
      <c r="BI203" s="230">
        <v>32448525</v>
      </c>
      <c r="BJ203" s="230">
        <v>7991550</v>
      </c>
      <c r="BK203" s="229">
        <v>0.24629999999999999</v>
      </c>
      <c r="BL203" s="230">
        <v>16505250</v>
      </c>
      <c r="BM203" s="230">
        <v>13434300</v>
      </c>
      <c r="BN203" s="230">
        <v>3070950</v>
      </c>
      <c r="BO203" s="229">
        <v>0.2286</v>
      </c>
      <c r="BP203" s="230">
        <v>81358050</v>
      </c>
      <c r="BQ203" s="230">
        <v>66003300</v>
      </c>
      <c r="BR203" s="230">
        <v>15354750</v>
      </c>
      <c r="BS203" s="229">
        <v>0.2326</v>
      </c>
      <c r="BT203" s="230">
        <v>14492477</v>
      </c>
      <c r="BU203" s="230">
        <v>13040306</v>
      </c>
      <c r="BV203" s="230">
        <v>1452171</v>
      </c>
      <c r="BW203" s="229">
        <v>0.1114</v>
      </c>
      <c r="BX203" s="230">
        <v>92349750</v>
      </c>
      <c r="BY203" s="230">
        <v>87592875</v>
      </c>
      <c r="BZ203" s="230">
        <v>4756875</v>
      </c>
      <c r="CA203" s="229">
        <v>5.4300000000000001E-2</v>
      </c>
      <c r="CB203" s="230">
        <v>83650200</v>
      </c>
      <c r="CC203" s="230">
        <v>79464150</v>
      </c>
      <c r="CD203" s="230">
        <v>4186050</v>
      </c>
      <c r="CE203" s="229">
        <v>5.2699999999999997E-2</v>
      </c>
      <c r="CF203" s="230">
        <v>6075525</v>
      </c>
      <c r="CG203" s="230">
        <v>5553375</v>
      </c>
      <c r="CH203" s="230">
        <v>522150</v>
      </c>
      <c r="CI203" s="229">
        <v>9.4E-2</v>
      </c>
      <c r="CJ203" s="230">
        <v>2624025</v>
      </c>
      <c r="CK203" s="230">
        <v>2575350</v>
      </c>
      <c r="CL203" s="230">
        <v>48675</v>
      </c>
      <c r="CM203" s="229">
        <v>1.89E-2</v>
      </c>
      <c r="CN203" s="230">
        <v>36882375</v>
      </c>
      <c r="CO203" s="230">
        <v>35740725</v>
      </c>
      <c r="CP203" s="230">
        <v>1141650</v>
      </c>
      <c r="CQ203" s="229">
        <v>3.1899999999999998E-2</v>
      </c>
      <c r="CR203" s="230">
        <v>26793375</v>
      </c>
      <c r="CS203" s="230">
        <v>26819925</v>
      </c>
      <c r="CT203" s="230">
        <v>-26550</v>
      </c>
      <c r="CU203" s="229">
        <v>-1E-3</v>
      </c>
      <c r="CV203" s="230">
        <v>156025500</v>
      </c>
      <c r="CW203" s="230">
        <v>150153525</v>
      </c>
      <c r="CX203" s="230">
        <v>5871975</v>
      </c>
      <c r="CY203" s="229">
        <v>3.9100000000000003E-2</v>
      </c>
      <c r="CZ203" s="228">
        <v>40.15</v>
      </c>
      <c r="DA203" s="228">
        <v>40.29</v>
      </c>
      <c r="DB203" s="228">
        <v>-0.14000000000000001</v>
      </c>
      <c r="DC203" s="228">
        <v>-0.14000000000000001</v>
      </c>
      <c r="DD203" s="228">
        <v>41.34</v>
      </c>
      <c r="DE203" s="228">
        <v>41.44</v>
      </c>
      <c r="DF203" s="228">
        <v>-1.19</v>
      </c>
      <c r="DG203" s="228">
        <v>-0.1</v>
      </c>
      <c r="DH203" s="228">
        <v>39.29</v>
      </c>
      <c r="DI203" s="228">
        <v>39.79</v>
      </c>
      <c r="DJ203" s="228">
        <v>-0.5</v>
      </c>
      <c r="DK203" s="228">
        <v>-0.5</v>
      </c>
      <c r="DL203" s="228">
        <v>42.25</v>
      </c>
      <c r="DM203" s="228">
        <v>41.51</v>
      </c>
      <c r="DN203" s="228">
        <v>0.74</v>
      </c>
      <c r="DO203" s="228">
        <v>0.74</v>
      </c>
      <c r="DP203" s="228">
        <v>0.73</v>
      </c>
      <c r="DQ203" s="228">
        <v>0.75</v>
      </c>
      <c r="DR203" s="228">
        <v>-0.02</v>
      </c>
      <c r="DS203" s="229">
        <v>-2.6700000000000002E-2</v>
      </c>
      <c r="DT203" s="228">
        <v>200</v>
      </c>
      <c r="DU203" s="228">
        <v>190</v>
      </c>
      <c r="DV203" s="228">
        <v>0.41</v>
      </c>
      <c r="DW203" s="228">
        <v>0.41</v>
      </c>
      <c r="DX203" s="228">
        <v>0</v>
      </c>
      <c r="DY203" s="229">
        <v>0</v>
      </c>
      <c r="DZ203" s="229">
        <v>9.4200000000000006E-2</v>
      </c>
      <c r="EA203" s="230">
        <v>8128725</v>
      </c>
      <c r="EB203" s="229">
        <v>5.4999999999999997E-3</v>
      </c>
      <c r="EC203" s="229">
        <v>9.4200000000000006E-2</v>
      </c>
      <c r="ED203" s="228">
        <v>0.53</v>
      </c>
      <c r="EE203" s="229">
        <v>2.8999999999999998E-3</v>
      </c>
      <c r="EF203" s="230">
        <v>5151991</v>
      </c>
      <c r="EG203" s="230">
        <v>5558627</v>
      </c>
      <c r="EH203" s="229">
        <v>-7.3200000000000001E-2</v>
      </c>
      <c r="EI203" s="229">
        <v>0.35549999999999998</v>
      </c>
      <c r="EJ203" s="231">
        <v>78082.960000000006</v>
      </c>
      <c r="EK203" s="231">
        <v>29631.05</v>
      </c>
      <c r="EL203" s="231">
        <v>44083.88</v>
      </c>
      <c r="EM203" s="231">
        <v>6750</v>
      </c>
      <c r="EN203" s="231">
        <v>151797.89000000001</v>
      </c>
      <c r="EO203" s="231">
        <v>125283.86</v>
      </c>
      <c r="EP203" s="231">
        <v>26514.03</v>
      </c>
      <c r="EQ203" s="229">
        <v>0.21160000000000001</v>
      </c>
      <c r="ER203" s="231">
        <v>73058</v>
      </c>
      <c r="ES203" s="231">
        <v>49267</v>
      </c>
      <c r="ET203" s="231">
        <v>168839</v>
      </c>
      <c r="EU203" s="231">
        <v>289041713</v>
      </c>
      <c r="EV203" s="231">
        <v>291164</v>
      </c>
      <c r="EW203" s="231">
        <v>279634</v>
      </c>
      <c r="EX203" s="231">
        <v>11530</v>
      </c>
      <c r="EY203" s="229">
        <v>4.1200000000000001E-2</v>
      </c>
      <c r="EZ203" s="229">
        <v>0.53979999999999995</v>
      </c>
      <c r="FA203" s="227" t="s">
        <v>555</v>
      </c>
      <c r="FB203" s="161">
        <f t="shared" si="5"/>
        <v>0</v>
      </c>
    </row>
    <row r="204" spans="1:158" ht="17.25" thickBot="1" x14ac:dyDescent="0.3">
      <c r="A204" s="226">
        <v>46093</v>
      </c>
      <c r="B204" s="227" t="s">
        <v>168</v>
      </c>
      <c r="C204" s="227" t="s">
        <v>569</v>
      </c>
      <c r="D204" s="228">
        <v>400</v>
      </c>
      <c r="E204" s="231">
        <v>1365</v>
      </c>
      <c r="F204" s="231">
        <v>1386.1</v>
      </c>
      <c r="G204" s="228">
        <v>-21.1</v>
      </c>
      <c r="H204" s="229">
        <v>-1.52E-2</v>
      </c>
      <c r="I204" s="231">
        <v>1363.5</v>
      </c>
      <c r="J204" s="231">
        <v>1382.1</v>
      </c>
      <c r="K204" s="228">
        <v>-18.600000000000001</v>
      </c>
      <c r="L204" s="229">
        <v>-1.35E-2</v>
      </c>
      <c r="M204" s="231">
        <v>1365</v>
      </c>
      <c r="N204" s="231">
        <v>1386.1</v>
      </c>
      <c r="O204" s="228">
        <v>-21.1</v>
      </c>
      <c r="P204" s="229">
        <v>-1.52E-2</v>
      </c>
      <c r="Q204" s="231">
        <v>1373.8</v>
      </c>
      <c r="R204" s="231">
        <v>1393.6</v>
      </c>
      <c r="S204" s="228">
        <v>-19.8</v>
      </c>
      <c r="T204" s="229">
        <v>-1.4200000000000001E-2</v>
      </c>
      <c r="U204" s="231">
        <v>1386.4</v>
      </c>
      <c r="V204" s="231">
        <v>1403</v>
      </c>
      <c r="W204" s="228">
        <v>-16.600000000000001</v>
      </c>
      <c r="X204" s="229">
        <v>-1.18E-2</v>
      </c>
      <c r="Y204" s="228">
        <v>1.5</v>
      </c>
      <c r="Z204" s="228">
        <v>4</v>
      </c>
      <c r="AA204" s="228">
        <v>-2.5</v>
      </c>
      <c r="AB204" s="229">
        <v>1.1000000000000001E-3</v>
      </c>
      <c r="AC204" s="228">
        <v>1.5</v>
      </c>
      <c r="AD204" s="228">
        <v>4</v>
      </c>
      <c r="AE204" s="228">
        <v>-2.5</v>
      </c>
      <c r="AF204" s="229">
        <v>1.1000000000000001E-3</v>
      </c>
      <c r="AG204" s="228">
        <v>10.3</v>
      </c>
      <c r="AH204" s="228">
        <v>11.5</v>
      </c>
      <c r="AI204" s="228">
        <v>-1.2</v>
      </c>
      <c r="AJ204" s="229">
        <v>7.6E-3</v>
      </c>
      <c r="AK204" s="228">
        <v>22.9</v>
      </c>
      <c r="AL204" s="228">
        <v>20.9</v>
      </c>
      <c r="AM204" s="228">
        <v>2</v>
      </c>
      <c r="AN204" s="229">
        <v>1.6799999999999999E-2</v>
      </c>
      <c r="AO204" s="231">
        <v>1362.58</v>
      </c>
      <c r="AP204" s="231">
        <v>1368.79</v>
      </c>
      <c r="AQ204" s="228">
        <v>0</v>
      </c>
      <c r="AR204" s="230">
        <v>1569600</v>
      </c>
      <c r="AS204" s="230">
        <v>981200</v>
      </c>
      <c r="AT204" s="230">
        <v>588400</v>
      </c>
      <c r="AU204" s="229">
        <v>0.59970000000000001</v>
      </c>
      <c r="AV204" s="230">
        <v>1500400</v>
      </c>
      <c r="AW204" s="230">
        <v>927600</v>
      </c>
      <c r="AX204" s="230">
        <v>572800</v>
      </c>
      <c r="AY204" s="229">
        <v>0.61750000000000005</v>
      </c>
      <c r="AZ204" s="230">
        <v>66800</v>
      </c>
      <c r="BA204" s="230">
        <v>50000</v>
      </c>
      <c r="BB204" s="230">
        <v>16800</v>
      </c>
      <c r="BC204" s="229">
        <v>0.33600000000000002</v>
      </c>
      <c r="BD204" s="230">
        <v>2400</v>
      </c>
      <c r="BE204" s="230">
        <v>3600</v>
      </c>
      <c r="BF204" s="230">
        <v>-1200</v>
      </c>
      <c r="BG204" s="229">
        <v>-0.33329999999999999</v>
      </c>
      <c r="BH204" s="230">
        <v>2567200</v>
      </c>
      <c r="BI204" s="230">
        <v>2276400</v>
      </c>
      <c r="BJ204" s="230">
        <v>290800</v>
      </c>
      <c r="BK204" s="229">
        <v>0.12770000000000001</v>
      </c>
      <c r="BL204" s="230">
        <v>1594400</v>
      </c>
      <c r="BM204" s="230">
        <v>1642400</v>
      </c>
      <c r="BN204" s="230">
        <v>-48000</v>
      </c>
      <c r="BO204" s="229">
        <v>-2.92E-2</v>
      </c>
      <c r="BP204" s="230">
        <v>5731200</v>
      </c>
      <c r="BQ204" s="230">
        <v>4900000</v>
      </c>
      <c r="BR204" s="230">
        <v>831200</v>
      </c>
      <c r="BS204" s="229">
        <v>0.1696</v>
      </c>
      <c r="BT204" s="230">
        <v>858846</v>
      </c>
      <c r="BU204" s="230">
        <v>331636</v>
      </c>
      <c r="BV204" s="230">
        <v>527210</v>
      </c>
      <c r="BW204" s="229">
        <v>1.5896999999999999</v>
      </c>
      <c r="BX204" s="230">
        <v>10428000</v>
      </c>
      <c r="BY204" s="230">
        <v>10215200</v>
      </c>
      <c r="BZ204" s="230">
        <v>212800</v>
      </c>
      <c r="CA204" s="229">
        <v>2.0799999999999999E-2</v>
      </c>
      <c r="CB204" s="230">
        <v>10252000</v>
      </c>
      <c r="CC204" s="230">
        <v>10051600</v>
      </c>
      <c r="CD204" s="230">
        <v>200400</v>
      </c>
      <c r="CE204" s="229">
        <v>1.9900000000000001E-2</v>
      </c>
      <c r="CF204" s="230">
        <v>165200</v>
      </c>
      <c r="CG204" s="230">
        <v>152800</v>
      </c>
      <c r="CH204" s="230">
        <v>12400</v>
      </c>
      <c r="CI204" s="229">
        <v>8.1199999999999994E-2</v>
      </c>
      <c r="CJ204" s="230">
        <v>10800</v>
      </c>
      <c r="CK204" s="230">
        <v>10800</v>
      </c>
      <c r="CL204" s="228">
        <v>0</v>
      </c>
      <c r="CM204" s="229">
        <v>0</v>
      </c>
      <c r="CN204" s="230">
        <v>3021600</v>
      </c>
      <c r="CO204" s="230">
        <v>2984800</v>
      </c>
      <c r="CP204" s="230">
        <v>36800</v>
      </c>
      <c r="CQ204" s="229">
        <v>1.23E-2</v>
      </c>
      <c r="CR204" s="230">
        <v>2419600</v>
      </c>
      <c r="CS204" s="230">
        <v>2320800</v>
      </c>
      <c r="CT204" s="230">
        <v>98800</v>
      </c>
      <c r="CU204" s="229">
        <v>4.2599999999999999E-2</v>
      </c>
      <c r="CV204" s="230">
        <v>15869200</v>
      </c>
      <c r="CW204" s="230">
        <v>15520800</v>
      </c>
      <c r="CX204" s="230">
        <v>348400</v>
      </c>
      <c r="CY204" s="229">
        <v>2.24E-2</v>
      </c>
      <c r="CZ204" s="228">
        <v>29.19</v>
      </c>
      <c r="DA204" s="228">
        <v>27.72</v>
      </c>
      <c r="DB204" s="228">
        <v>1.47</v>
      </c>
      <c r="DC204" s="228">
        <v>1.47</v>
      </c>
      <c r="DD204" s="228">
        <v>28.06</v>
      </c>
      <c r="DE204" s="228">
        <v>28.07</v>
      </c>
      <c r="DF204" s="228">
        <v>1.1299999999999999</v>
      </c>
      <c r="DG204" s="228">
        <v>-0.01</v>
      </c>
      <c r="DH204" s="228">
        <v>28.77</v>
      </c>
      <c r="DI204" s="228">
        <v>27.46</v>
      </c>
      <c r="DJ204" s="228">
        <v>1.31</v>
      </c>
      <c r="DK204" s="228">
        <v>1.31</v>
      </c>
      <c r="DL204" s="228">
        <v>29.88</v>
      </c>
      <c r="DM204" s="228">
        <v>28.08</v>
      </c>
      <c r="DN204" s="228">
        <v>1.8</v>
      </c>
      <c r="DO204" s="228">
        <v>1.8</v>
      </c>
      <c r="DP204" s="228">
        <v>0.8</v>
      </c>
      <c r="DQ204" s="228">
        <v>0.78</v>
      </c>
      <c r="DR204" s="228">
        <v>0.02</v>
      </c>
      <c r="DS204" s="229">
        <v>2.5600000000000001E-2</v>
      </c>
      <c r="DT204" s="231">
        <v>1500</v>
      </c>
      <c r="DU204" s="231">
        <v>1400</v>
      </c>
      <c r="DV204" s="228">
        <v>0.62</v>
      </c>
      <c r="DW204" s="228">
        <v>0.72</v>
      </c>
      <c r="DX204" s="228">
        <v>-0.1</v>
      </c>
      <c r="DY204" s="229">
        <v>-0.1389</v>
      </c>
      <c r="DZ204" s="229">
        <v>1.6899999999999998E-2</v>
      </c>
      <c r="EA204" s="230">
        <v>163600</v>
      </c>
      <c r="EB204" s="229">
        <v>6.4000000000000003E-3</v>
      </c>
      <c r="EC204" s="229">
        <v>1.6899999999999998E-2</v>
      </c>
      <c r="ED204" s="228">
        <v>6.21</v>
      </c>
      <c r="EE204" s="229">
        <v>4.5999999999999999E-3</v>
      </c>
      <c r="EF204" s="230">
        <v>466058</v>
      </c>
      <c r="EG204" s="230">
        <v>146724</v>
      </c>
      <c r="EH204" s="229">
        <v>2.1764000000000001</v>
      </c>
      <c r="EI204" s="229">
        <v>0.54269999999999996</v>
      </c>
      <c r="EJ204" s="231">
        <v>37106.42</v>
      </c>
      <c r="EK204" s="231">
        <v>21642.13</v>
      </c>
      <c r="EL204" s="231">
        <v>21391.53</v>
      </c>
      <c r="EM204" s="231">
        <v>7109</v>
      </c>
      <c r="EN204" s="231">
        <v>80140.08</v>
      </c>
      <c r="EO204" s="231">
        <v>69745.899999999994</v>
      </c>
      <c r="EP204" s="231">
        <v>10394.18</v>
      </c>
      <c r="EQ204" s="229">
        <v>0.14899999999999999</v>
      </c>
      <c r="ER204" s="231">
        <v>43658</v>
      </c>
      <c r="ES204" s="231">
        <v>32809</v>
      </c>
      <c r="ET204" s="231">
        <v>142359</v>
      </c>
      <c r="EU204" s="231">
        <v>37091426</v>
      </c>
      <c r="EV204" s="231">
        <v>218826</v>
      </c>
      <c r="EW204" s="231">
        <v>216346</v>
      </c>
      <c r="EX204" s="231">
        <v>2480</v>
      </c>
      <c r="EY204" s="229">
        <v>1.15E-2</v>
      </c>
      <c r="EZ204" s="229">
        <v>0.42780000000000001</v>
      </c>
      <c r="FA204" s="227" t="s">
        <v>567</v>
      </c>
      <c r="FB204" s="161">
        <f t="shared" si="5"/>
        <v>0</v>
      </c>
    </row>
    <row r="205" spans="1:158" ht="17.25" thickBot="1" x14ac:dyDescent="0.3">
      <c r="A205" s="226">
        <v>46093</v>
      </c>
      <c r="B205" s="227" t="s">
        <v>162</v>
      </c>
      <c r="C205" s="227" t="s">
        <v>673</v>
      </c>
      <c r="D205" s="228">
        <v>550</v>
      </c>
      <c r="E205" s="231">
        <v>1069.5</v>
      </c>
      <c r="F205" s="231">
        <v>1082.5999999999999</v>
      </c>
      <c r="G205" s="228">
        <v>-13.1</v>
      </c>
      <c r="H205" s="229">
        <v>-1.21E-2</v>
      </c>
      <c r="I205" s="231">
        <v>1068.5</v>
      </c>
      <c r="J205" s="231">
        <v>1081.7</v>
      </c>
      <c r="K205" s="228">
        <v>-13.2</v>
      </c>
      <c r="L205" s="229">
        <v>-1.2200000000000001E-2</v>
      </c>
      <c r="M205" s="231">
        <v>1069.5</v>
      </c>
      <c r="N205" s="231">
        <v>1082.5999999999999</v>
      </c>
      <c r="O205" s="228">
        <v>-13.1</v>
      </c>
      <c r="P205" s="229">
        <v>-1.21E-2</v>
      </c>
      <c r="Q205" s="231">
        <v>1077.2</v>
      </c>
      <c r="R205" s="231">
        <v>1090.5999999999999</v>
      </c>
      <c r="S205" s="228">
        <v>-13.4</v>
      </c>
      <c r="T205" s="229">
        <v>-1.23E-2</v>
      </c>
      <c r="U205" s="231">
        <v>1090</v>
      </c>
      <c r="V205" s="231">
        <v>1098.2</v>
      </c>
      <c r="W205" s="228">
        <v>-8.1999999999999993</v>
      </c>
      <c r="X205" s="229">
        <v>-7.4999999999999997E-3</v>
      </c>
      <c r="Y205" s="228">
        <v>1</v>
      </c>
      <c r="Z205" s="228">
        <v>0.9</v>
      </c>
      <c r="AA205" s="228">
        <v>0.1</v>
      </c>
      <c r="AB205" s="229">
        <v>8.9999999999999998E-4</v>
      </c>
      <c r="AC205" s="228">
        <v>1</v>
      </c>
      <c r="AD205" s="228">
        <v>0.9</v>
      </c>
      <c r="AE205" s="228">
        <v>0.1</v>
      </c>
      <c r="AF205" s="229">
        <v>8.9999999999999998E-4</v>
      </c>
      <c r="AG205" s="228">
        <v>8.6999999999999993</v>
      </c>
      <c r="AH205" s="228">
        <v>8.9</v>
      </c>
      <c r="AI205" s="228">
        <v>-0.2</v>
      </c>
      <c r="AJ205" s="229">
        <v>8.0999999999999996E-3</v>
      </c>
      <c r="AK205" s="228">
        <v>21.5</v>
      </c>
      <c r="AL205" s="228">
        <v>16.5</v>
      </c>
      <c r="AM205" s="228">
        <v>5</v>
      </c>
      <c r="AN205" s="229">
        <v>2.01E-2</v>
      </c>
      <c r="AO205" s="231">
        <v>1066.01</v>
      </c>
      <c r="AP205" s="231">
        <v>1066.82</v>
      </c>
      <c r="AQ205" s="228">
        <v>0</v>
      </c>
      <c r="AR205" s="230">
        <v>1047200</v>
      </c>
      <c r="AS205" s="230">
        <v>1014200</v>
      </c>
      <c r="AT205" s="230">
        <v>33000</v>
      </c>
      <c r="AU205" s="229">
        <v>3.2500000000000001E-2</v>
      </c>
      <c r="AV205" s="230">
        <v>996050</v>
      </c>
      <c r="AW205" s="230">
        <v>971850</v>
      </c>
      <c r="AX205" s="230">
        <v>24200</v>
      </c>
      <c r="AY205" s="229">
        <v>2.4899999999999999E-2</v>
      </c>
      <c r="AZ205" s="230">
        <v>50600</v>
      </c>
      <c r="BA205" s="230">
        <v>39050</v>
      </c>
      <c r="BB205" s="230">
        <v>11550</v>
      </c>
      <c r="BC205" s="229">
        <v>0.29580000000000001</v>
      </c>
      <c r="BD205" s="228">
        <v>550</v>
      </c>
      <c r="BE205" s="230">
        <v>3300</v>
      </c>
      <c r="BF205" s="230">
        <v>-2750</v>
      </c>
      <c r="BG205" s="229">
        <v>-0.83330000000000004</v>
      </c>
      <c r="BH205" s="230">
        <v>1790250</v>
      </c>
      <c r="BI205" s="230">
        <v>1249600</v>
      </c>
      <c r="BJ205" s="230">
        <v>540650</v>
      </c>
      <c r="BK205" s="229">
        <v>0.43269999999999997</v>
      </c>
      <c r="BL205" s="230">
        <v>1320000</v>
      </c>
      <c r="BM205" s="230">
        <v>862400</v>
      </c>
      <c r="BN205" s="230">
        <v>457600</v>
      </c>
      <c r="BO205" s="229">
        <v>0.53059999999999996</v>
      </c>
      <c r="BP205" s="230">
        <v>4157450</v>
      </c>
      <c r="BQ205" s="230">
        <v>3126200</v>
      </c>
      <c r="BR205" s="230">
        <v>1031250</v>
      </c>
      <c r="BS205" s="229">
        <v>0.32990000000000003</v>
      </c>
      <c r="BT205" s="230">
        <v>1508151</v>
      </c>
      <c r="BU205" s="230">
        <v>1132980</v>
      </c>
      <c r="BV205" s="230">
        <v>375171</v>
      </c>
      <c r="BW205" s="229">
        <v>0.33110000000000001</v>
      </c>
      <c r="BX205" s="230">
        <v>6012600</v>
      </c>
      <c r="BY205" s="230">
        <v>6156150</v>
      </c>
      <c r="BZ205" s="230">
        <v>-143550</v>
      </c>
      <c r="CA205" s="229">
        <v>-2.3300000000000001E-2</v>
      </c>
      <c r="CB205" s="230">
        <v>5927350</v>
      </c>
      <c r="CC205" s="230">
        <v>6074200</v>
      </c>
      <c r="CD205" s="230">
        <v>-146850</v>
      </c>
      <c r="CE205" s="229">
        <v>-2.4199999999999999E-2</v>
      </c>
      <c r="CF205" s="230">
        <v>80300</v>
      </c>
      <c r="CG205" s="230">
        <v>76450</v>
      </c>
      <c r="CH205" s="230">
        <v>3850</v>
      </c>
      <c r="CI205" s="229">
        <v>5.04E-2</v>
      </c>
      <c r="CJ205" s="230">
        <v>4950</v>
      </c>
      <c r="CK205" s="230">
        <v>5500</v>
      </c>
      <c r="CL205" s="228">
        <v>-550</v>
      </c>
      <c r="CM205" s="229">
        <v>-0.1</v>
      </c>
      <c r="CN205" s="230">
        <v>1889250</v>
      </c>
      <c r="CO205" s="230">
        <v>1698400</v>
      </c>
      <c r="CP205" s="230">
        <v>190850</v>
      </c>
      <c r="CQ205" s="229">
        <v>0.1124</v>
      </c>
      <c r="CR205" s="230">
        <v>1323300</v>
      </c>
      <c r="CS205" s="230">
        <v>1290850</v>
      </c>
      <c r="CT205" s="230">
        <v>32450</v>
      </c>
      <c r="CU205" s="229">
        <v>2.5100000000000001E-2</v>
      </c>
      <c r="CV205" s="230">
        <v>9225150</v>
      </c>
      <c r="CW205" s="230">
        <v>9145400</v>
      </c>
      <c r="CX205" s="230">
        <v>79750</v>
      </c>
      <c r="CY205" s="229">
        <v>8.6999999999999994E-3</v>
      </c>
      <c r="CZ205" s="228">
        <v>39.090000000000003</v>
      </c>
      <c r="DA205" s="228">
        <v>39.71</v>
      </c>
      <c r="DB205" s="228">
        <v>-0.62</v>
      </c>
      <c r="DC205" s="228">
        <v>-0.62</v>
      </c>
      <c r="DD205" s="228">
        <v>41.29</v>
      </c>
      <c r="DE205" s="228">
        <v>41.36</v>
      </c>
      <c r="DF205" s="228">
        <v>-2.2000000000000002</v>
      </c>
      <c r="DG205" s="228">
        <v>-7.0000000000000007E-2</v>
      </c>
      <c r="DH205" s="228">
        <v>37.18</v>
      </c>
      <c r="DI205" s="228">
        <v>38.4</v>
      </c>
      <c r="DJ205" s="228">
        <v>-1.22</v>
      </c>
      <c r="DK205" s="228">
        <v>-1.22</v>
      </c>
      <c r="DL205" s="228">
        <v>41.67</v>
      </c>
      <c r="DM205" s="228">
        <v>41.59</v>
      </c>
      <c r="DN205" s="228">
        <v>0.08</v>
      </c>
      <c r="DO205" s="228">
        <v>0.08</v>
      </c>
      <c r="DP205" s="228">
        <v>0.7</v>
      </c>
      <c r="DQ205" s="228">
        <v>0.76</v>
      </c>
      <c r="DR205" s="228">
        <v>-0.06</v>
      </c>
      <c r="DS205" s="229">
        <v>-7.8899999999999998E-2</v>
      </c>
      <c r="DT205" s="231">
        <v>1200</v>
      </c>
      <c r="DU205" s="231">
        <v>1200</v>
      </c>
      <c r="DV205" s="228">
        <v>0.74</v>
      </c>
      <c r="DW205" s="228">
        <v>0.69</v>
      </c>
      <c r="DX205" s="228">
        <v>0.05</v>
      </c>
      <c r="DY205" s="229">
        <v>7.2499999999999995E-2</v>
      </c>
      <c r="DZ205" s="229">
        <v>1.4200000000000001E-2</v>
      </c>
      <c r="EA205" s="230">
        <v>81950</v>
      </c>
      <c r="EB205" s="229">
        <v>7.1999999999999998E-3</v>
      </c>
      <c r="EC205" s="229">
        <v>1.4200000000000001E-2</v>
      </c>
      <c r="ED205" s="228">
        <v>0.81</v>
      </c>
      <c r="EE205" s="229">
        <v>8.0000000000000004E-4</v>
      </c>
      <c r="EF205" s="230">
        <v>999510</v>
      </c>
      <c r="EG205" s="230">
        <v>663287</v>
      </c>
      <c r="EH205" s="229">
        <v>0.50690000000000002</v>
      </c>
      <c r="EI205" s="229">
        <v>0.66269999999999996</v>
      </c>
      <c r="EJ205" s="231">
        <v>20849.689999999999</v>
      </c>
      <c r="EK205" s="231">
        <v>13863.14</v>
      </c>
      <c r="EL205" s="231">
        <v>11163.78</v>
      </c>
      <c r="EM205" s="231">
        <v>2540</v>
      </c>
      <c r="EN205" s="231">
        <v>45876.61</v>
      </c>
      <c r="EO205" s="231">
        <v>35356.92</v>
      </c>
      <c r="EP205" s="231">
        <v>10519.69</v>
      </c>
      <c r="EQ205" s="229">
        <v>0.29749999999999999</v>
      </c>
      <c r="ER205" s="231">
        <v>22624</v>
      </c>
      <c r="ES205" s="231">
        <v>14558</v>
      </c>
      <c r="ET205" s="231">
        <v>64312</v>
      </c>
      <c r="EU205" s="231">
        <v>27292222</v>
      </c>
      <c r="EV205" s="231">
        <v>101494</v>
      </c>
      <c r="EW205" s="231">
        <v>101406</v>
      </c>
      <c r="EX205" s="228">
        <v>88</v>
      </c>
      <c r="EY205" s="229">
        <v>8.9999999999999998E-4</v>
      </c>
      <c r="EZ205" s="229">
        <v>0.33800000000000002</v>
      </c>
      <c r="FA205" s="227" t="s">
        <v>568</v>
      </c>
      <c r="FB205" s="161">
        <f t="shared" si="5"/>
        <v>0</v>
      </c>
    </row>
    <row r="206" spans="1:158" ht="17.25" thickBot="1" x14ac:dyDescent="0.3">
      <c r="A206" s="226">
        <v>46093</v>
      </c>
      <c r="B206" s="227" t="s">
        <v>498</v>
      </c>
      <c r="C206" s="227" t="s">
        <v>303</v>
      </c>
      <c r="D206" s="228">
        <v>1355</v>
      </c>
      <c r="E206" s="228">
        <v>629.70000000000005</v>
      </c>
      <c r="F206" s="228">
        <v>626.25</v>
      </c>
      <c r="G206" s="228">
        <v>3.45</v>
      </c>
      <c r="H206" s="229">
        <v>5.4999999999999997E-3</v>
      </c>
      <c r="I206" s="228">
        <v>629.04999999999995</v>
      </c>
      <c r="J206" s="228">
        <v>625.85</v>
      </c>
      <c r="K206" s="228">
        <v>3.2</v>
      </c>
      <c r="L206" s="229">
        <v>5.1000000000000004E-3</v>
      </c>
      <c r="M206" s="228">
        <v>629.70000000000005</v>
      </c>
      <c r="N206" s="228">
        <v>626.25</v>
      </c>
      <c r="O206" s="228">
        <v>3.45</v>
      </c>
      <c r="P206" s="229">
        <v>5.4999999999999997E-3</v>
      </c>
      <c r="Q206" s="228">
        <v>633.45000000000005</v>
      </c>
      <c r="R206" s="228">
        <v>629.95000000000005</v>
      </c>
      <c r="S206" s="228">
        <v>3.5</v>
      </c>
      <c r="T206" s="229">
        <v>5.5999999999999999E-3</v>
      </c>
      <c r="U206" s="228">
        <v>637.1</v>
      </c>
      <c r="V206" s="228">
        <v>633.75</v>
      </c>
      <c r="W206" s="228">
        <v>3.35</v>
      </c>
      <c r="X206" s="229">
        <v>5.3E-3</v>
      </c>
      <c r="Y206" s="228">
        <v>0.65</v>
      </c>
      <c r="Z206" s="228">
        <v>0.4</v>
      </c>
      <c r="AA206" s="228">
        <v>0.25</v>
      </c>
      <c r="AB206" s="229">
        <v>1E-3</v>
      </c>
      <c r="AC206" s="228">
        <v>0.65</v>
      </c>
      <c r="AD206" s="228">
        <v>0.4</v>
      </c>
      <c r="AE206" s="228">
        <v>0.25</v>
      </c>
      <c r="AF206" s="229">
        <v>1E-3</v>
      </c>
      <c r="AG206" s="228">
        <v>4.4000000000000004</v>
      </c>
      <c r="AH206" s="228">
        <v>4.0999999999999996</v>
      </c>
      <c r="AI206" s="228">
        <v>0.3</v>
      </c>
      <c r="AJ206" s="229">
        <v>7.0000000000000001E-3</v>
      </c>
      <c r="AK206" s="228">
        <v>8.0500000000000007</v>
      </c>
      <c r="AL206" s="228">
        <v>7.9</v>
      </c>
      <c r="AM206" s="228">
        <v>0.15</v>
      </c>
      <c r="AN206" s="229">
        <v>1.2800000000000001E-2</v>
      </c>
      <c r="AO206" s="228">
        <v>628.74</v>
      </c>
      <c r="AP206" s="228">
        <v>633.53</v>
      </c>
      <c r="AQ206" s="228">
        <v>0</v>
      </c>
      <c r="AR206" s="230">
        <v>2910540</v>
      </c>
      <c r="AS206" s="230">
        <v>3123275</v>
      </c>
      <c r="AT206" s="230">
        <v>-212735</v>
      </c>
      <c r="AU206" s="229">
        <v>-6.8099999999999994E-2</v>
      </c>
      <c r="AV206" s="230">
        <v>2663930</v>
      </c>
      <c r="AW206" s="230">
        <v>2911895</v>
      </c>
      <c r="AX206" s="230">
        <v>-247965</v>
      </c>
      <c r="AY206" s="229">
        <v>-8.5199999999999998E-2</v>
      </c>
      <c r="AZ206" s="230">
        <v>226285</v>
      </c>
      <c r="BA206" s="230">
        <v>177505</v>
      </c>
      <c r="BB206" s="230">
        <v>48780</v>
      </c>
      <c r="BC206" s="229">
        <v>0.27479999999999999</v>
      </c>
      <c r="BD206" s="230">
        <v>20325</v>
      </c>
      <c r="BE206" s="230">
        <v>33875</v>
      </c>
      <c r="BF206" s="230">
        <v>-13550</v>
      </c>
      <c r="BG206" s="229">
        <v>-0.4</v>
      </c>
      <c r="BH206" s="230">
        <v>7334615</v>
      </c>
      <c r="BI206" s="230">
        <v>7185565</v>
      </c>
      <c r="BJ206" s="230">
        <v>149050</v>
      </c>
      <c r="BK206" s="229">
        <v>2.07E-2</v>
      </c>
      <c r="BL206" s="230">
        <v>3959310</v>
      </c>
      <c r="BM206" s="230">
        <v>3739800</v>
      </c>
      <c r="BN206" s="230">
        <v>219510</v>
      </c>
      <c r="BO206" s="229">
        <v>5.8700000000000002E-2</v>
      </c>
      <c r="BP206" s="230">
        <v>14204465</v>
      </c>
      <c r="BQ206" s="230">
        <v>14048640</v>
      </c>
      <c r="BR206" s="230">
        <v>155825</v>
      </c>
      <c r="BS206" s="229">
        <v>1.11E-2</v>
      </c>
      <c r="BT206" s="230">
        <v>1322583</v>
      </c>
      <c r="BU206" s="230">
        <v>1444635</v>
      </c>
      <c r="BV206" s="230">
        <v>-122052</v>
      </c>
      <c r="BW206" s="229">
        <v>-8.4500000000000006E-2</v>
      </c>
      <c r="BX206" s="230">
        <v>31033565</v>
      </c>
      <c r="BY206" s="230">
        <v>31120285</v>
      </c>
      <c r="BZ206" s="230">
        <v>-86720</v>
      </c>
      <c r="CA206" s="229">
        <v>-2.8E-3</v>
      </c>
      <c r="CB206" s="230">
        <v>29880460</v>
      </c>
      <c r="CC206" s="230">
        <v>29999700</v>
      </c>
      <c r="CD206" s="230">
        <v>-119240</v>
      </c>
      <c r="CE206" s="229">
        <v>-4.0000000000000001E-3</v>
      </c>
      <c r="CF206" s="230">
        <v>1065030</v>
      </c>
      <c r="CG206" s="230">
        <v>1037930</v>
      </c>
      <c r="CH206" s="230">
        <v>27100</v>
      </c>
      <c r="CI206" s="229">
        <v>2.6100000000000002E-2</v>
      </c>
      <c r="CJ206" s="230">
        <v>88075</v>
      </c>
      <c r="CK206" s="230">
        <v>82655</v>
      </c>
      <c r="CL206" s="230">
        <v>5420</v>
      </c>
      <c r="CM206" s="229">
        <v>6.5600000000000006E-2</v>
      </c>
      <c r="CN206" s="230">
        <v>19512000</v>
      </c>
      <c r="CO206" s="230">
        <v>20272155</v>
      </c>
      <c r="CP206" s="230">
        <v>-760155</v>
      </c>
      <c r="CQ206" s="229">
        <v>-3.7499999999999999E-2</v>
      </c>
      <c r="CR206" s="230">
        <v>9357630</v>
      </c>
      <c r="CS206" s="230">
        <v>9498550</v>
      </c>
      <c r="CT206" s="230">
        <v>-140920</v>
      </c>
      <c r="CU206" s="229">
        <v>-1.4800000000000001E-2</v>
      </c>
      <c r="CV206" s="230">
        <v>59903195</v>
      </c>
      <c r="CW206" s="230">
        <v>60890990</v>
      </c>
      <c r="CX206" s="230">
        <v>-987795</v>
      </c>
      <c r="CY206" s="229">
        <v>-1.6199999999999999E-2</v>
      </c>
      <c r="CZ206" s="228">
        <v>34.56</v>
      </c>
      <c r="DA206" s="228">
        <v>35.01</v>
      </c>
      <c r="DB206" s="228">
        <v>-0.45</v>
      </c>
      <c r="DC206" s="228">
        <v>-0.45</v>
      </c>
      <c r="DD206" s="228">
        <v>40.450000000000003</v>
      </c>
      <c r="DE206" s="228">
        <v>40.549999999999997</v>
      </c>
      <c r="DF206" s="228">
        <v>-5.89</v>
      </c>
      <c r="DG206" s="228">
        <v>-0.1</v>
      </c>
      <c r="DH206" s="228">
        <v>33.880000000000003</v>
      </c>
      <c r="DI206" s="228">
        <v>34.57</v>
      </c>
      <c r="DJ206" s="228">
        <v>-0.69</v>
      </c>
      <c r="DK206" s="228">
        <v>-0.69</v>
      </c>
      <c r="DL206" s="228">
        <v>35.82</v>
      </c>
      <c r="DM206" s="228">
        <v>35.869999999999997</v>
      </c>
      <c r="DN206" s="228">
        <v>-0.05</v>
      </c>
      <c r="DO206" s="228">
        <v>-0.05</v>
      </c>
      <c r="DP206" s="228">
        <v>0.48</v>
      </c>
      <c r="DQ206" s="228">
        <v>0.47</v>
      </c>
      <c r="DR206" s="228">
        <v>0.01</v>
      </c>
      <c r="DS206" s="229">
        <v>2.1299999999999999E-2</v>
      </c>
      <c r="DT206" s="228">
        <v>700</v>
      </c>
      <c r="DU206" s="228">
        <v>600</v>
      </c>
      <c r="DV206" s="228">
        <v>0.54</v>
      </c>
      <c r="DW206" s="228">
        <v>0.52</v>
      </c>
      <c r="DX206" s="228">
        <v>0.02</v>
      </c>
      <c r="DY206" s="229">
        <v>3.85E-2</v>
      </c>
      <c r="DZ206" s="229">
        <v>3.7199999999999997E-2</v>
      </c>
      <c r="EA206" s="230">
        <v>1120585</v>
      </c>
      <c r="EB206" s="229">
        <v>6.0000000000000001E-3</v>
      </c>
      <c r="EC206" s="229">
        <v>3.7199999999999997E-2</v>
      </c>
      <c r="ED206" s="228">
        <v>4.79</v>
      </c>
      <c r="EE206" s="229">
        <v>7.6E-3</v>
      </c>
      <c r="EF206" s="230">
        <v>537143</v>
      </c>
      <c r="EG206" s="230">
        <v>697412</v>
      </c>
      <c r="EH206" s="229">
        <v>-0.2298</v>
      </c>
      <c r="EI206" s="229">
        <v>0.40610000000000002</v>
      </c>
      <c r="EJ206" s="231">
        <v>49317.24</v>
      </c>
      <c r="EK206" s="231">
        <v>24536.53</v>
      </c>
      <c r="EL206" s="231">
        <v>18312.310000000001</v>
      </c>
      <c r="EM206" s="231">
        <v>3487</v>
      </c>
      <c r="EN206" s="231">
        <v>92166.080000000002</v>
      </c>
      <c r="EO206" s="231">
        <v>91353.36</v>
      </c>
      <c r="EP206" s="228">
        <v>812.72</v>
      </c>
      <c r="EQ206" s="229">
        <v>8.8999999999999999E-3</v>
      </c>
      <c r="ER206" s="231">
        <v>135570</v>
      </c>
      <c r="ES206" s="231">
        <v>59194</v>
      </c>
      <c r="ET206" s="231">
        <v>195465</v>
      </c>
      <c r="EU206" s="231">
        <v>84228583</v>
      </c>
      <c r="EV206" s="231">
        <v>390229</v>
      </c>
      <c r="EW206" s="231">
        <v>395799</v>
      </c>
      <c r="EX206" s="231">
        <v>-5570</v>
      </c>
      <c r="EY206" s="229">
        <v>-1.41E-2</v>
      </c>
      <c r="EZ206" s="229">
        <v>0.71120000000000005</v>
      </c>
      <c r="FA206" s="227" t="s">
        <v>556</v>
      </c>
      <c r="FB206" s="161">
        <f t="shared" si="5"/>
        <v>0</v>
      </c>
    </row>
    <row r="207" spans="1:158" ht="17.25" thickBot="1" x14ac:dyDescent="0.3">
      <c r="A207" s="226">
        <v>46093</v>
      </c>
      <c r="B207" s="227" t="s">
        <v>168</v>
      </c>
      <c r="C207" s="227" t="s">
        <v>586</v>
      </c>
      <c r="D207" s="228">
        <v>1125</v>
      </c>
      <c r="E207" s="228">
        <v>412.05</v>
      </c>
      <c r="F207" s="228">
        <v>431.4</v>
      </c>
      <c r="G207" s="228">
        <v>-19.350000000000001</v>
      </c>
      <c r="H207" s="229">
        <v>-4.4900000000000002E-2</v>
      </c>
      <c r="I207" s="228">
        <v>411.05</v>
      </c>
      <c r="J207" s="228">
        <v>431.25</v>
      </c>
      <c r="K207" s="228">
        <v>-20.2</v>
      </c>
      <c r="L207" s="229">
        <v>-4.6800000000000001E-2</v>
      </c>
      <c r="M207" s="228">
        <v>412.05</v>
      </c>
      <c r="N207" s="228">
        <v>431.4</v>
      </c>
      <c r="O207" s="228">
        <v>-19.350000000000001</v>
      </c>
      <c r="P207" s="229">
        <v>-4.4900000000000002E-2</v>
      </c>
      <c r="Q207" s="228">
        <v>414.65</v>
      </c>
      <c r="R207" s="228">
        <v>434.1</v>
      </c>
      <c r="S207" s="228">
        <v>-19.45</v>
      </c>
      <c r="T207" s="229">
        <v>-4.48E-2</v>
      </c>
      <c r="U207" s="228">
        <v>416.7</v>
      </c>
      <c r="V207" s="228">
        <v>436.15</v>
      </c>
      <c r="W207" s="228">
        <v>-19.45</v>
      </c>
      <c r="X207" s="229">
        <v>-4.4600000000000001E-2</v>
      </c>
      <c r="Y207" s="228">
        <v>1</v>
      </c>
      <c r="Z207" s="228">
        <v>0.15</v>
      </c>
      <c r="AA207" s="228">
        <v>0.85</v>
      </c>
      <c r="AB207" s="229">
        <v>2.3999999999999998E-3</v>
      </c>
      <c r="AC207" s="228">
        <v>1</v>
      </c>
      <c r="AD207" s="228">
        <v>0.15</v>
      </c>
      <c r="AE207" s="228">
        <v>0.85</v>
      </c>
      <c r="AF207" s="229">
        <v>2.3999999999999998E-3</v>
      </c>
      <c r="AG207" s="228">
        <v>3.6</v>
      </c>
      <c r="AH207" s="228">
        <v>2.85</v>
      </c>
      <c r="AI207" s="228">
        <v>0.75</v>
      </c>
      <c r="AJ207" s="229">
        <v>8.8000000000000005E-3</v>
      </c>
      <c r="AK207" s="228">
        <v>5.65</v>
      </c>
      <c r="AL207" s="228">
        <v>4.9000000000000004</v>
      </c>
      <c r="AM207" s="228">
        <v>0.75</v>
      </c>
      <c r="AN207" s="229">
        <v>1.37E-2</v>
      </c>
      <c r="AO207" s="228">
        <v>416.31</v>
      </c>
      <c r="AP207" s="228">
        <v>418.72</v>
      </c>
      <c r="AQ207" s="228">
        <v>0</v>
      </c>
      <c r="AR207" s="230">
        <v>12755250</v>
      </c>
      <c r="AS207" s="230">
        <v>6367500</v>
      </c>
      <c r="AT207" s="230">
        <v>6387750</v>
      </c>
      <c r="AU207" s="229">
        <v>1.0032000000000001</v>
      </c>
      <c r="AV207" s="230">
        <v>10958625</v>
      </c>
      <c r="AW207" s="230">
        <v>5595750</v>
      </c>
      <c r="AX207" s="230">
        <v>5362875</v>
      </c>
      <c r="AY207" s="229">
        <v>0.95840000000000003</v>
      </c>
      <c r="AZ207" s="230">
        <v>1543500</v>
      </c>
      <c r="BA207" s="230">
        <v>658125</v>
      </c>
      <c r="BB207" s="230">
        <v>885375</v>
      </c>
      <c r="BC207" s="229">
        <v>1.3452999999999999</v>
      </c>
      <c r="BD207" s="230">
        <v>253125</v>
      </c>
      <c r="BE207" s="230">
        <v>113625</v>
      </c>
      <c r="BF207" s="230">
        <v>139500</v>
      </c>
      <c r="BG207" s="229">
        <v>1.2277</v>
      </c>
      <c r="BH207" s="230">
        <v>21775500</v>
      </c>
      <c r="BI207" s="230">
        <v>11615625</v>
      </c>
      <c r="BJ207" s="230">
        <v>10159875</v>
      </c>
      <c r="BK207" s="229">
        <v>0.87470000000000003</v>
      </c>
      <c r="BL207" s="230">
        <v>15626250</v>
      </c>
      <c r="BM207" s="230">
        <v>3507750</v>
      </c>
      <c r="BN207" s="230">
        <v>12118500</v>
      </c>
      <c r="BO207" s="229">
        <v>3.4548000000000001</v>
      </c>
      <c r="BP207" s="230">
        <v>50157000</v>
      </c>
      <c r="BQ207" s="230">
        <v>21490875</v>
      </c>
      <c r="BR207" s="230">
        <v>28666125</v>
      </c>
      <c r="BS207" s="229">
        <v>1.3339000000000001</v>
      </c>
      <c r="BT207" s="230">
        <v>12685071</v>
      </c>
      <c r="BU207" s="230">
        <v>7823908</v>
      </c>
      <c r="BV207" s="230">
        <v>4861163</v>
      </c>
      <c r="BW207" s="229">
        <v>0.62129999999999996</v>
      </c>
      <c r="BX207" s="230">
        <v>43589250</v>
      </c>
      <c r="BY207" s="230">
        <v>42904125</v>
      </c>
      <c r="BZ207" s="230">
        <v>685125</v>
      </c>
      <c r="CA207" s="229">
        <v>1.6E-2</v>
      </c>
      <c r="CB207" s="230">
        <v>40417875</v>
      </c>
      <c r="CC207" s="230">
        <v>40377375</v>
      </c>
      <c r="CD207" s="230">
        <v>40500</v>
      </c>
      <c r="CE207" s="229">
        <v>1E-3</v>
      </c>
      <c r="CF207" s="230">
        <v>2891250</v>
      </c>
      <c r="CG207" s="230">
        <v>2377125</v>
      </c>
      <c r="CH207" s="230">
        <v>514125</v>
      </c>
      <c r="CI207" s="229">
        <v>0.21629999999999999</v>
      </c>
      <c r="CJ207" s="230">
        <v>280125</v>
      </c>
      <c r="CK207" s="230">
        <v>149625</v>
      </c>
      <c r="CL207" s="230">
        <v>130500</v>
      </c>
      <c r="CM207" s="229">
        <v>0.87219999999999998</v>
      </c>
      <c r="CN207" s="230">
        <v>15936750</v>
      </c>
      <c r="CO207" s="230">
        <v>12022875</v>
      </c>
      <c r="CP207" s="230">
        <v>3913875</v>
      </c>
      <c r="CQ207" s="229">
        <v>0.32550000000000001</v>
      </c>
      <c r="CR207" s="230">
        <v>8574750</v>
      </c>
      <c r="CS207" s="230">
        <v>7085250</v>
      </c>
      <c r="CT207" s="230">
        <v>1489500</v>
      </c>
      <c r="CU207" s="229">
        <v>0.2102</v>
      </c>
      <c r="CV207" s="230">
        <v>68100750</v>
      </c>
      <c r="CW207" s="230">
        <v>62012250</v>
      </c>
      <c r="CX207" s="230">
        <v>6088500</v>
      </c>
      <c r="CY207" s="229">
        <v>9.8199999999999996E-2</v>
      </c>
      <c r="CZ207" s="228">
        <v>38.159999999999997</v>
      </c>
      <c r="DA207" s="228">
        <v>34.83</v>
      </c>
      <c r="DB207" s="228">
        <v>3.33</v>
      </c>
      <c r="DC207" s="228">
        <v>3.33</v>
      </c>
      <c r="DD207" s="228">
        <v>36.67</v>
      </c>
      <c r="DE207" s="228">
        <v>36.18</v>
      </c>
      <c r="DF207" s="228">
        <v>1.49</v>
      </c>
      <c r="DG207" s="228">
        <v>0.49</v>
      </c>
      <c r="DH207" s="228">
        <v>38.39</v>
      </c>
      <c r="DI207" s="228">
        <v>34.78</v>
      </c>
      <c r="DJ207" s="228">
        <v>3.61</v>
      </c>
      <c r="DK207" s="228">
        <v>3.61</v>
      </c>
      <c r="DL207" s="228">
        <v>37.840000000000003</v>
      </c>
      <c r="DM207" s="228">
        <v>35</v>
      </c>
      <c r="DN207" s="228">
        <v>2.84</v>
      </c>
      <c r="DO207" s="228">
        <v>2.84</v>
      </c>
      <c r="DP207" s="228">
        <v>0.54</v>
      </c>
      <c r="DQ207" s="228">
        <v>0.59</v>
      </c>
      <c r="DR207" s="228">
        <v>-0.05</v>
      </c>
      <c r="DS207" s="229">
        <v>-8.4699999999999998E-2</v>
      </c>
      <c r="DT207" s="228">
        <v>500</v>
      </c>
      <c r="DU207" s="228">
        <v>440</v>
      </c>
      <c r="DV207" s="228">
        <v>0.72</v>
      </c>
      <c r="DW207" s="228">
        <v>0.3</v>
      </c>
      <c r="DX207" s="228">
        <v>0.42</v>
      </c>
      <c r="DY207" s="229">
        <v>1.4</v>
      </c>
      <c r="DZ207" s="229">
        <v>7.2800000000000004E-2</v>
      </c>
      <c r="EA207" s="230">
        <v>2526750</v>
      </c>
      <c r="EB207" s="229">
        <v>6.3E-3</v>
      </c>
      <c r="EC207" s="229">
        <v>7.2800000000000004E-2</v>
      </c>
      <c r="ED207" s="228">
        <v>2.41</v>
      </c>
      <c r="EE207" s="229">
        <v>5.7999999999999996E-3</v>
      </c>
      <c r="EF207" s="230">
        <v>7053305</v>
      </c>
      <c r="EG207" s="230">
        <v>5164272</v>
      </c>
      <c r="EH207" s="229">
        <v>0.36580000000000001</v>
      </c>
      <c r="EI207" s="229">
        <v>0.55600000000000005</v>
      </c>
      <c r="EJ207" s="231">
        <v>98157.52</v>
      </c>
      <c r="EK207" s="231">
        <v>65064.13</v>
      </c>
      <c r="EL207" s="231">
        <v>53149.9</v>
      </c>
      <c r="EM207" s="231">
        <v>5784</v>
      </c>
      <c r="EN207" s="231">
        <v>216371.55</v>
      </c>
      <c r="EO207" s="231">
        <v>97097.3</v>
      </c>
      <c r="EP207" s="231">
        <v>119274.25</v>
      </c>
      <c r="EQ207" s="229">
        <v>1.2283999999999999</v>
      </c>
      <c r="ER207" s="231">
        <v>74561</v>
      </c>
      <c r="ES207" s="231">
        <v>36343</v>
      </c>
      <c r="ET207" s="231">
        <v>179698</v>
      </c>
      <c r="EU207" s="231">
        <v>205761118</v>
      </c>
      <c r="EV207" s="231">
        <v>290601</v>
      </c>
      <c r="EW207" s="231">
        <v>272917</v>
      </c>
      <c r="EX207" s="231">
        <v>17684</v>
      </c>
      <c r="EY207" s="229">
        <v>6.4799999999999996E-2</v>
      </c>
      <c r="EZ207" s="229">
        <v>0.33100000000000002</v>
      </c>
      <c r="FA207" s="227" t="s">
        <v>567</v>
      </c>
      <c r="FB207" s="161">
        <f t="shared" si="5"/>
        <v>0</v>
      </c>
    </row>
    <row r="208" spans="1:158" ht="17.25" thickBot="1" x14ac:dyDescent="0.3">
      <c r="A208" s="226">
        <v>46093</v>
      </c>
      <c r="B208" s="227" t="s">
        <v>227</v>
      </c>
      <c r="C208" s="227" t="s">
        <v>304</v>
      </c>
      <c r="D208" s="228">
        <v>1150</v>
      </c>
      <c r="E208" s="228">
        <v>718.9</v>
      </c>
      <c r="F208" s="228">
        <v>717.35</v>
      </c>
      <c r="G208" s="228">
        <v>1.55</v>
      </c>
      <c r="H208" s="229">
        <v>2.2000000000000001E-3</v>
      </c>
      <c r="I208" s="228">
        <v>719.6</v>
      </c>
      <c r="J208" s="228">
        <v>721.55</v>
      </c>
      <c r="K208" s="228">
        <v>-1.95</v>
      </c>
      <c r="L208" s="229">
        <v>-2.7000000000000001E-3</v>
      </c>
      <c r="M208" s="228">
        <v>718.9</v>
      </c>
      <c r="N208" s="228">
        <v>717.35</v>
      </c>
      <c r="O208" s="228">
        <v>1.55</v>
      </c>
      <c r="P208" s="229">
        <v>2.2000000000000001E-3</v>
      </c>
      <c r="Q208" s="228">
        <v>720.95</v>
      </c>
      <c r="R208" s="228">
        <v>719</v>
      </c>
      <c r="S208" s="228">
        <v>1.95</v>
      </c>
      <c r="T208" s="229">
        <v>2.7000000000000001E-3</v>
      </c>
      <c r="U208" s="228">
        <v>721.6</v>
      </c>
      <c r="V208" s="228">
        <v>719.25</v>
      </c>
      <c r="W208" s="228">
        <v>2.35</v>
      </c>
      <c r="X208" s="229">
        <v>3.3E-3</v>
      </c>
      <c r="Y208" s="228">
        <v>-0.7</v>
      </c>
      <c r="Z208" s="228">
        <v>-4.2</v>
      </c>
      <c r="AA208" s="228">
        <v>3.5</v>
      </c>
      <c r="AB208" s="229">
        <v>-1E-3</v>
      </c>
      <c r="AC208" s="228">
        <v>-0.7</v>
      </c>
      <c r="AD208" s="228">
        <v>-4.2</v>
      </c>
      <c r="AE208" s="228">
        <v>3.5</v>
      </c>
      <c r="AF208" s="229">
        <v>-1E-3</v>
      </c>
      <c r="AG208" s="228">
        <v>1.35</v>
      </c>
      <c r="AH208" s="228">
        <v>-2.5499999999999998</v>
      </c>
      <c r="AI208" s="228">
        <v>3.9</v>
      </c>
      <c r="AJ208" s="229">
        <v>1.9E-3</v>
      </c>
      <c r="AK208" s="228">
        <v>2</v>
      </c>
      <c r="AL208" s="228">
        <v>-2.2999999999999998</v>
      </c>
      <c r="AM208" s="228">
        <v>4.3</v>
      </c>
      <c r="AN208" s="229">
        <v>2.8E-3</v>
      </c>
      <c r="AO208" s="228">
        <v>711.01</v>
      </c>
      <c r="AP208" s="228">
        <v>712.39</v>
      </c>
      <c r="AQ208" s="228">
        <v>0</v>
      </c>
      <c r="AR208" s="230">
        <v>12615500</v>
      </c>
      <c r="AS208" s="230">
        <v>18262000</v>
      </c>
      <c r="AT208" s="230">
        <v>-5646500</v>
      </c>
      <c r="AU208" s="229">
        <v>-0.30919999999999997</v>
      </c>
      <c r="AV208" s="230">
        <v>11380400</v>
      </c>
      <c r="AW208" s="230">
        <v>16425450</v>
      </c>
      <c r="AX208" s="230">
        <v>-5045050</v>
      </c>
      <c r="AY208" s="229">
        <v>-0.30709999999999998</v>
      </c>
      <c r="AZ208" s="230">
        <v>1041900</v>
      </c>
      <c r="BA208" s="230">
        <v>1519150</v>
      </c>
      <c r="BB208" s="230">
        <v>-477250</v>
      </c>
      <c r="BC208" s="229">
        <v>-0.31419999999999998</v>
      </c>
      <c r="BD208" s="230">
        <v>193200</v>
      </c>
      <c r="BE208" s="230">
        <v>317400</v>
      </c>
      <c r="BF208" s="230">
        <v>-124200</v>
      </c>
      <c r="BG208" s="229">
        <v>-0.39129999999999998</v>
      </c>
      <c r="BH208" s="230">
        <v>43933450</v>
      </c>
      <c r="BI208" s="230">
        <v>71303450</v>
      </c>
      <c r="BJ208" s="230">
        <v>-27370000</v>
      </c>
      <c r="BK208" s="229">
        <v>-0.38390000000000002</v>
      </c>
      <c r="BL208" s="230">
        <v>22134050</v>
      </c>
      <c r="BM208" s="230">
        <v>30161050</v>
      </c>
      <c r="BN208" s="230">
        <v>-8027000</v>
      </c>
      <c r="BO208" s="229">
        <v>-0.2661</v>
      </c>
      <c r="BP208" s="230">
        <v>78683000</v>
      </c>
      <c r="BQ208" s="230">
        <v>119726500</v>
      </c>
      <c r="BR208" s="230">
        <v>-41043500</v>
      </c>
      <c r="BS208" s="229">
        <v>-0.34279999999999999</v>
      </c>
      <c r="BT208" s="230">
        <v>10563773</v>
      </c>
      <c r="BU208" s="230">
        <v>16684431</v>
      </c>
      <c r="BV208" s="230">
        <v>-6120658</v>
      </c>
      <c r="BW208" s="229">
        <v>-0.36680000000000001</v>
      </c>
      <c r="BX208" s="230">
        <v>68883850</v>
      </c>
      <c r="BY208" s="230">
        <v>68236400</v>
      </c>
      <c r="BZ208" s="230">
        <v>647450</v>
      </c>
      <c r="CA208" s="229">
        <v>9.4999999999999998E-3</v>
      </c>
      <c r="CB208" s="230">
        <v>60120850</v>
      </c>
      <c r="CC208" s="230">
        <v>59705700</v>
      </c>
      <c r="CD208" s="230">
        <v>415150</v>
      </c>
      <c r="CE208" s="229">
        <v>7.0000000000000001E-3</v>
      </c>
      <c r="CF208" s="230">
        <v>5584400</v>
      </c>
      <c r="CG208" s="230">
        <v>5399250</v>
      </c>
      <c r="CH208" s="230">
        <v>185150</v>
      </c>
      <c r="CI208" s="229">
        <v>3.4299999999999997E-2</v>
      </c>
      <c r="CJ208" s="230">
        <v>3178600</v>
      </c>
      <c r="CK208" s="230">
        <v>3131450</v>
      </c>
      <c r="CL208" s="230">
        <v>47150</v>
      </c>
      <c r="CM208" s="229">
        <v>1.5100000000000001E-2</v>
      </c>
      <c r="CN208" s="230">
        <v>35216450</v>
      </c>
      <c r="CO208" s="230">
        <v>34271150</v>
      </c>
      <c r="CP208" s="230">
        <v>945300</v>
      </c>
      <c r="CQ208" s="229">
        <v>2.76E-2</v>
      </c>
      <c r="CR208" s="230">
        <v>22630850</v>
      </c>
      <c r="CS208" s="230">
        <v>22249050</v>
      </c>
      <c r="CT208" s="230">
        <v>381800</v>
      </c>
      <c r="CU208" s="229">
        <v>1.72E-2</v>
      </c>
      <c r="CV208" s="230">
        <v>126731150</v>
      </c>
      <c r="CW208" s="230">
        <v>124756600</v>
      </c>
      <c r="CX208" s="230">
        <v>1974550</v>
      </c>
      <c r="CY208" s="229">
        <v>1.5800000000000002E-2</v>
      </c>
      <c r="CZ208" s="228">
        <v>41.37</v>
      </c>
      <c r="DA208" s="228">
        <v>40.200000000000003</v>
      </c>
      <c r="DB208" s="228">
        <v>1.17</v>
      </c>
      <c r="DC208" s="228">
        <v>1.17</v>
      </c>
      <c r="DD208" s="228">
        <v>40.53</v>
      </c>
      <c r="DE208" s="228">
        <v>40.630000000000003</v>
      </c>
      <c r="DF208" s="228">
        <v>0.84</v>
      </c>
      <c r="DG208" s="228">
        <v>-0.1</v>
      </c>
      <c r="DH208" s="228">
        <v>41.14</v>
      </c>
      <c r="DI208" s="228">
        <v>40.11</v>
      </c>
      <c r="DJ208" s="228">
        <v>1.03</v>
      </c>
      <c r="DK208" s="228">
        <v>1.03</v>
      </c>
      <c r="DL208" s="228">
        <v>41.82</v>
      </c>
      <c r="DM208" s="228">
        <v>40.42</v>
      </c>
      <c r="DN208" s="228">
        <v>1.4</v>
      </c>
      <c r="DO208" s="228">
        <v>1.4</v>
      </c>
      <c r="DP208" s="228">
        <v>0.64</v>
      </c>
      <c r="DQ208" s="228">
        <v>0.65</v>
      </c>
      <c r="DR208" s="228">
        <v>-0.01</v>
      </c>
      <c r="DS208" s="229">
        <v>-1.54E-2</v>
      </c>
      <c r="DT208" s="228">
        <v>750</v>
      </c>
      <c r="DU208" s="228">
        <v>700</v>
      </c>
      <c r="DV208" s="228">
        <v>0.5</v>
      </c>
      <c r="DW208" s="228">
        <v>0.42</v>
      </c>
      <c r="DX208" s="228">
        <v>0.08</v>
      </c>
      <c r="DY208" s="229">
        <v>0.1905</v>
      </c>
      <c r="DZ208" s="229">
        <v>0.12720000000000001</v>
      </c>
      <c r="EA208" s="230">
        <v>8530700</v>
      </c>
      <c r="EB208" s="229">
        <v>2.8999999999999998E-3</v>
      </c>
      <c r="EC208" s="229">
        <v>0.12720000000000001</v>
      </c>
      <c r="ED208" s="228">
        <v>1.38</v>
      </c>
      <c r="EE208" s="229">
        <v>1.9E-3</v>
      </c>
      <c r="EF208" s="230">
        <v>3395357</v>
      </c>
      <c r="EG208" s="230">
        <v>7271020</v>
      </c>
      <c r="EH208" s="229">
        <v>-0.53300000000000003</v>
      </c>
      <c r="EI208" s="229">
        <v>0.32140000000000002</v>
      </c>
      <c r="EJ208" s="231">
        <v>332953.40999999997</v>
      </c>
      <c r="EK208" s="231">
        <v>157338.47</v>
      </c>
      <c r="EL208" s="231">
        <v>89714.96</v>
      </c>
      <c r="EM208" s="231">
        <v>16283</v>
      </c>
      <c r="EN208" s="231">
        <v>580006.84</v>
      </c>
      <c r="EO208" s="231">
        <v>900776.8</v>
      </c>
      <c r="EP208" s="231">
        <v>-320769.96000000002</v>
      </c>
      <c r="EQ208" s="229">
        <v>-0.35610000000000003</v>
      </c>
      <c r="ER208" s="231">
        <v>263013</v>
      </c>
      <c r="ES208" s="231">
        <v>153681</v>
      </c>
      <c r="ET208" s="231">
        <v>495406</v>
      </c>
      <c r="EU208" s="231">
        <v>255091106</v>
      </c>
      <c r="EV208" s="231">
        <v>912100</v>
      </c>
      <c r="EW208" s="231">
        <v>896512</v>
      </c>
      <c r="EX208" s="231">
        <v>15588</v>
      </c>
      <c r="EY208" s="229">
        <v>1.7399999999999999E-2</v>
      </c>
      <c r="EZ208" s="229">
        <v>0.49680000000000002</v>
      </c>
      <c r="FA208" s="227" t="s">
        <v>555</v>
      </c>
      <c r="FB208" s="161">
        <f t="shared" si="5"/>
        <v>0</v>
      </c>
    </row>
    <row r="209" spans="1:158" ht="17.25" thickBot="1" x14ac:dyDescent="0.3">
      <c r="A209" s="226">
        <v>46093</v>
      </c>
      <c r="B209" s="227" t="s">
        <v>184</v>
      </c>
      <c r="C209" s="227" t="s">
        <v>305</v>
      </c>
      <c r="D209" s="228">
        <v>375</v>
      </c>
      <c r="E209" s="231">
        <v>1445.7</v>
      </c>
      <c r="F209" s="231">
        <v>1463.4</v>
      </c>
      <c r="G209" s="228">
        <v>-17.7</v>
      </c>
      <c r="H209" s="229">
        <v>-1.21E-2</v>
      </c>
      <c r="I209" s="231">
        <v>1449.4</v>
      </c>
      <c r="J209" s="231">
        <v>1471.4</v>
      </c>
      <c r="K209" s="228">
        <v>-22</v>
      </c>
      <c r="L209" s="229">
        <v>-1.4999999999999999E-2</v>
      </c>
      <c r="M209" s="231">
        <v>1445.7</v>
      </c>
      <c r="N209" s="231">
        <v>1463.4</v>
      </c>
      <c r="O209" s="228">
        <v>-17.7</v>
      </c>
      <c r="P209" s="229">
        <v>-1.21E-2</v>
      </c>
      <c r="Q209" s="231">
        <v>1435.8</v>
      </c>
      <c r="R209" s="231">
        <v>1456.2</v>
      </c>
      <c r="S209" s="228">
        <v>-20.399999999999999</v>
      </c>
      <c r="T209" s="229">
        <v>-1.4E-2</v>
      </c>
      <c r="U209" s="231">
        <v>1428.8</v>
      </c>
      <c r="V209" s="231">
        <v>1450.4</v>
      </c>
      <c r="W209" s="228">
        <v>-21.6</v>
      </c>
      <c r="X209" s="229">
        <v>-1.49E-2</v>
      </c>
      <c r="Y209" s="228">
        <v>-3.7</v>
      </c>
      <c r="Z209" s="228">
        <v>-8</v>
      </c>
      <c r="AA209" s="228">
        <v>4.3</v>
      </c>
      <c r="AB209" s="229">
        <v>-2.5999999999999999E-3</v>
      </c>
      <c r="AC209" s="228">
        <v>-3.7</v>
      </c>
      <c r="AD209" s="228">
        <v>-8</v>
      </c>
      <c r="AE209" s="228">
        <v>4.3</v>
      </c>
      <c r="AF209" s="229">
        <v>-2.5999999999999999E-3</v>
      </c>
      <c r="AG209" s="228">
        <v>-13.6</v>
      </c>
      <c r="AH209" s="228">
        <v>-15.2</v>
      </c>
      <c r="AI209" s="228">
        <v>1.6</v>
      </c>
      <c r="AJ209" s="229">
        <v>-9.4000000000000004E-3</v>
      </c>
      <c r="AK209" s="228">
        <v>-20.6</v>
      </c>
      <c r="AL209" s="228">
        <v>-21</v>
      </c>
      <c r="AM209" s="228">
        <v>0.4</v>
      </c>
      <c r="AN209" s="229">
        <v>-1.4200000000000001E-2</v>
      </c>
      <c r="AO209" s="231">
        <v>1442.08</v>
      </c>
      <c r="AP209" s="231">
        <v>1431.33</v>
      </c>
      <c r="AQ209" s="228">
        <v>0</v>
      </c>
      <c r="AR209" s="230">
        <v>2699250</v>
      </c>
      <c r="AS209" s="230">
        <v>3823500</v>
      </c>
      <c r="AT209" s="230">
        <v>-1124250</v>
      </c>
      <c r="AU209" s="229">
        <v>-0.29399999999999998</v>
      </c>
      <c r="AV209" s="230">
        <v>2192250</v>
      </c>
      <c r="AW209" s="230">
        <v>3427125</v>
      </c>
      <c r="AX209" s="230">
        <v>-1234875</v>
      </c>
      <c r="AY209" s="229">
        <v>-0.36030000000000001</v>
      </c>
      <c r="AZ209" s="230">
        <v>443625</v>
      </c>
      <c r="BA209" s="230">
        <v>364500</v>
      </c>
      <c r="BB209" s="230">
        <v>79125</v>
      </c>
      <c r="BC209" s="229">
        <v>0.21709999999999999</v>
      </c>
      <c r="BD209" s="230">
        <v>63375</v>
      </c>
      <c r="BE209" s="230">
        <v>31875</v>
      </c>
      <c r="BF209" s="230">
        <v>31500</v>
      </c>
      <c r="BG209" s="229">
        <v>0.98819999999999997</v>
      </c>
      <c r="BH209" s="230">
        <v>7681875</v>
      </c>
      <c r="BI209" s="230">
        <v>15571125</v>
      </c>
      <c r="BJ209" s="230">
        <v>-7889250</v>
      </c>
      <c r="BK209" s="229">
        <v>-0.50670000000000004</v>
      </c>
      <c r="BL209" s="230">
        <v>2625750</v>
      </c>
      <c r="BM209" s="230">
        <v>4728375</v>
      </c>
      <c r="BN209" s="230">
        <v>-2102625</v>
      </c>
      <c r="BO209" s="229">
        <v>-0.44469999999999998</v>
      </c>
      <c r="BP209" s="230">
        <v>13006875</v>
      </c>
      <c r="BQ209" s="230">
        <v>24123000</v>
      </c>
      <c r="BR209" s="230">
        <v>-11116125</v>
      </c>
      <c r="BS209" s="229">
        <v>-0.46079999999999999</v>
      </c>
      <c r="BT209" s="230">
        <v>827557</v>
      </c>
      <c r="BU209" s="230">
        <v>1190150</v>
      </c>
      <c r="BV209" s="230">
        <v>-362593</v>
      </c>
      <c r="BW209" s="229">
        <v>-0.30470000000000003</v>
      </c>
      <c r="BX209" s="230">
        <v>10818750</v>
      </c>
      <c r="BY209" s="230">
        <v>10371000</v>
      </c>
      <c r="BZ209" s="230">
        <v>447750</v>
      </c>
      <c r="CA209" s="229">
        <v>4.3200000000000002E-2</v>
      </c>
      <c r="CB209" s="230">
        <v>9886500</v>
      </c>
      <c r="CC209" s="230">
        <v>9684375</v>
      </c>
      <c r="CD209" s="230">
        <v>202125</v>
      </c>
      <c r="CE209" s="229">
        <v>2.0899999999999998E-2</v>
      </c>
      <c r="CF209" s="230">
        <v>844875</v>
      </c>
      <c r="CG209" s="230">
        <v>627375</v>
      </c>
      <c r="CH209" s="230">
        <v>217500</v>
      </c>
      <c r="CI209" s="229">
        <v>0.34670000000000001</v>
      </c>
      <c r="CJ209" s="230">
        <v>87375</v>
      </c>
      <c r="CK209" s="230">
        <v>59250</v>
      </c>
      <c r="CL209" s="230">
        <v>28125</v>
      </c>
      <c r="CM209" s="229">
        <v>0.47470000000000001</v>
      </c>
      <c r="CN209" s="230">
        <v>5563500</v>
      </c>
      <c r="CO209" s="230">
        <v>5517000</v>
      </c>
      <c r="CP209" s="230">
        <v>46500</v>
      </c>
      <c r="CQ209" s="229">
        <v>8.3999999999999995E-3</v>
      </c>
      <c r="CR209" s="230">
        <v>3483375</v>
      </c>
      <c r="CS209" s="230">
        <v>3506250</v>
      </c>
      <c r="CT209" s="230">
        <v>-22875</v>
      </c>
      <c r="CU209" s="229">
        <v>-6.4999999999999997E-3</v>
      </c>
      <c r="CV209" s="230">
        <v>19865625</v>
      </c>
      <c r="CW209" s="230">
        <v>19394250</v>
      </c>
      <c r="CX209" s="230">
        <v>471375</v>
      </c>
      <c r="CY209" s="229">
        <v>2.4299999999999999E-2</v>
      </c>
      <c r="CZ209" s="228">
        <v>42.88</v>
      </c>
      <c r="DA209" s="228">
        <v>40.729999999999997</v>
      </c>
      <c r="DB209" s="228">
        <v>2.15</v>
      </c>
      <c r="DC209" s="228">
        <v>2.15</v>
      </c>
      <c r="DD209" s="228">
        <v>37.409999999999997</v>
      </c>
      <c r="DE209" s="228">
        <v>37.47</v>
      </c>
      <c r="DF209" s="228">
        <v>5.47</v>
      </c>
      <c r="DG209" s="228">
        <v>-0.06</v>
      </c>
      <c r="DH209" s="228">
        <v>42.24</v>
      </c>
      <c r="DI209" s="228">
        <v>40.17</v>
      </c>
      <c r="DJ209" s="228">
        <v>2.0699999999999998</v>
      </c>
      <c r="DK209" s="228">
        <v>2.0699999999999998</v>
      </c>
      <c r="DL209" s="228">
        <v>44.73</v>
      </c>
      <c r="DM209" s="228">
        <v>42.56</v>
      </c>
      <c r="DN209" s="228">
        <v>2.17</v>
      </c>
      <c r="DO209" s="228">
        <v>2.17</v>
      </c>
      <c r="DP209" s="228">
        <v>0.63</v>
      </c>
      <c r="DQ209" s="228">
        <v>0.64</v>
      </c>
      <c r="DR209" s="228">
        <v>-0.01</v>
      </c>
      <c r="DS209" s="229">
        <v>-1.5599999999999999E-2</v>
      </c>
      <c r="DT209" s="231">
        <v>1600</v>
      </c>
      <c r="DU209" s="231">
        <v>1400</v>
      </c>
      <c r="DV209" s="228">
        <v>0.34</v>
      </c>
      <c r="DW209" s="228">
        <v>0.3</v>
      </c>
      <c r="DX209" s="228">
        <v>0.04</v>
      </c>
      <c r="DY209" s="229">
        <v>0.1333</v>
      </c>
      <c r="DZ209" s="229">
        <v>8.6199999999999999E-2</v>
      </c>
      <c r="EA209" s="230">
        <v>686625</v>
      </c>
      <c r="EB209" s="229">
        <v>-6.7999999999999996E-3</v>
      </c>
      <c r="EC209" s="229">
        <v>8.6199999999999999E-2</v>
      </c>
      <c r="ED209" s="228">
        <v>-10.75</v>
      </c>
      <c r="EE209" s="229">
        <v>-7.4999999999999997E-3</v>
      </c>
      <c r="EF209" s="230">
        <v>249816</v>
      </c>
      <c r="EG209" s="230">
        <v>384590</v>
      </c>
      <c r="EH209" s="229">
        <v>-0.35039999999999999</v>
      </c>
      <c r="EI209" s="229">
        <v>0.3019</v>
      </c>
      <c r="EJ209" s="231">
        <v>118941.26</v>
      </c>
      <c r="EK209" s="231">
        <v>38313.56</v>
      </c>
      <c r="EL209" s="231">
        <v>38866.949999999997</v>
      </c>
      <c r="EM209" s="231">
        <v>7297</v>
      </c>
      <c r="EN209" s="231">
        <v>196121.77</v>
      </c>
      <c r="EO209" s="231">
        <v>371682.24</v>
      </c>
      <c r="EP209" s="231">
        <v>-175560.47</v>
      </c>
      <c r="EQ209" s="229">
        <v>-0.4723</v>
      </c>
      <c r="ER209" s="231">
        <v>86694</v>
      </c>
      <c r="ES209" s="231">
        <v>49671</v>
      </c>
      <c r="ET209" s="231">
        <v>156308</v>
      </c>
      <c r="EU209" s="231">
        <v>34594689</v>
      </c>
      <c r="EV209" s="231">
        <v>292673</v>
      </c>
      <c r="EW209" s="231">
        <v>287680</v>
      </c>
      <c r="EX209" s="231">
        <v>4993</v>
      </c>
      <c r="EY209" s="229">
        <v>1.7399999999999999E-2</v>
      </c>
      <c r="EZ209" s="229">
        <v>0.57420000000000004</v>
      </c>
      <c r="FA209" s="227" t="s">
        <v>567</v>
      </c>
      <c r="FB209" s="161">
        <f t="shared" si="5"/>
        <v>0</v>
      </c>
    </row>
    <row r="210" spans="1:158" ht="17.25" thickBot="1" x14ac:dyDescent="0.3">
      <c r="A210" s="226">
        <v>46093</v>
      </c>
      <c r="B210" s="227" t="s">
        <v>184</v>
      </c>
      <c r="C210" s="227" t="s">
        <v>691</v>
      </c>
      <c r="D210" s="228">
        <v>175</v>
      </c>
      <c r="E210" s="231">
        <v>2749.1</v>
      </c>
      <c r="F210" s="231">
        <v>2691.4</v>
      </c>
      <c r="G210" s="228">
        <v>57.7</v>
      </c>
      <c r="H210" s="229">
        <v>2.1399999999999999E-2</v>
      </c>
      <c r="I210" s="231">
        <v>2739.4</v>
      </c>
      <c r="J210" s="231">
        <v>2682.8</v>
      </c>
      <c r="K210" s="228">
        <v>56.6</v>
      </c>
      <c r="L210" s="229">
        <v>2.1100000000000001E-2</v>
      </c>
      <c r="M210" s="231">
        <v>2749.1</v>
      </c>
      <c r="N210" s="231">
        <v>2691.4</v>
      </c>
      <c r="O210" s="228">
        <v>57.7</v>
      </c>
      <c r="P210" s="229">
        <v>2.1399999999999999E-2</v>
      </c>
      <c r="Q210" s="231">
        <v>2760.7</v>
      </c>
      <c r="R210" s="231">
        <v>2705.4</v>
      </c>
      <c r="S210" s="228">
        <v>55.3</v>
      </c>
      <c r="T210" s="229">
        <v>2.0400000000000001E-2</v>
      </c>
      <c r="U210" s="231">
        <v>2773.6</v>
      </c>
      <c r="V210" s="231">
        <v>2715.8</v>
      </c>
      <c r="W210" s="228">
        <v>57.8</v>
      </c>
      <c r="X210" s="229">
        <v>2.1299999999999999E-2</v>
      </c>
      <c r="Y210" s="228">
        <v>9.6999999999999993</v>
      </c>
      <c r="Z210" s="228">
        <v>8.6</v>
      </c>
      <c r="AA210" s="228">
        <v>1.1000000000000001</v>
      </c>
      <c r="AB210" s="229">
        <v>3.5000000000000001E-3</v>
      </c>
      <c r="AC210" s="228">
        <v>9.6999999999999993</v>
      </c>
      <c r="AD210" s="228">
        <v>8.6</v>
      </c>
      <c r="AE210" s="228">
        <v>1.1000000000000001</v>
      </c>
      <c r="AF210" s="229">
        <v>3.5000000000000001E-3</v>
      </c>
      <c r="AG210" s="228">
        <v>21.3</v>
      </c>
      <c r="AH210" s="228">
        <v>22.6</v>
      </c>
      <c r="AI210" s="228">
        <v>-1.3</v>
      </c>
      <c r="AJ210" s="229">
        <v>7.7999999999999996E-3</v>
      </c>
      <c r="AK210" s="228">
        <v>34.200000000000003</v>
      </c>
      <c r="AL210" s="228">
        <v>33</v>
      </c>
      <c r="AM210" s="228">
        <v>1.2</v>
      </c>
      <c r="AN210" s="229">
        <v>1.2500000000000001E-2</v>
      </c>
      <c r="AO210" s="231">
        <v>2718.18</v>
      </c>
      <c r="AP210" s="231">
        <v>2716.15</v>
      </c>
      <c r="AQ210" s="228">
        <v>0</v>
      </c>
      <c r="AR210" s="230">
        <v>1082200</v>
      </c>
      <c r="AS210" s="230">
        <v>1148525</v>
      </c>
      <c r="AT210" s="230">
        <v>-66325</v>
      </c>
      <c r="AU210" s="229">
        <v>-5.7700000000000001E-2</v>
      </c>
      <c r="AV210" s="230">
        <v>1001350</v>
      </c>
      <c r="AW210" s="230">
        <v>1065400</v>
      </c>
      <c r="AX210" s="230">
        <v>-64050</v>
      </c>
      <c r="AY210" s="229">
        <v>-6.0100000000000001E-2</v>
      </c>
      <c r="AZ210" s="230">
        <v>73850</v>
      </c>
      <c r="BA210" s="230">
        <v>69650</v>
      </c>
      <c r="BB210" s="230">
        <v>4200</v>
      </c>
      <c r="BC210" s="229">
        <v>6.0299999999999999E-2</v>
      </c>
      <c r="BD210" s="230">
        <v>7000</v>
      </c>
      <c r="BE210" s="230">
        <v>13475</v>
      </c>
      <c r="BF210" s="230">
        <v>-6475</v>
      </c>
      <c r="BG210" s="229">
        <v>-0.48049999999999998</v>
      </c>
      <c r="BH210" s="230">
        <v>3428600</v>
      </c>
      <c r="BI210" s="230">
        <v>4626650</v>
      </c>
      <c r="BJ210" s="230">
        <v>-1198050</v>
      </c>
      <c r="BK210" s="229">
        <v>-0.25890000000000002</v>
      </c>
      <c r="BL210" s="230">
        <v>1523725</v>
      </c>
      <c r="BM210" s="230">
        <v>1298150</v>
      </c>
      <c r="BN210" s="230">
        <v>225575</v>
      </c>
      <c r="BO210" s="229">
        <v>0.17380000000000001</v>
      </c>
      <c r="BP210" s="230">
        <v>6034525</v>
      </c>
      <c r="BQ210" s="230">
        <v>7073325</v>
      </c>
      <c r="BR210" s="230">
        <v>-1038800</v>
      </c>
      <c r="BS210" s="229">
        <v>-0.1469</v>
      </c>
      <c r="BT210" s="230">
        <v>1330806</v>
      </c>
      <c r="BU210" s="230">
        <v>1512914</v>
      </c>
      <c r="BV210" s="230">
        <v>-182108</v>
      </c>
      <c r="BW210" s="229">
        <v>-0.12039999999999999</v>
      </c>
      <c r="BX210" s="230">
        <v>3888675</v>
      </c>
      <c r="BY210" s="230">
        <v>3947300</v>
      </c>
      <c r="BZ210" s="230">
        <v>-58625</v>
      </c>
      <c r="CA210" s="229">
        <v>-1.49E-2</v>
      </c>
      <c r="CB210" s="230">
        <v>3408125</v>
      </c>
      <c r="CC210" s="230">
        <v>3469550</v>
      </c>
      <c r="CD210" s="230">
        <v>-61425</v>
      </c>
      <c r="CE210" s="229">
        <v>-1.77E-2</v>
      </c>
      <c r="CF210" s="230">
        <v>450450</v>
      </c>
      <c r="CG210" s="230">
        <v>446600</v>
      </c>
      <c r="CH210" s="230">
        <v>3850</v>
      </c>
      <c r="CI210" s="229">
        <v>8.6E-3</v>
      </c>
      <c r="CJ210" s="230">
        <v>30100</v>
      </c>
      <c r="CK210" s="230">
        <v>31150</v>
      </c>
      <c r="CL210" s="230">
        <v>-1050</v>
      </c>
      <c r="CM210" s="229">
        <v>-3.3700000000000001E-2</v>
      </c>
      <c r="CN210" s="230">
        <v>2710750</v>
      </c>
      <c r="CO210" s="230">
        <v>2823275</v>
      </c>
      <c r="CP210" s="230">
        <v>-112525</v>
      </c>
      <c r="CQ210" s="229">
        <v>-3.9899999999999998E-2</v>
      </c>
      <c r="CR210" s="230">
        <v>1676150</v>
      </c>
      <c r="CS210" s="230">
        <v>1712375</v>
      </c>
      <c r="CT210" s="230">
        <v>-36225</v>
      </c>
      <c r="CU210" s="229">
        <v>-2.12E-2</v>
      </c>
      <c r="CV210" s="230">
        <v>8275575</v>
      </c>
      <c r="CW210" s="230">
        <v>8482950</v>
      </c>
      <c r="CX210" s="230">
        <v>-207375</v>
      </c>
      <c r="CY210" s="229">
        <v>-2.4400000000000002E-2</v>
      </c>
      <c r="CZ210" s="228">
        <v>47.91</v>
      </c>
      <c r="DA210" s="228">
        <v>47.29</v>
      </c>
      <c r="DB210" s="228">
        <v>0.62</v>
      </c>
      <c r="DC210" s="228">
        <v>0.62</v>
      </c>
      <c r="DD210" s="228">
        <v>52.9</v>
      </c>
      <c r="DE210" s="228">
        <v>52.95</v>
      </c>
      <c r="DF210" s="228">
        <v>-4.99</v>
      </c>
      <c r="DG210" s="228">
        <v>-0.05</v>
      </c>
      <c r="DH210" s="228">
        <v>46.93</v>
      </c>
      <c r="DI210" s="228">
        <v>46.8</v>
      </c>
      <c r="DJ210" s="228">
        <v>0.13</v>
      </c>
      <c r="DK210" s="228">
        <v>0.13</v>
      </c>
      <c r="DL210" s="228">
        <v>50.12</v>
      </c>
      <c r="DM210" s="228">
        <v>49.01</v>
      </c>
      <c r="DN210" s="228">
        <v>1.1100000000000001</v>
      </c>
      <c r="DO210" s="228">
        <v>1.1100000000000001</v>
      </c>
      <c r="DP210" s="228">
        <v>0.62</v>
      </c>
      <c r="DQ210" s="228">
        <v>0.61</v>
      </c>
      <c r="DR210" s="228">
        <v>0.01</v>
      </c>
      <c r="DS210" s="229">
        <v>1.6400000000000001E-2</v>
      </c>
      <c r="DT210" s="231">
        <v>3000</v>
      </c>
      <c r="DU210" s="231">
        <v>2700</v>
      </c>
      <c r="DV210" s="228">
        <v>0.44</v>
      </c>
      <c r="DW210" s="228">
        <v>0.28000000000000003</v>
      </c>
      <c r="DX210" s="228">
        <v>0.16</v>
      </c>
      <c r="DY210" s="229">
        <v>0.57140000000000002</v>
      </c>
      <c r="DZ210" s="229">
        <v>0.1236</v>
      </c>
      <c r="EA210" s="230">
        <v>477750</v>
      </c>
      <c r="EB210" s="229">
        <v>4.1999999999999997E-3</v>
      </c>
      <c r="EC210" s="229">
        <v>0.1236</v>
      </c>
      <c r="ED210" s="228">
        <v>-2.0299999999999998</v>
      </c>
      <c r="EE210" s="229">
        <v>-6.9999999999999999E-4</v>
      </c>
      <c r="EF210" s="230">
        <v>367630</v>
      </c>
      <c r="EG210" s="230">
        <v>385261</v>
      </c>
      <c r="EH210" s="229">
        <v>-4.58E-2</v>
      </c>
      <c r="EI210" s="229">
        <v>0.2762</v>
      </c>
      <c r="EJ210" s="231">
        <v>100489.91</v>
      </c>
      <c r="EK210" s="231">
        <v>39502.129999999997</v>
      </c>
      <c r="EL210" s="231">
        <v>29416.62</v>
      </c>
      <c r="EM210" s="231">
        <v>5238</v>
      </c>
      <c r="EN210" s="231">
        <v>169408.66</v>
      </c>
      <c r="EO210" s="231">
        <v>200152.22</v>
      </c>
      <c r="EP210" s="231">
        <v>-30743.56</v>
      </c>
      <c r="EQ210" s="229">
        <v>-0.15359999999999999</v>
      </c>
      <c r="ER210" s="231">
        <v>79623</v>
      </c>
      <c r="ES210" s="231">
        <v>43738</v>
      </c>
      <c r="ET210" s="231">
        <v>106963</v>
      </c>
      <c r="EU210" s="231">
        <v>15436318</v>
      </c>
      <c r="EV210" s="231">
        <v>230324</v>
      </c>
      <c r="EW210" s="231">
        <v>233865</v>
      </c>
      <c r="EX210" s="231">
        <v>-3541</v>
      </c>
      <c r="EY210" s="229">
        <v>-1.5100000000000001E-2</v>
      </c>
      <c r="EZ210" s="229">
        <v>0.53610000000000002</v>
      </c>
      <c r="FA210" s="227" t="s">
        <v>556</v>
      </c>
      <c r="FB210" s="161">
        <f t="shared" si="5"/>
        <v>0</v>
      </c>
    </row>
    <row r="211" spans="1:158" ht="17.25" thickBot="1" x14ac:dyDescent="0.3">
      <c r="A211" s="226">
        <v>46093</v>
      </c>
      <c r="B211" s="227" t="s">
        <v>221</v>
      </c>
      <c r="C211" s="227" t="s">
        <v>306</v>
      </c>
      <c r="D211" s="228">
        <v>3000</v>
      </c>
      <c r="E211" s="228">
        <v>201.83</v>
      </c>
      <c r="F211" s="228">
        <v>201.68</v>
      </c>
      <c r="G211" s="228">
        <v>0.15</v>
      </c>
      <c r="H211" s="229">
        <v>6.9999999999999999E-4</v>
      </c>
      <c r="I211" s="228">
        <v>202.51</v>
      </c>
      <c r="J211" s="228">
        <v>202.23</v>
      </c>
      <c r="K211" s="228">
        <v>0.28000000000000003</v>
      </c>
      <c r="L211" s="229">
        <v>1.4E-3</v>
      </c>
      <c r="M211" s="228">
        <v>201.83</v>
      </c>
      <c r="N211" s="228">
        <v>201.68</v>
      </c>
      <c r="O211" s="228">
        <v>0.15</v>
      </c>
      <c r="P211" s="229">
        <v>6.9999999999999999E-4</v>
      </c>
      <c r="Q211" s="228">
        <v>201.65</v>
      </c>
      <c r="R211" s="228">
        <v>201.6</v>
      </c>
      <c r="S211" s="228">
        <v>0.05</v>
      </c>
      <c r="T211" s="229">
        <v>2.0000000000000001E-4</v>
      </c>
      <c r="U211" s="228">
        <v>201.62</v>
      </c>
      <c r="V211" s="228">
        <v>201.64</v>
      </c>
      <c r="W211" s="228">
        <v>-0.02</v>
      </c>
      <c r="X211" s="229">
        <v>-1E-4</v>
      </c>
      <c r="Y211" s="228">
        <v>-0.68</v>
      </c>
      <c r="Z211" s="228">
        <v>-0.55000000000000004</v>
      </c>
      <c r="AA211" s="228">
        <v>-0.13</v>
      </c>
      <c r="AB211" s="229">
        <v>-3.3999999999999998E-3</v>
      </c>
      <c r="AC211" s="228">
        <v>-0.68</v>
      </c>
      <c r="AD211" s="228">
        <v>-0.55000000000000004</v>
      </c>
      <c r="AE211" s="228">
        <v>-0.13</v>
      </c>
      <c r="AF211" s="229">
        <v>-3.3999999999999998E-3</v>
      </c>
      <c r="AG211" s="228">
        <v>-0.86</v>
      </c>
      <c r="AH211" s="228">
        <v>-0.63</v>
      </c>
      <c r="AI211" s="228">
        <v>-0.23</v>
      </c>
      <c r="AJ211" s="229">
        <v>-4.1999999999999997E-3</v>
      </c>
      <c r="AK211" s="228">
        <v>-0.89</v>
      </c>
      <c r="AL211" s="228">
        <v>-0.59</v>
      </c>
      <c r="AM211" s="228">
        <v>-0.3</v>
      </c>
      <c r="AN211" s="229">
        <v>-4.4000000000000003E-3</v>
      </c>
      <c r="AO211" s="228">
        <v>201.47</v>
      </c>
      <c r="AP211" s="228">
        <v>201.48</v>
      </c>
      <c r="AQ211" s="228">
        <v>0</v>
      </c>
      <c r="AR211" s="230">
        <v>38040000</v>
      </c>
      <c r="AS211" s="230">
        <v>51603000</v>
      </c>
      <c r="AT211" s="230">
        <v>-13563000</v>
      </c>
      <c r="AU211" s="229">
        <v>-0.26279999999999998</v>
      </c>
      <c r="AV211" s="230">
        <v>27924000</v>
      </c>
      <c r="AW211" s="230">
        <v>40917000</v>
      </c>
      <c r="AX211" s="230">
        <v>-12993000</v>
      </c>
      <c r="AY211" s="229">
        <v>-0.3175</v>
      </c>
      <c r="AZ211" s="230">
        <v>9864000</v>
      </c>
      <c r="BA211" s="230">
        <v>10143000</v>
      </c>
      <c r="BB211" s="230">
        <v>-279000</v>
      </c>
      <c r="BC211" s="229">
        <v>-2.75E-2</v>
      </c>
      <c r="BD211" s="230">
        <v>252000</v>
      </c>
      <c r="BE211" s="230">
        <v>543000</v>
      </c>
      <c r="BF211" s="230">
        <v>-291000</v>
      </c>
      <c r="BG211" s="229">
        <v>-0.53590000000000004</v>
      </c>
      <c r="BH211" s="230">
        <v>57768000</v>
      </c>
      <c r="BI211" s="230">
        <v>99702000</v>
      </c>
      <c r="BJ211" s="230">
        <v>-41934000</v>
      </c>
      <c r="BK211" s="229">
        <v>-0.42059999999999997</v>
      </c>
      <c r="BL211" s="230">
        <v>25686000</v>
      </c>
      <c r="BM211" s="230">
        <v>30288000</v>
      </c>
      <c r="BN211" s="230">
        <v>-4602000</v>
      </c>
      <c r="BO211" s="229">
        <v>-0.15190000000000001</v>
      </c>
      <c r="BP211" s="230">
        <v>121494000</v>
      </c>
      <c r="BQ211" s="230">
        <v>181593000</v>
      </c>
      <c r="BR211" s="230">
        <v>-60099000</v>
      </c>
      <c r="BS211" s="229">
        <v>-0.33100000000000002</v>
      </c>
      <c r="BT211" s="230">
        <v>19392079</v>
      </c>
      <c r="BU211" s="230">
        <v>29603867</v>
      </c>
      <c r="BV211" s="230">
        <v>-10211788</v>
      </c>
      <c r="BW211" s="229">
        <v>-0.34489999999999998</v>
      </c>
      <c r="BX211" s="230">
        <v>190272000</v>
      </c>
      <c r="BY211" s="230">
        <v>179163000</v>
      </c>
      <c r="BZ211" s="230">
        <v>11109000</v>
      </c>
      <c r="CA211" s="229">
        <v>6.2E-2</v>
      </c>
      <c r="CB211" s="230">
        <v>157800000</v>
      </c>
      <c r="CC211" s="230">
        <v>153294000</v>
      </c>
      <c r="CD211" s="230">
        <v>4506000</v>
      </c>
      <c r="CE211" s="229">
        <v>2.9399999999999999E-2</v>
      </c>
      <c r="CF211" s="230">
        <v>30864000</v>
      </c>
      <c r="CG211" s="230">
        <v>24324000</v>
      </c>
      <c r="CH211" s="230">
        <v>6540000</v>
      </c>
      <c r="CI211" s="229">
        <v>0.26889999999999997</v>
      </c>
      <c r="CJ211" s="230">
        <v>1608000</v>
      </c>
      <c r="CK211" s="230">
        <v>1545000</v>
      </c>
      <c r="CL211" s="230">
        <v>63000</v>
      </c>
      <c r="CM211" s="229">
        <v>4.0800000000000003E-2</v>
      </c>
      <c r="CN211" s="230">
        <v>87879000</v>
      </c>
      <c r="CO211" s="230">
        <v>87315000</v>
      </c>
      <c r="CP211" s="230">
        <v>564000</v>
      </c>
      <c r="CQ211" s="229">
        <v>6.4999999999999997E-3</v>
      </c>
      <c r="CR211" s="230">
        <v>46653000</v>
      </c>
      <c r="CS211" s="230">
        <v>46950000</v>
      </c>
      <c r="CT211" s="230">
        <v>-297000</v>
      </c>
      <c r="CU211" s="229">
        <v>-6.3E-3</v>
      </c>
      <c r="CV211" s="230">
        <v>324804000</v>
      </c>
      <c r="CW211" s="230">
        <v>313428000</v>
      </c>
      <c r="CX211" s="230">
        <v>11376000</v>
      </c>
      <c r="CY211" s="229">
        <v>3.6299999999999999E-2</v>
      </c>
      <c r="CZ211" s="228">
        <v>33.19</v>
      </c>
      <c r="DA211" s="228">
        <v>33.97</v>
      </c>
      <c r="DB211" s="228">
        <v>-0.78</v>
      </c>
      <c r="DC211" s="228">
        <v>-0.78</v>
      </c>
      <c r="DD211" s="228">
        <v>30.9</v>
      </c>
      <c r="DE211" s="228">
        <v>30.98</v>
      </c>
      <c r="DF211" s="228">
        <v>2.29</v>
      </c>
      <c r="DG211" s="228">
        <v>-0.08</v>
      </c>
      <c r="DH211" s="228">
        <v>32.049999999999997</v>
      </c>
      <c r="DI211" s="228">
        <v>33.200000000000003</v>
      </c>
      <c r="DJ211" s="228">
        <v>-1.1499999999999999</v>
      </c>
      <c r="DK211" s="228">
        <v>-1.1499999999999999</v>
      </c>
      <c r="DL211" s="228">
        <v>35.75</v>
      </c>
      <c r="DM211" s="228">
        <v>36.520000000000003</v>
      </c>
      <c r="DN211" s="228">
        <v>-0.77</v>
      </c>
      <c r="DO211" s="228">
        <v>-0.77</v>
      </c>
      <c r="DP211" s="228">
        <v>0.53</v>
      </c>
      <c r="DQ211" s="228">
        <v>0.54</v>
      </c>
      <c r="DR211" s="228">
        <v>-0.01</v>
      </c>
      <c r="DS211" s="229">
        <v>-1.8499999999999999E-2</v>
      </c>
      <c r="DT211" s="228">
        <v>210</v>
      </c>
      <c r="DU211" s="228">
        <v>190</v>
      </c>
      <c r="DV211" s="228">
        <v>0.44</v>
      </c>
      <c r="DW211" s="228">
        <v>0.3</v>
      </c>
      <c r="DX211" s="228">
        <v>0.14000000000000001</v>
      </c>
      <c r="DY211" s="229">
        <v>0.4667</v>
      </c>
      <c r="DZ211" s="229">
        <v>0.17069999999999999</v>
      </c>
      <c r="EA211" s="230">
        <v>25869000</v>
      </c>
      <c r="EB211" s="229">
        <v>-8.9999999999999998E-4</v>
      </c>
      <c r="EC211" s="229">
        <v>0.17069999999999999</v>
      </c>
      <c r="ED211" s="228">
        <v>0.01</v>
      </c>
      <c r="EE211" s="229">
        <v>0</v>
      </c>
      <c r="EF211" s="230">
        <v>11392272</v>
      </c>
      <c r="EG211" s="230">
        <v>16752708</v>
      </c>
      <c r="EH211" s="229">
        <v>-0.32</v>
      </c>
      <c r="EI211" s="229">
        <v>0.58750000000000002</v>
      </c>
      <c r="EJ211" s="231">
        <v>123687.98</v>
      </c>
      <c r="EK211" s="231">
        <v>50565.95</v>
      </c>
      <c r="EL211" s="231">
        <v>76640.08</v>
      </c>
      <c r="EM211" s="231">
        <v>11447</v>
      </c>
      <c r="EN211" s="231">
        <v>250894.01</v>
      </c>
      <c r="EO211" s="231">
        <v>378779.73</v>
      </c>
      <c r="EP211" s="231">
        <v>-127885.72</v>
      </c>
      <c r="EQ211" s="229">
        <v>-0.33760000000000001</v>
      </c>
      <c r="ER211" s="231">
        <v>194400</v>
      </c>
      <c r="ES211" s="231">
        <v>94158</v>
      </c>
      <c r="ET211" s="231">
        <v>383967</v>
      </c>
      <c r="EU211" s="231">
        <v>358423198</v>
      </c>
      <c r="EV211" s="231">
        <v>672524</v>
      </c>
      <c r="EW211" s="231">
        <v>649414</v>
      </c>
      <c r="EX211" s="231">
        <v>23110</v>
      </c>
      <c r="EY211" s="229">
        <v>3.56E-2</v>
      </c>
      <c r="EZ211" s="229">
        <v>0.90620000000000001</v>
      </c>
      <c r="FA211" s="227" t="s">
        <v>555</v>
      </c>
      <c r="FB211" s="161">
        <f t="shared" si="5"/>
        <v>0</v>
      </c>
    </row>
    <row r="212" spans="1:158" ht="17.25" thickBot="1" x14ac:dyDescent="0.3">
      <c r="A212" s="226">
        <v>46093</v>
      </c>
      <c r="B212" s="227" t="s">
        <v>172</v>
      </c>
      <c r="C212" s="227" t="s">
        <v>590</v>
      </c>
      <c r="D212" s="228">
        <v>31100</v>
      </c>
      <c r="E212" s="228">
        <v>19.399999999999999</v>
      </c>
      <c r="F212" s="228">
        <v>19.55</v>
      </c>
      <c r="G212" s="228">
        <v>-0.15</v>
      </c>
      <c r="H212" s="229">
        <v>-7.7000000000000002E-3</v>
      </c>
      <c r="I212" s="228">
        <v>19.309999999999999</v>
      </c>
      <c r="J212" s="228">
        <v>19.53</v>
      </c>
      <c r="K212" s="228">
        <v>-0.22</v>
      </c>
      <c r="L212" s="229">
        <v>-1.1299999999999999E-2</v>
      </c>
      <c r="M212" s="228">
        <v>19.399999999999999</v>
      </c>
      <c r="N212" s="228">
        <v>19.55</v>
      </c>
      <c r="O212" s="228">
        <v>-0.15</v>
      </c>
      <c r="P212" s="229">
        <v>-7.7000000000000002E-3</v>
      </c>
      <c r="Q212" s="228">
        <v>19.510000000000002</v>
      </c>
      <c r="R212" s="228">
        <v>19.68</v>
      </c>
      <c r="S212" s="228">
        <v>-0.17</v>
      </c>
      <c r="T212" s="229">
        <v>-8.6E-3</v>
      </c>
      <c r="U212" s="228">
        <v>19.64</v>
      </c>
      <c r="V212" s="228">
        <v>19.8</v>
      </c>
      <c r="W212" s="228">
        <v>-0.16</v>
      </c>
      <c r="X212" s="229">
        <v>-8.0999999999999996E-3</v>
      </c>
      <c r="Y212" s="228">
        <v>0.09</v>
      </c>
      <c r="Z212" s="228">
        <v>0.02</v>
      </c>
      <c r="AA212" s="228">
        <v>7.0000000000000007E-2</v>
      </c>
      <c r="AB212" s="229">
        <v>4.7000000000000002E-3</v>
      </c>
      <c r="AC212" s="228">
        <v>0.09</v>
      </c>
      <c r="AD212" s="228">
        <v>0.02</v>
      </c>
      <c r="AE212" s="228">
        <v>7.0000000000000007E-2</v>
      </c>
      <c r="AF212" s="229">
        <v>4.7000000000000002E-3</v>
      </c>
      <c r="AG212" s="228">
        <v>0.2</v>
      </c>
      <c r="AH212" s="228">
        <v>0.15</v>
      </c>
      <c r="AI212" s="228">
        <v>0.05</v>
      </c>
      <c r="AJ212" s="229">
        <v>1.04E-2</v>
      </c>
      <c r="AK212" s="228">
        <v>0.33</v>
      </c>
      <c r="AL212" s="228">
        <v>0.27</v>
      </c>
      <c r="AM212" s="228">
        <v>0.06</v>
      </c>
      <c r="AN212" s="229">
        <v>1.7100000000000001E-2</v>
      </c>
      <c r="AO212" s="228">
        <v>19.28</v>
      </c>
      <c r="AP212" s="228">
        <v>19.43</v>
      </c>
      <c r="AQ212" s="228">
        <v>0</v>
      </c>
      <c r="AR212" s="230">
        <v>134849600</v>
      </c>
      <c r="AS212" s="230">
        <v>120699100</v>
      </c>
      <c r="AT212" s="230">
        <v>14150500</v>
      </c>
      <c r="AU212" s="229">
        <v>0.1172</v>
      </c>
      <c r="AV212" s="230">
        <v>106175400</v>
      </c>
      <c r="AW212" s="230">
        <v>85027400</v>
      </c>
      <c r="AX212" s="230">
        <v>21148000</v>
      </c>
      <c r="AY212" s="229">
        <v>0.2487</v>
      </c>
      <c r="AZ212" s="230">
        <v>25999600</v>
      </c>
      <c r="BA212" s="230">
        <v>32903800</v>
      </c>
      <c r="BB212" s="230">
        <v>-6904200</v>
      </c>
      <c r="BC212" s="229">
        <v>-0.20979999999999999</v>
      </c>
      <c r="BD212" s="230">
        <v>2674600</v>
      </c>
      <c r="BE212" s="230">
        <v>2767900</v>
      </c>
      <c r="BF212" s="230">
        <v>-93300</v>
      </c>
      <c r="BG212" s="229">
        <v>-3.3700000000000001E-2</v>
      </c>
      <c r="BH212" s="230">
        <v>275110600</v>
      </c>
      <c r="BI212" s="230">
        <v>174688700</v>
      </c>
      <c r="BJ212" s="230">
        <v>100421900</v>
      </c>
      <c r="BK212" s="229">
        <v>0.57489999999999997</v>
      </c>
      <c r="BL212" s="230">
        <v>150710600</v>
      </c>
      <c r="BM212" s="230">
        <v>106113200</v>
      </c>
      <c r="BN212" s="230">
        <v>44597400</v>
      </c>
      <c r="BO212" s="229">
        <v>0.42030000000000001</v>
      </c>
      <c r="BP212" s="230">
        <v>560670800</v>
      </c>
      <c r="BQ212" s="230">
        <v>401501000</v>
      </c>
      <c r="BR212" s="230">
        <v>159169800</v>
      </c>
      <c r="BS212" s="229">
        <v>0.39639999999999997</v>
      </c>
      <c r="BT212" s="230">
        <v>92321698</v>
      </c>
      <c r="BU212" s="230">
        <v>74874456</v>
      </c>
      <c r="BV212" s="230">
        <v>17447242</v>
      </c>
      <c r="BW212" s="229">
        <v>0.23300000000000001</v>
      </c>
      <c r="BX212" s="230">
        <v>1148056500</v>
      </c>
      <c r="BY212" s="230">
        <v>1134310300</v>
      </c>
      <c r="BZ212" s="230">
        <v>13746200</v>
      </c>
      <c r="CA212" s="229">
        <v>1.21E-2</v>
      </c>
      <c r="CB212" s="230">
        <v>1013860000</v>
      </c>
      <c r="CC212" s="230">
        <v>1010532300</v>
      </c>
      <c r="CD212" s="230">
        <v>3327700</v>
      </c>
      <c r="CE212" s="229">
        <v>3.3E-3</v>
      </c>
      <c r="CF212" s="230">
        <v>112644200</v>
      </c>
      <c r="CG212" s="230">
        <v>103594100</v>
      </c>
      <c r="CH212" s="230">
        <v>9050100</v>
      </c>
      <c r="CI212" s="229">
        <v>8.7400000000000005E-2</v>
      </c>
      <c r="CJ212" s="230">
        <v>21552300</v>
      </c>
      <c r="CK212" s="230">
        <v>20183900</v>
      </c>
      <c r="CL212" s="230">
        <v>1368400</v>
      </c>
      <c r="CM212" s="229">
        <v>6.7799999999999999E-2</v>
      </c>
      <c r="CN212" s="230">
        <v>372733500</v>
      </c>
      <c r="CO212" s="230">
        <v>362377200</v>
      </c>
      <c r="CP212" s="230">
        <v>10356300</v>
      </c>
      <c r="CQ212" s="229">
        <v>2.86E-2</v>
      </c>
      <c r="CR212" s="230">
        <v>263448100</v>
      </c>
      <c r="CS212" s="230">
        <v>252998500</v>
      </c>
      <c r="CT212" s="230">
        <v>10449600</v>
      </c>
      <c r="CU212" s="229">
        <v>4.1300000000000003E-2</v>
      </c>
      <c r="CV212" s="230">
        <v>1784238100</v>
      </c>
      <c r="CW212" s="230">
        <v>1749686000</v>
      </c>
      <c r="CX212" s="230">
        <v>34552100</v>
      </c>
      <c r="CY212" s="229">
        <v>1.9699999999999999E-2</v>
      </c>
      <c r="CZ212" s="228">
        <v>34.380000000000003</v>
      </c>
      <c r="DA212" s="228">
        <v>33.57</v>
      </c>
      <c r="DB212" s="228">
        <v>0.81</v>
      </c>
      <c r="DC212" s="228">
        <v>0.81</v>
      </c>
      <c r="DD212" s="228">
        <v>37.270000000000003</v>
      </c>
      <c r="DE212" s="228">
        <v>37.35</v>
      </c>
      <c r="DF212" s="228">
        <v>-2.89</v>
      </c>
      <c r="DG212" s="228">
        <v>-0.08</v>
      </c>
      <c r="DH212" s="228">
        <v>32.549999999999997</v>
      </c>
      <c r="DI212" s="228">
        <v>33.53</v>
      </c>
      <c r="DJ212" s="228">
        <v>-0.98</v>
      </c>
      <c r="DK212" s="228">
        <v>-0.98</v>
      </c>
      <c r="DL212" s="228">
        <v>37.72</v>
      </c>
      <c r="DM212" s="228">
        <v>33.64</v>
      </c>
      <c r="DN212" s="228">
        <v>4.08</v>
      </c>
      <c r="DO212" s="228">
        <v>4.08</v>
      </c>
      <c r="DP212" s="228">
        <v>0.71</v>
      </c>
      <c r="DQ212" s="228">
        <v>0.7</v>
      </c>
      <c r="DR212" s="228">
        <v>0.01</v>
      </c>
      <c r="DS212" s="229">
        <v>1.43E-2</v>
      </c>
      <c r="DT212" s="228">
        <v>21</v>
      </c>
      <c r="DU212" s="228">
        <v>20</v>
      </c>
      <c r="DV212" s="228">
        <v>0.55000000000000004</v>
      </c>
      <c r="DW212" s="228">
        <v>0.61</v>
      </c>
      <c r="DX212" s="228">
        <v>-0.06</v>
      </c>
      <c r="DY212" s="229">
        <v>-9.8400000000000001E-2</v>
      </c>
      <c r="DZ212" s="229">
        <v>0.1169</v>
      </c>
      <c r="EA212" s="230">
        <v>123778000</v>
      </c>
      <c r="EB212" s="229">
        <v>5.7000000000000002E-3</v>
      </c>
      <c r="EC212" s="229">
        <v>0.1169</v>
      </c>
      <c r="ED212" s="228">
        <v>0.15</v>
      </c>
      <c r="EE212" s="229">
        <v>7.7999999999999996E-3</v>
      </c>
      <c r="EF212" s="230">
        <v>34087289</v>
      </c>
      <c r="EG212" s="230">
        <v>39238090</v>
      </c>
      <c r="EH212" s="229">
        <v>-0.1313</v>
      </c>
      <c r="EI212" s="229">
        <v>0.36919999999999997</v>
      </c>
      <c r="EJ212" s="231">
        <v>57855.02</v>
      </c>
      <c r="EK212" s="231">
        <v>28479.75</v>
      </c>
      <c r="EL212" s="231">
        <v>26047.39</v>
      </c>
      <c r="EM212" s="231">
        <v>4518</v>
      </c>
      <c r="EN212" s="231">
        <v>112382.16</v>
      </c>
      <c r="EO212" s="231">
        <v>81683.399999999994</v>
      </c>
      <c r="EP212" s="231">
        <v>30698.76</v>
      </c>
      <c r="EQ212" s="229">
        <v>0.37580000000000002</v>
      </c>
      <c r="ER212" s="231">
        <v>81662</v>
      </c>
      <c r="ES212" s="231">
        <v>52735</v>
      </c>
      <c r="ET212" s="231">
        <v>222899</v>
      </c>
      <c r="EU212" s="231">
        <v>3547322779</v>
      </c>
      <c r="EV212" s="231">
        <v>357295</v>
      </c>
      <c r="EW212" s="231">
        <v>352534</v>
      </c>
      <c r="EX212" s="231">
        <v>4761</v>
      </c>
      <c r="EY212" s="229">
        <v>1.35E-2</v>
      </c>
      <c r="EZ212" s="229">
        <v>0.503</v>
      </c>
      <c r="FA212" s="227" t="s">
        <v>567</v>
      </c>
      <c r="FB212" s="161">
        <f t="shared" si="5"/>
        <v>0</v>
      </c>
    </row>
    <row r="213" spans="1:158" ht="17.25" thickBot="1" x14ac:dyDescent="0.3">
      <c r="A213" s="226">
        <v>46093</v>
      </c>
      <c r="B213" s="227" t="s">
        <v>170</v>
      </c>
      <c r="C213" s="227" t="s">
        <v>557</v>
      </c>
      <c r="D213" s="228">
        <v>900</v>
      </c>
      <c r="E213" s="228">
        <v>920.9</v>
      </c>
      <c r="F213" s="228">
        <v>924.9</v>
      </c>
      <c r="G213" s="228">
        <v>-4</v>
      </c>
      <c r="H213" s="229">
        <v>-4.3E-3</v>
      </c>
      <c r="I213" s="228">
        <v>916.9</v>
      </c>
      <c r="J213" s="228">
        <v>921.75</v>
      </c>
      <c r="K213" s="228">
        <v>-4.8499999999999996</v>
      </c>
      <c r="L213" s="229">
        <v>-5.3E-3</v>
      </c>
      <c r="M213" s="228">
        <v>920.9</v>
      </c>
      <c r="N213" s="228">
        <v>924.9</v>
      </c>
      <c r="O213" s="228">
        <v>-4</v>
      </c>
      <c r="P213" s="229">
        <v>-4.3E-3</v>
      </c>
      <c r="Q213" s="228">
        <v>926.55</v>
      </c>
      <c r="R213" s="228">
        <v>929.55</v>
      </c>
      <c r="S213" s="228">
        <v>-3</v>
      </c>
      <c r="T213" s="229">
        <v>-3.2000000000000002E-3</v>
      </c>
      <c r="U213" s="228">
        <v>933.8</v>
      </c>
      <c r="V213" s="228">
        <v>934.25</v>
      </c>
      <c r="W213" s="228">
        <v>-0.45</v>
      </c>
      <c r="X213" s="229">
        <v>-5.0000000000000001E-4</v>
      </c>
      <c r="Y213" s="228">
        <v>4</v>
      </c>
      <c r="Z213" s="228">
        <v>3.15</v>
      </c>
      <c r="AA213" s="228">
        <v>0.85</v>
      </c>
      <c r="AB213" s="229">
        <v>4.4000000000000003E-3</v>
      </c>
      <c r="AC213" s="228">
        <v>4</v>
      </c>
      <c r="AD213" s="228">
        <v>3.15</v>
      </c>
      <c r="AE213" s="228">
        <v>0.85</v>
      </c>
      <c r="AF213" s="229">
        <v>4.4000000000000003E-3</v>
      </c>
      <c r="AG213" s="228">
        <v>9.65</v>
      </c>
      <c r="AH213" s="228">
        <v>7.8</v>
      </c>
      <c r="AI213" s="228">
        <v>1.85</v>
      </c>
      <c r="AJ213" s="229">
        <v>1.0500000000000001E-2</v>
      </c>
      <c r="AK213" s="228">
        <v>16.899999999999999</v>
      </c>
      <c r="AL213" s="228">
        <v>12.5</v>
      </c>
      <c r="AM213" s="228">
        <v>4.4000000000000004</v>
      </c>
      <c r="AN213" s="229">
        <v>1.84E-2</v>
      </c>
      <c r="AO213" s="228">
        <v>921.26</v>
      </c>
      <c r="AP213" s="228">
        <v>926.17</v>
      </c>
      <c r="AQ213" s="228">
        <v>0</v>
      </c>
      <c r="AR213" s="230">
        <v>1156500</v>
      </c>
      <c r="AS213" s="230">
        <v>1255500</v>
      </c>
      <c r="AT213" s="230">
        <v>-99000</v>
      </c>
      <c r="AU213" s="229">
        <v>-7.8899999999999998E-2</v>
      </c>
      <c r="AV213" s="230">
        <v>1057500</v>
      </c>
      <c r="AW213" s="230">
        <v>1138500</v>
      </c>
      <c r="AX213" s="230">
        <v>-81000</v>
      </c>
      <c r="AY213" s="229">
        <v>-7.1099999999999997E-2</v>
      </c>
      <c r="AZ213" s="230">
        <v>97200</v>
      </c>
      <c r="BA213" s="230">
        <v>114300</v>
      </c>
      <c r="BB213" s="230">
        <v>-17100</v>
      </c>
      <c r="BC213" s="229">
        <v>-0.14960000000000001</v>
      </c>
      <c r="BD213" s="230">
        <v>1800</v>
      </c>
      <c r="BE213" s="230">
        <v>2700</v>
      </c>
      <c r="BF213" s="228">
        <v>-900</v>
      </c>
      <c r="BG213" s="229">
        <v>-0.33329999999999999</v>
      </c>
      <c r="BH213" s="230">
        <v>2360700</v>
      </c>
      <c r="BI213" s="230">
        <v>3930300</v>
      </c>
      <c r="BJ213" s="230">
        <v>-1569600</v>
      </c>
      <c r="BK213" s="229">
        <v>-0.39939999999999998</v>
      </c>
      <c r="BL213" s="230">
        <v>847800</v>
      </c>
      <c r="BM213" s="230">
        <v>1399500</v>
      </c>
      <c r="BN213" s="230">
        <v>-551700</v>
      </c>
      <c r="BO213" s="229">
        <v>-0.39419999999999999</v>
      </c>
      <c r="BP213" s="230">
        <v>4365000</v>
      </c>
      <c r="BQ213" s="230">
        <v>6585300</v>
      </c>
      <c r="BR213" s="230">
        <v>-2220300</v>
      </c>
      <c r="BS213" s="229">
        <v>-0.3372</v>
      </c>
      <c r="BT213" s="230">
        <v>477931</v>
      </c>
      <c r="BU213" s="230">
        <v>582360</v>
      </c>
      <c r="BV213" s="230">
        <v>-104429</v>
      </c>
      <c r="BW213" s="229">
        <v>-0.17929999999999999</v>
      </c>
      <c r="BX213" s="230">
        <v>9538200</v>
      </c>
      <c r="BY213" s="230">
        <v>9474300</v>
      </c>
      <c r="BZ213" s="230">
        <v>63900</v>
      </c>
      <c r="CA213" s="229">
        <v>6.7000000000000002E-3</v>
      </c>
      <c r="CB213" s="230">
        <v>9218700</v>
      </c>
      <c r="CC213" s="230">
        <v>9191700</v>
      </c>
      <c r="CD213" s="230">
        <v>27000</v>
      </c>
      <c r="CE213" s="229">
        <v>2.8999999999999998E-3</v>
      </c>
      <c r="CF213" s="230">
        <v>311400</v>
      </c>
      <c r="CG213" s="230">
        <v>274500</v>
      </c>
      <c r="CH213" s="230">
        <v>36900</v>
      </c>
      <c r="CI213" s="229">
        <v>0.13439999999999999</v>
      </c>
      <c r="CJ213" s="230">
        <v>8100</v>
      </c>
      <c r="CK213" s="230">
        <v>8100</v>
      </c>
      <c r="CL213" s="228">
        <v>0</v>
      </c>
      <c r="CM213" s="229">
        <v>0</v>
      </c>
      <c r="CN213" s="230">
        <v>4668300</v>
      </c>
      <c r="CO213" s="230">
        <v>4455000</v>
      </c>
      <c r="CP213" s="230">
        <v>213300</v>
      </c>
      <c r="CQ213" s="229">
        <v>4.7899999999999998E-2</v>
      </c>
      <c r="CR213" s="230">
        <v>2446200</v>
      </c>
      <c r="CS213" s="230">
        <v>2493000</v>
      </c>
      <c r="CT213" s="230">
        <v>-46800</v>
      </c>
      <c r="CU213" s="229">
        <v>-1.8800000000000001E-2</v>
      </c>
      <c r="CV213" s="230">
        <v>16652700</v>
      </c>
      <c r="CW213" s="230">
        <v>16422300</v>
      </c>
      <c r="CX213" s="230">
        <v>230400</v>
      </c>
      <c r="CY213" s="229">
        <v>1.4E-2</v>
      </c>
      <c r="CZ213" s="228">
        <v>26.12</v>
      </c>
      <c r="DA213" s="228">
        <v>25.67</v>
      </c>
      <c r="DB213" s="228">
        <v>0.45</v>
      </c>
      <c r="DC213" s="228">
        <v>0.45</v>
      </c>
      <c r="DD213" s="228">
        <v>27.74</v>
      </c>
      <c r="DE213" s="228">
        <v>27.81</v>
      </c>
      <c r="DF213" s="228">
        <v>-1.62</v>
      </c>
      <c r="DG213" s="228">
        <v>-7.0000000000000007E-2</v>
      </c>
      <c r="DH213" s="228">
        <v>25.7</v>
      </c>
      <c r="DI213" s="228">
        <v>25.42</v>
      </c>
      <c r="DJ213" s="228">
        <v>0.28000000000000003</v>
      </c>
      <c r="DK213" s="228">
        <v>0.28000000000000003</v>
      </c>
      <c r="DL213" s="228">
        <v>27.3</v>
      </c>
      <c r="DM213" s="228">
        <v>26.4</v>
      </c>
      <c r="DN213" s="228">
        <v>0.9</v>
      </c>
      <c r="DO213" s="228">
        <v>0.9</v>
      </c>
      <c r="DP213" s="228">
        <v>0.52</v>
      </c>
      <c r="DQ213" s="228">
        <v>0.56000000000000005</v>
      </c>
      <c r="DR213" s="228">
        <v>-0.04</v>
      </c>
      <c r="DS213" s="229">
        <v>-7.1400000000000005E-2</v>
      </c>
      <c r="DT213" s="228">
        <v>950</v>
      </c>
      <c r="DU213" s="228">
        <v>900</v>
      </c>
      <c r="DV213" s="228">
        <v>0.36</v>
      </c>
      <c r="DW213" s="228">
        <v>0.36</v>
      </c>
      <c r="DX213" s="228">
        <v>0</v>
      </c>
      <c r="DY213" s="229">
        <v>0</v>
      </c>
      <c r="DZ213" s="229">
        <v>3.3500000000000002E-2</v>
      </c>
      <c r="EA213" s="230">
        <v>282600</v>
      </c>
      <c r="EB213" s="229">
        <v>6.1000000000000004E-3</v>
      </c>
      <c r="EC213" s="229">
        <v>3.3500000000000002E-2</v>
      </c>
      <c r="ED213" s="228">
        <v>4.91</v>
      </c>
      <c r="EE213" s="229">
        <v>5.3E-3</v>
      </c>
      <c r="EF213" s="230">
        <v>270498</v>
      </c>
      <c r="EG213" s="230">
        <v>306535</v>
      </c>
      <c r="EH213" s="229">
        <v>-0.1176</v>
      </c>
      <c r="EI213" s="229">
        <v>0.56599999999999995</v>
      </c>
      <c r="EJ213" s="231">
        <v>22828.99</v>
      </c>
      <c r="EK213" s="231">
        <v>7718.41</v>
      </c>
      <c r="EL213" s="231">
        <v>10659.34</v>
      </c>
      <c r="EM213" s="231">
        <v>1366</v>
      </c>
      <c r="EN213" s="231">
        <v>41206.74</v>
      </c>
      <c r="EO213" s="231">
        <v>62792.29</v>
      </c>
      <c r="EP213" s="231">
        <v>-21585.55</v>
      </c>
      <c r="EQ213" s="229">
        <v>-0.34379999999999999</v>
      </c>
      <c r="ER213" s="231">
        <v>45040</v>
      </c>
      <c r="ES213" s="231">
        <v>22468</v>
      </c>
      <c r="ET213" s="231">
        <v>87856</v>
      </c>
      <c r="EU213" s="231">
        <v>37741451</v>
      </c>
      <c r="EV213" s="231">
        <v>155364</v>
      </c>
      <c r="EW213" s="231">
        <v>153544</v>
      </c>
      <c r="EX213" s="231">
        <v>1820</v>
      </c>
      <c r="EY213" s="229">
        <v>1.1900000000000001E-2</v>
      </c>
      <c r="EZ213" s="229">
        <v>0.44119999999999998</v>
      </c>
      <c r="FA213" s="227" t="s">
        <v>567</v>
      </c>
      <c r="FB213" s="161">
        <f t="shared" si="5"/>
        <v>0</v>
      </c>
    </row>
    <row r="214" spans="1:158" x14ac:dyDescent="0.25">
      <c r="FB214" s="161">
        <f t="shared" si="5"/>
        <v>0</v>
      </c>
    </row>
    <row r="215" spans="1:158" x14ac:dyDescent="0.25">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BX323-CB323</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N15" sqref="N15"/>
    </sheetView>
  </sheetViews>
  <sheetFormatPr defaultColWidth="13.7109375" defaultRowHeight="15" x14ac:dyDescent="0.25"/>
  <cols>
    <col min="1" max="1" width="23.85546875" customWidth="1"/>
    <col min="2" max="2" width="12.28515625" customWidth="1"/>
    <col min="3" max="3" width="12.7109375" customWidth="1"/>
    <col min="4" max="4" width="11.140625" customWidth="1"/>
    <col min="5" max="5" width="12.7109375" customWidth="1"/>
    <col min="6" max="6" width="11.140625" customWidth="1"/>
    <col min="7" max="7" width="10.8554687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46093</v>
      </c>
      <c r="C2" s="230">
        <v>12089044</v>
      </c>
      <c r="D2" s="230">
        <v>1835596</v>
      </c>
      <c r="E2" s="230">
        <v>12271971</v>
      </c>
      <c r="F2" s="230">
        <v>1864702</v>
      </c>
      <c r="G2" s="230">
        <v>-182927</v>
      </c>
      <c r="H2" s="230">
        <v>-29105</v>
      </c>
      <c r="I2" s="230">
        <v>13306000</v>
      </c>
      <c r="J2" s="230">
        <v>1373622</v>
      </c>
      <c r="K2" s="230">
        <v>506139</v>
      </c>
      <c r="L2" s="230">
        <v>57747</v>
      </c>
      <c r="M2" s="230">
        <v>13812139</v>
      </c>
      <c r="N2" s="230">
        <v>1431369</v>
      </c>
      <c r="O2" s="61"/>
      <c r="P2" s="61"/>
      <c r="Q2" s="61"/>
      <c r="R2" s="61"/>
      <c r="S2" s="61"/>
      <c r="U2" t="s">
        <v>453</v>
      </c>
      <c r="V2">
        <f>SUM('Data Vlaue (Cr)'!CD:CD)</f>
        <v>517497</v>
      </c>
      <c r="W2" t="s">
        <v>454</v>
      </c>
    </row>
    <row r="3" spans="1:23" ht="17.25" thickBot="1" x14ac:dyDescent="0.3">
      <c r="A3" s="227" t="s">
        <v>617</v>
      </c>
      <c r="B3" s="226">
        <v>46093</v>
      </c>
      <c r="C3" s="230">
        <v>8382</v>
      </c>
      <c r="D3" s="230">
        <v>1396</v>
      </c>
      <c r="E3" s="230">
        <v>9239</v>
      </c>
      <c r="F3" s="230">
        <v>1540</v>
      </c>
      <c r="G3" s="228">
        <v>-857</v>
      </c>
      <c r="H3" s="228">
        <v>-144</v>
      </c>
      <c r="I3" s="230">
        <v>36424</v>
      </c>
      <c r="J3" s="230">
        <v>6118</v>
      </c>
      <c r="K3" s="228">
        <v>111</v>
      </c>
      <c r="L3" s="228">
        <v>-42</v>
      </c>
      <c r="M3" s="230">
        <v>36535</v>
      </c>
      <c r="N3" s="230">
        <v>6076</v>
      </c>
      <c r="O3" s="61"/>
      <c r="P3" s="61"/>
      <c r="Q3" s="61"/>
      <c r="R3" s="61"/>
      <c r="S3" s="61"/>
      <c r="U3" t="s">
        <v>453</v>
      </c>
      <c r="V3">
        <f>SUM('Data shares'!CC:CC)</f>
        <v>16347590567</v>
      </c>
      <c r="W3" t="s">
        <v>455</v>
      </c>
    </row>
    <row r="4" spans="1:23" ht="17.25" thickBot="1" x14ac:dyDescent="0.3">
      <c r="A4" s="227" t="s">
        <v>618</v>
      </c>
      <c r="B4" s="226">
        <v>46093</v>
      </c>
      <c r="C4" s="230">
        <v>251398</v>
      </c>
      <c r="D4" s="230">
        <v>43003</v>
      </c>
      <c r="E4" s="230">
        <v>252126</v>
      </c>
      <c r="F4" s="230">
        <v>43207</v>
      </c>
      <c r="G4" s="228">
        <v>-728</v>
      </c>
      <c r="H4" s="228">
        <v>-204</v>
      </c>
      <c r="I4" s="230">
        <v>407634</v>
      </c>
      <c r="J4" s="230">
        <v>68159</v>
      </c>
      <c r="K4" s="230">
        <v>8993</v>
      </c>
      <c r="L4" s="228">
        <v>710</v>
      </c>
      <c r="M4" s="230">
        <v>416627</v>
      </c>
      <c r="N4" s="230">
        <v>68870</v>
      </c>
      <c r="O4" s="61"/>
      <c r="P4" s="61"/>
      <c r="Q4" s="61"/>
      <c r="R4" s="61"/>
      <c r="S4" s="61"/>
    </row>
    <row r="5" spans="1:23" ht="17.25" thickBot="1" x14ac:dyDescent="0.3">
      <c r="A5" s="227" t="s">
        <v>619</v>
      </c>
      <c r="B5" s="226">
        <v>46093</v>
      </c>
      <c r="C5" s="228">
        <v>86</v>
      </c>
      <c r="D5" s="228">
        <v>13</v>
      </c>
      <c r="E5" s="228">
        <v>89</v>
      </c>
      <c r="F5" s="228">
        <v>14</v>
      </c>
      <c r="G5" s="228">
        <v>-3</v>
      </c>
      <c r="H5" s="228">
        <v>0</v>
      </c>
      <c r="I5" s="228">
        <v>42</v>
      </c>
      <c r="J5" s="228">
        <v>7</v>
      </c>
      <c r="K5" s="228">
        <v>-3</v>
      </c>
      <c r="L5" s="228">
        <v>-1</v>
      </c>
      <c r="M5" s="228">
        <v>39</v>
      </c>
      <c r="N5" s="228">
        <v>6</v>
      </c>
      <c r="O5" s="61"/>
      <c r="P5" s="61"/>
      <c r="Q5" s="61"/>
      <c r="R5" s="61"/>
      <c r="S5" s="61"/>
    </row>
    <row r="6" spans="1:23" ht="17.25" thickBot="1" x14ac:dyDescent="0.3">
      <c r="A6" s="227" t="s">
        <v>620</v>
      </c>
      <c r="B6" s="226">
        <v>46093</v>
      </c>
      <c r="C6" s="230">
        <v>8385</v>
      </c>
      <c r="D6" s="230">
        <v>1322</v>
      </c>
      <c r="E6" s="230">
        <v>8666</v>
      </c>
      <c r="F6" s="230">
        <v>1369</v>
      </c>
      <c r="G6" s="228">
        <v>-281</v>
      </c>
      <c r="H6" s="228">
        <v>-47</v>
      </c>
      <c r="I6" s="230">
        <v>12362</v>
      </c>
      <c r="J6" s="230">
        <v>1923</v>
      </c>
      <c r="K6" s="228">
        <v>687</v>
      </c>
      <c r="L6" s="228">
        <v>87</v>
      </c>
      <c r="M6" s="230">
        <v>13049</v>
      </c>
      <c r="N6" s="230">
        <v>2009</v>
      </c>
      <c r="O6" s="61"/>
      <c r="P6" s="61"/>
      <c r="Q6" s="61"/>
      <c r="R6" s="61"/>
      <c r="S6" s="61"/>
    </row>
    <row r="7" spans="1:23" ht="17.25" thickBot="1" x14ac:dyDescent="0.3">
      <c r="A7" s="227" t="s">
        <v>621</v>
      </c>
      <c r="B7" s="226">
        <v>46093</v>
      </c>
      <c r="C7" s="230">
        <v>23962</v>
      </c>
      <c r="D7" s="230">
        <v>3806</v>
      </c>
      <c r="E7" s="230">
        <v>43988</v>
      </c>
      <c r="F7" s="230">
        <v>6914</v>
      </c>
      <c r="G7" s="230">
        <v>-20026</v>
      </c>
      <c r="H7" s="230">
        <v>-3108</v>
      </c>
      <c r="I7" s="230">
        <v>269547</v>
      </c>
      <c r="J7" s="230">
        <v>42417</v>
      </c>
      <c r="K7" s="230">
        <v>17708</v>
      </c>
      <c r="L7" s="230">
        <v>2393</v>
      </c>
      <c r="M7" s="230">
        <v>287255</v>
      </c>
      <c r="N7" s="230">
        <v>44810</v>
      </c>
    </row>
    <row r="8" spans="1:23" ht="17.25" thickBot="1" x14ac:dyDescent="0.3">
      <c r="A8" s="227" t="s">
        <v>622</v>
      </c>
      <c r="B8" s="226">
        <v>46093</v>
      </c>
      <c r="C8" s="230">
        <v>5689900</v>
      </c>
      <c r="D8" s="230">
        <v>892514</v>
      </c>
      <c r="E8" s="230">
        <v>5759841</v>
      </c>
      <c r="F8" s="230">
        <v>903839</v>
      </c>
      <c r="G8" s="230">
        <v>-69941</v>
      </c>
      <c r="H8" s="230">
        <v>-11325</v>
      </c>
      <c r="I8" s="230">
        <v>2595792</v>
      </c>
      <c r="J8" s="230">
        <v>407644</v>
      </c>
      <c r="K8" s="230">
        <v>185603</v>
      </c>
      <c r="L8" s="230">
        <v>24661</v>
      </c>
      <c r="M8" s="230">
        <v>2781395</v>
      </c>
      <c r="N8" s="230">
        <v>432305</v>
      </c>
    </row>
    <row r="9" spans="1:23" ht="17.25" thickBot="1" x14ac:dyDescent="0.3">
      <c r="A9" s="227" t="s">
        <v>623</v>
      </c>
      <c r="B9" s="226">
        <v>46093</v>
      </c>
      <c r="C9" s="230">
        <v>1086</v>
      </c>
      <c r="D9" s="228">
        <v>169</v>
      </c>
      <c r="E9" s="230">
        <v>1705</v>
      </c>
      <c r="F9" s="228">
        <v>265</v>
      </c>
      <c r="G9" s="228">
        <v>-619</v>
      </c>
      <c r="H9" s="228">
        <v>-97</v>
      </c>
      <c r="I9" s="230">
        <v>28532</v>
      </c>
      <c r="J9" s="230">
        <v>4439</v>
      </c>
      <c r="K9" s="228">
        <v>-235</v>
      </c>
      <c r="L9" s="228">
        <v>-37</v>
      </c>
      <c r="M9" s="230">
        <v>28297</v>
      </c>
      <c r="N9" s="230">
        <v>4402</v>
      </c>
    </row>
    <row r="10" spans="1:23" ht="17.25" thickBot="1" x14ac:dyDescent="0.3">
      <c r="A10" s="227" t="s">
        <v>624</v>
      </c>
      <c r="B10" s="226">
        <v>46093</v>
      </c>
      <c r="C10" s="230">
        <v>35571</v>
      </c>
      <c r="D10" s="230">
        <v>5592</v>
      </c>
      <c r="E10" s="230">
        <v>36601</v>
      </c>
      <c r="F10" s="230">
        <v>5763</v>
      </c>
      <c r="G10" s="230">
        <v>-1030</v>
      </c>
      <c r="H10" s="228">
        <v>-171</v>
      </c>
      <c r="I10" s="230">
        <v>31662</v>
      </c>
      <c r="J10" s="230">
        <v>4925</v>
      </c>
      <c r="K10" s="230">
        <v>2236</v>
      </c>
      <c r="L10" s="228">
        <v>347</v>
      </c>
      <c r="M10" s="230">
        <v>33898</v>
      </c>
      <c r="N10" s="230">
        <v>5272</v>
      </c>
    </row>
    <row r="11" spans="1:23" ht="17.25" thickBot="1" x14ac:dyDescent="0.3">
      <c r="A11" s="227" t="s">
        <v>625</v>
      </c>
      <c r="B11" s="226">
        <v>46093</v>
      </c>
      <c r="C11" s="230">
        <v>14324</v>
      </c>
      <c r="D11" s="230">
        <v>2215</v>
      </c>
      <c r="E11" s="230">
        <v>32835</v>
      </c>
      <c r="F11" s="230">
        <v>5076</v>
      </c>
      <c r="G11" s="230">
        <v>-18511</v>
      </c>
      <c r="H11" s="230">
        <v>-2861</v>
      </c>
      <c r="I11" s="230">
        <v>204074</v>
      </c>
      <c r="J11" s="230">
        <v>31775</v>
      </c>
      <c r="K11" s="230">
        <v>17829</v>
      </c>
      <c r="L11" s="230">
        <v>2472</v>
      </c>
      <c r="M11" s="230">
        <v>221903</v>
      </c>
      <c r="N11" s="230">
        <v>34246</v>
      </c>
    </row>
    <row r="12" spans="1:23" ht="17.25" thickBot="1" x14ac:dyDescent="0.3">
      <c r="A12" s="227" t="s">
        <v>626</v>
      </c>
      <c r="B12" s="226">
        <v>46093</v>
      </c>
      <c r="C12" s="230">
        <v>5394424</v>
      </c>
      <c r="D12" s="230">
        <v>842576</v>
      </c>
      <c r="E12" s="230">
        <v>5462360</v>
      </c>
      <c r="F12" s="230">
        <v>853484</v>
      </c>
      <c r="G12" s="230">
        <v>-67936</v>
      </c>
      <c r="H12" s="230">
        <v>-10908</v>
      </c>
      <c r="I12" s="230">
        <v>2143404</v>
      </c>
      <c r="J12" s="230">
        <v>332516</v>
      </c>
      <c r="K12" s="230">
        <v>173623</v>
      </c>
      <c r="L12" s="230">
        <v>23506</v>
      </c>
      <c r="M12" s="230">
        <v>2317027</v>
      </c>
      <c r="N12" s="230">
        <v>356022</v>
      </c>
    </row>
    <row r="13" spans="1:23" ht="17.25" thickBot="1" x14ac:dyDescent="0.3">
      <c r="A13" s="227" t="s">
        <v>627</v>
      </c>
      <c r="B13" s="226">
        <v>46093</v>
      </c>
      <c r="C13" s="228">
        <v>84</v>
      </c>
      <c r="D13" s="228">
        <v>14</v>
      </c>
      <c r="E13" s="228">
        <v>120</v>
      </c>
      <c r="F13" s="228">
        <v>20</v>
      </c>
      <c r="G13" s="228">
        <v>-36</v>
      </c>
      <c r="H13" s="228">
        <v>-6</v>
      </c>
      <c r="I13" s="228">
        <v>475</v>
      </c>
      <c r="J13" s="228">
        <v>79</v>
      </c>
      <c r="K13" s="228">
        <v>6</v>
      </c>
      <c r="L13" s="228">
        <v>1</v>
      </c>
      <c r="M13" s="228">
        <v>481</v>
      </c>
      <c r="N13" s="228">
        <v>80</v>
      </c>
    </row>
    <row r="14" spans="1:23" ht="17.25" thickBot="1" x14ac:dyDescent="0.3">
      <c r="A14" s="227" t="s">
        <v>628</v>
      </c>
      <c r="B14" s="226">
        <v>46093</v>
      </c>
      <c r="C14" s="228">
        <v>122</v>
      </c>
      <c r="D14" s="228">
        <v>21</v>
      </c>
      <c r="E14" s="228">
        <v>88</v>
      </c>
      <c r="F14" s="228">
        <v>15</v>
      </c>
      <c r="G14" s="228">
        <v>34</v>
      </c>
      <c r="H14" s="228">
        <v>6</v>
      </c>
      <c r="I14" s="228">
        <v>730</v>
      </c>
      <c r="J14" s="228">
        <v>121</v>
      </c>
      <c r="K14" s="228">
        <v>64</v>
      </c>
      <c r="L14" s="228">
        <v>10</v>
      </c>
      <c r="M14" s="228">
        <v>794</v>
      </c>
      <c r="N14" s="228">
        <v>132</v>
      </c>
    </row>
    <row r="15" spans="1:23" ht="17.25" thickBot="1" x14ac:dyDescent="0.3">
      <c r="A15" s="227" t="s">
        <v>629</v>
      </c>
      <c r="B15" s="226">
        <v>46093</v>
      </c>
      <c r="C15" s="230">
        <v>347199</v>
      </c>
      <c r="D15" s="230">
        <v>22218</v>
      </c>
      <c r="E15" s="230">
        <v>349454</v>
      </c>
      <c r="F15" s="230">
        <v>22381</v>
      </c>
      <c r="G15" s="230">
        <v>-2255</v>
      </c>
      <c r="H15" s="228">
        <v>-164</v>
      </c>
      <c r="I15" s="230">
        <v>6796453</v>
      </c>
      <c r="J15" s="230">
        <v>422721</v>
      </c>
      <c r="K15" s="230">
        <v>48765</v>
      </c>
      <c r="L15" s="228">
        <v>902</v>
      </c>
      <c r="M15" s="230">
        <v>6845218</v>
      </c>
      <c r="N15" s="230">
        <v>423623</v>
      </c>
    </row>
    <row r="16" spans="1:23" ht="17.25" thickBot="1" x14ac:dyDescent="0.3">
      <c r="A16" s="227" t="s">
        <v>630</v>
      </c>
      <c r="B16" s="226">
        <v>46093</v>
      </c>
      <c r="C16" s="230">
        <v>314121</v>
      </c>
      <c r="D16" s="230">
        <v>20740</v>
      </c>
      <c r="E16" s="230">
        <v>314859</v>
      </c>
      <c r="F16" s="230">
        <v>20816</v>
      </c>
      <c r="G16" s="228">
        <v>-738</v>
      </c>
      <c r="H16" s="228">
        <v>-76</v>
      </c>
      <c r="I16" s="230">
        <v>778869</v>
      </c>
      <c r="J16" s="230">
        <v>50779</v>
      </c>
      <c r="K16" s="230">
        <v>50752</v>
      </c>
      <c r="L16" s="230">
        <v>2738</v>
      </c>
      <c r="M16" s="230">
        <v>829621</v>
      </c>
      <c r="N16" s="230">
        <v>53517</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33" activePane="bottomLeft" state="frozen"/>
      <selection activeCell="E46" sqref="E46"/>
      <selection pane="bottomLeft" activeCell="A144" sqref="A144"/>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9" t="s">
        <v>325</v>
      </c>
      <c r="B3" s="260"/>
      <c r="C3" s="260"/>
      <c r="D3" s="260"/>
      <c r="E3" s="260"/>
      <c r="F3" s="260"/>
      <c r="G3" s="260"/>
      <c r="H3" s="260"/>
      <c r="I3" s="260"/>
      <c r="J3" s="260"/>
      <c r="K3" s="260"/>
      <c r="L3" s="260"/>
      <c r="M3" s="260"/>
      <c r="N3" s="260"/>
      <c r="O3" s="260"/>
      <c r="P3" s="260"/>
      <c r="Q3" s="261"/>
    </row>
    <row r="4" spans="1:17" s="64" customFormat="1" x14ac:dyDescent="0.25">
      <c r="A4" s="262"/>
      <c r="B4" s="262" t="s">
        <v>308</v>
      </c>
      <c r="C4" s="262"/>
      <c r="D4" s="264"/>
      <c r="E4" s="264"/>
      <c r="F4" s="262" t="s">
        <v>326</v>
      </c>
      <c r="G4" s="262"/>
      <c r="H4" s="262"/>
      <c r="I4" s="262" t="s">
        <v>327</v>
      </c>
      <c r="J4" s="262"/>
      <c r="K4" s="262"/>
      <c r="L4" s="262" t="s">
        <v>311</v>
      </c>
      <c r="M4" s="262"/>
      <c r="N4" s="262"/>
      <c r="O4" s="262"/>
      <c r="P4" s="262"/>
      <c r="Q4" s="262"/>
    </row>
    <row r="5" spans="1:17" s="64" customFormat="1" x14ac:dyDescent="0.25">
      <c r="A5" s="263"/>
      <c r="B5" s="73" t="s">
        <v>312</v>
      </c>
      <c r="C5" s="263" t="s">
        <v>313</v>
      </c>
      <c r="D5" s="266"/>
      <c r="E5" s="266"/>
      <c r="F5" s="263" t="s">
        <v>314</v>
      </c>
      <c r="G5" s="263"/>
      <c r="H5" s="263"/>
      <c r="I5" s="263" t="s">
        <v>315</v>
      </c>
      <c r="J5" s="263"/>
      <c r="K5" s="263"/>
      <c r="L5" s="263" t="s">
        <v>316</v>
      </c>
      <c r="M5" s="263"/>
      <c r="N5" s="263"/>
      <c r="O5" s="263" t="s">
        <v>317</v>
      </c>
      <c r="P5" s="263"/>
      <c r="Q5" s="263"/>
    </row>
    <row r="6" spans="1:17" s="72" customFormat="1" ht="33.75" x14ac:dyDescent="0.25">
      <c r="A6" s="71" t="s">
        <v>558</v>
      </c>
      <c r="B6" s="66">
        <f>'Snapshot (Value)'!C10</f>
        <v>46093</v>
      </c>
      <c r="C6" s="66">
        <f>'Snapshot (Value)'!D10</f>
        <v>46093</v>
      </c>
      <c r="D6" s="71" t="s">
        <v>322</v>
      </c>
      <c r="E6" s="71" t="s">
        <v>328</v>
      </c>
      <c r="F6" s="66">
        <f>C6</f>
        <v>46093</v>
      </c>
      <c r="G6" s="71" t="s">
        <v>322</v>
      </c>
      <c r="H6" s="71" t="s">
        <v>328</v>
      </c>
      <c r="I6" s="66">
        <f>C6</f>
        <v>46093</v>
      </c>
      <c r="J6" s="71" t="s">
        <v>322</v>
      </c>
      <c r="K6" s="71" t="s">
        <v>328</v>
      </c>
      <c r="L6" s="66">
        <f>C6</f>
        <v>46093</v>
      </c>
      <c r="M6" s="71" t="s">
        <v>322</v>
      </c>
      <c r="N6" s="71" t="s">
        <v>328</v>
      </c>
      <c r="O6" s="66">
        <f>C6</f>
        <v>46093</v>
      </c>
      <c r="P6" s="71" t="s">
        <v>322</v>
      </c>
      <c r="Q6" s="71" t="s">
        <v>328</v>
      </c>
    </row>
    <row r="7" spans="1:17" x14ac:dyDescent="0.25">
      <c r="A7" s="97" t="str">
        <f>'Snapshot (Value)'!A11</f>
        <v>360ONE</v>
      </c>
      <c r="B7" s="140">
        <f>VLOOKUP($A7,'Data shares'!$C:$FB,7)</f>
        <v>1043.4000000000001</v>
      </c>
      <c r="C7" s="140">
        <f>VLOOKUP($A7,'Data shares'!$C:$FB,3)</f>
        <v>1044.2</v>
      </c>
      <c r="D7" s="140">
        <f>VLOOKUP($A7,'Data shares'!$C:$FB,4)</f>
        <v>1047.7</v>
      </c>
      <c r="E7" s="50">
        <f>(C7-D7)/D7*100</f>
        <v>-0.33406509496993414</v>
      </c>
      <c r="F7" s="49">
        <f>VLOOKUP($A7,'Data shares'!$C:$FB,98)</f>
        <v>4721000</v>
      </c>
      <c r="G7" s="49">
        <f>VLOOKUP($A7,'Data shares'!$C:$FB,99)</f>
        <v>4643000</v>
      </c>
      <c r="H7" s="50">
        <f>(F7-G7)/G7*100</f>
        <v>1.6799483092827912</v>
      </c>
      <c r="I7" s="49">
        <f>VLOOKUP($A7,'Data shares'!$C:$FB,66)</f>
        <v>2218500</v>
      </c>
      <c r="J7" s="49">
        <f>VLOOKUP($A7,'Data shares'!$C:$FB,67)</f>
        <v>1582000</v>
      </c>
      <c r="K7" s="50">
        <f>(I7-J7)/I7*100</f>
        <v>28.690556682443091</v>
      </c>
      <c r="L7" s="50">
        <f>VLOOKUP($A7,'Data shares'!$C:$FB,118)</f>
        <v>0.4</v>
      </c>
      <c r="M7" s="50">
        <f>VLOOKUP($A7,'Data shares'!$C:$FB,119)</f>
        <v>0.42</v>
      </c>
      <c r="N7" s="50">
        <f>VLOOKUP($A7,'Data shares'!$C:$FB,121)*100</f>
        <v>-4.7600000000000007</v>
      </c>
      <c r="O7" s="50">
        <f>VLOOKUP($A7,'Data shares'!$C:$FB,124)</f>
        <v>0.45</v>
      </c>
      <c r="P7" s="50">
        <f>VLOOKUP($A7,'Data shares'!$C:$FB,125)</f>
        <v>0.33</v>
      </c>
      <c r="Q7" s="50">
        <f>VLOOKUP($A7,'Data shares'!$C:$FB,127)*100</f>
        <v>36.36</v>
      </c>
    </row>
    <row r="8" spans="1:17" x14ac:dyDescent="0.25">
      <c r="A8" s="97" t="str">
        <f>'Snapshot (Value)'!A12</f>
        <v>ABB</v>
      </c>
      <c r="B8" s="140">
        <f>VLOOKUP($A8,'Data shares'!$C:$FB,7)</f>
        <v>6409</v>
      </c>
      <c r="C8" s="140">
        <f>VLOOKUP($A8,'Data shares'!$C:$FB,3)</f>
        <v>6403.5</v>
      </c>
      <c r="D8" s="140">
        <f>VLOOKUP($A8,'Data shares'!$C:$FB,4)</f>
        <v>6277.5</v>
      </c>
      <c r="E8" s="50">
        <f t="shared" ref="E8:E71" si="0">(C8-D8)/D8*100</f>
        <v>2.0071684587813619</v>
      </c>
      <c r="F8" s="49">
        <f>VLOOKUP($A8,'Data shares'!$C:$FB,98)</f>
        <v>4265375</v>
      </c>
      <c r="G8" s="49">
        <f>VLOOKUP($A8,'Data shares'!$C:$FB,99)</f>
        <v>4165250</v>
      </c>
      <c r="H8" s="50">
        <f t="shared" ref="H8:H71" si="1">(F8-G8)/G8*100</f>
        <v>2.4038172978812793</v>
      </c>
      <c r="I8" s="49">
        <f>VLOOKUP($A8,'Data shares'!$C:$FB,66)</f>
        <v>7681875</v>
      </c>
      <c r="J8" s="49">
        <f>VLOOKUP($A8,'Data shares'!$C:$FB,67)</f>
        <v>7519125</v>
      </c>
      <c r="K8" s="50">
        <f t="shared" ref="K8:K71" si="2">(I8-J8)/I8*100</f>
        <v>2.1186233829631438</v>
      </c>
      <c r="L8" s="50">
        <f>VLOOKUP($A8,'Data shares'!$C:$FB,118)</f>
        <v>0.87</v>
      </c>
      <c r="M8" s="50">
        <f>VLOOKUP($A8,'Data shares'!$C:$FB,119)</f>
        <v>0.85</v>
      </c>
      <c r="N8" s="50">
        <f>VLOOKUP($A8,'Data shares'!$C:$FB,121)*100</f>
        <v>2.35</v>
      </c>
      <c r="O8" s="50">
        <f>VLOOKUP($A8,'Data shares'!$C:$FB,124)</f>
        <v>0.43</v>
      </c>
      <c r="P8" s="50">
        <f>VLOOKUP($A8,'Data shares'!$C:$FB,125)</f>
        <v>0.3</v>
      </c>
      <c r="Q8" s="50">
        <f>VLOOKUP($A8,'Data shares'!$C:$FB,127)*100</f>
        <v>43.33</v>
      </c>
    </row>
    <row r="9" spans="1:17" x14ac:dyDescent="0.25">
      <c r="A9" s="97" t="str">
        <f>'Snapshot (Value)'!A13</f>
        <v>ABCAPITAL</v>
      </c>
      <c r="B9" s="140">
        <f>VLOOKUP($A9,'Data shares'!$C:$FB,7)</f>
        <v>319.95</v>
      </c>
      <c r="C9" s="140">
        <f>VLOOKUP($A9,'Data shares'!$C:$FB,3)</f>
        <v>321.39999999999998</v>
      </c>
      <c r="D9" s="140">
        <f>VLOOKUP($A9,'Data shares'!$C:$FB,4)</f>
        <v>324.2</v>
      </c>
      <c r="E9" s="50">
        <f t="shared" si="0"/>
        <v>-0.86366440468846739</v>
      </c>
      <c r="F9" s="49">
        <f>VLOOKUP($A9,'Data shares'!$C:$FB,98)</f>
        <v>72651600</v>
      </c>
      <c r="G9" s="49">
        <f>VLOOKUP($A9,'Data shares'!$C:$FB,99)</f>
        <v>73811000</v>
      </c>
      <c r="H9" s="50">
        <f t="shared" si="1"/>
        <v>-1.5707685846283075</v>
      </c>
      <c r="I9" s="49">
        <f>VLOOKUP($A9,'Data shares'!$C:$FB,66)</f>
        <v>30944200</v>
      </c>
      <c r="J9" s="49">
        <f>VLOOKUP($A9,'Data shares'!$C:$FB,67)</f>
        <v>33455200</v>
      </c>
      <c r="K9" s="50">
        <f t="shared" si="2"/>
        <v>-8.1146062913243835</v>
      </c>
      <c r="L9" s="50">
        <f>VLOOKUP($A9,'Data shares'!$C:$FB,118)</f>
        <v>0.63</v>
      </c>
      <c r="M9" s="50">
        <f>VLOOKUP($A9,'Data shares'!$C:$FB,119)</f>
        <v>0.66</v>
      </c>
      <c r="N9" s="50">
        <f>VLOOKUP($A9,'Data shares'!$C:$FB,121)*100</f>
        <v>-4.55</v>
      </c>
      <c r="O9" s="50">
        <f>VLOOKUP($A9,'Data shares'!$C:$FB,124)</f>
        <v>0.52</v>
      </c>
      <c r="P9" s="50">
        <f>VLOOKUP($A9,'Data shares'!$C:$FB,125)</f>
        <v>0.78</v>
      </c>
      <c r="Q9" s="50">
        <f>VLOOKUP($A9,'Data shares'!$C:$FB,127)*100</f>
        <v>-33.33</v>
      </c>
    </row>
    <row r="10" spans="1:17" x14ac:dyDescent="0.25">
      <c r="A10" s="97" t="str">
        <f>'Snapshot (Value)'!A14</f>
        <v>ADANIENSOL</v>
      </c>
      <c r="B10" s="140">
        <f>VLOOKUP($A10,'Data shares'!$C:$FB,7)</f>
        <v>1004.4</v>
      </c>
      <c r="C10" s="140">
        <f>VLOOKUP($A10,'Data shares'!$C:$FB,3)</f>
        <v>1007.5</v>
      </c>
      <c r="D10" s="140">
        <f>VLOOKUP($A10,'Data shares'!$C:$FB,4)</f>
        <v>995.4</v>
      </c>
      <c r="E10" s="50">
        <f t="shared" si="0"/>
        <v>1.2155917219208381</v>
      </c>
      <c r="F10" s="49">
        <f>VLOOKUP($A10,'Data shares'!$C:$FB,98)</f>
        <v>26694225</v>
      </c>
      <c r="G10" s="49">
        <f>VLOOKUP($A10,'Data shares'!$C:$FB,99)</f>
        <v>27537975</v>
      </c>
      <c r="H10" s="50">
        <f t="shared" si="1"/>
        <v>-3.0639507806946589</v>
      </c>
      <c r="I10" s="49">
        <f>VLOOKUP($A10,'Data shares'!$C:$FB,66)</f>
        <v>8206650</v>
      </c>
      <c r="J10" s="49">
        <f>VLOOKUP($A10,'Data shares'!$C:$FB,67)</f>
        <v>13345425</v>
      </c>
      <c r="K10" s="50">
        <f t="shared" si="2"/>
        <v>-62.617206777430503</v>
      </c>
      <c r="L10" s="50">
        <f>VLOOKUP($A10,'Data shares'!$C:$FB,118)</f>
        <v>0.64</v>
      </c>
      <c r="M10" s="50">
        <f>VLOOKUP($A10,'Data shares'!$C:$FB,119)</f>
        <v>0.56000000000000005</v>
      </c>
      <c r="N10" s="50">
        <f>VLOOKUP($A10,'Data shares'!$C:$FB,121)*100</f>
        <v>14.29</v>
      </c>
      <c r="O10" s="50">
        <f>VLOOKUP($A10,'Data shares'!$C:$FB,124)</f>
        <v>0.26</v>
      </c>
      <c r="P10" s="50">
        <f>VLOOKUP($A10,'Data shares'!$C:$FB,125)</f>
        <v>0.27</v>
      </c>
      <c r="Q10" s="50">
        <f>VLOOKUP($A10,'Data shares'!$C:$FB,127)*100</f>
        <v>-3.6999999999999997</v>
      </c>
    </row>
    <row r="11" spans="1:17" x14ac:dyDescent="0.25">
      <c r="A11" s="97" t="str">
        <f>'Snapshot (Value)'!A15</f>
        <v>ADANIENT</v>
      </c>
      <c r="B11" s="140">
        <f>VLOOKUP($A11,'Data shares'!$C:$FB,7)</f>
        <v>2002</v>
      </c>
      <c r="C11" s="140">
        <f>VLOOKUP($A11,'Data shares'!$C:$FB,3)</f>
        <v>1998.9</v>
      </c>
      <c r="D11" s="140">
        <f>VLOOKUP($A11,'Data shares'!$C:$FB,4)</f>
        <v>1975.3</v>
      </c>
      <c r="E11" s="50">
        <f t="shared" si="0"/>
        <v>1.1947552270541253</v>
      </c>
      <c r="F11" s="49">
        <f>VLOOKUP($A11,'Data shares'!$C:$FB,98)</f>
        <v>31332291</v>
      </c>
      <c r="G11" s="49">
        <f>VLOOKUP($A11,'Data shares'!$C:$FB,99)</f>
        <v>31270491</v>
      </c>
      <c r="H11" s="50">
        <f t="shared" si="1"/>
        <v>0.19763041136770126</v>
      </c>
      <c r="I11" s="49">
        <f>VLOOKUP($A11,'Data shares'!$C:$FB,66)</f>
        <v>17252397</v>
      </c>
      <c r="J11" s="49">
        <f>VLOOKUP($A11,'Data shares'!$C:$FB,67)</f>
        <v>9413376</v>
      </c>
      <c r="K11" s="50">
        <f t="shared" si="2"/>
        <v>45.43728619275339</v>
      </c>
      <c r="L11" s="50">
        <f>VLOOKUP($A11,'Data shares'!$C:$FB,118)</f>
        <v>0.83</v>
      </c>
      <c r="M11" s="50">
        <f>VLOOKUP($A11,'Data shares'!$C:$FB,119)</f>
        <v>0.85</v>
      </c>
      <c r="N11" s="50">
        <f>VLOOKUP($A11,'Data shares'!$C:$FB,121)*100</f>
        <v>-2.35</v>
      </c>
      <c r="O11" s="50">
        <f>VLOOKUP($A11,'Data shares'!$C:$FB,124)</f>
        <v>0.5</v>
      </c>
      <c r="P11" s="50">
        <f>VLOOKUP($A11,'Data shares'!$C:$FB,125)</f>
        <v>0.56999999999999995</v>
      </c>
      <c r="Q11" s="50">
        <f>VLOOKUP($A11,'Data shares'!$C:$FB,127)*100</f>
        <v>-12.280000000000001</v>
      </c>
    </row>
    <row r="12" spans="1:17" x14ac:dyDescent="0.25">
      <c r="A12" s="97" t="str">
        <f>'Snapshot (Value)'!A16</f>
        <v>ADANIGREEN</v>
      </c>
      <c r="B12" s="140">
        <f>VLOOKUP($A12,'Data shares'!$C:$FB,7)</f>
        <v>866.55</v>
      </c>
      <c r="C12" s="140">
        <f>VLOOKUP($A12,'Data shares'!$C:$FB,3)</f>
        <v>869.95</v>
      </c>
      <c r="D12" s="140">
        <f>VLOOKUP($A12,'Data shares'!$C:$FB,4)</f>
        <v>851.8</v>
      </c>
      <c r="E12" s="50">
        <f t="shared" si="0"/>
        <v>2.1307818736792781</v>
      </c>
      <c r="F12" s="49">
        <f>VLOOKUP($A12,'Data shares'!$C:$FB,98)</f>
        <v>38628600</v>
      </c>
      <c r="G12" s="49">
        <f>VLOOKUP($A12,'Data shares'!$C:$FB,99)</f>
        <v>36845400</v>
      </c>
      <c r="H12" s="50">
        <f t="shared" si="1"/>
        <v>4.8396814799133683</v>
      </c>
      <c r="I12" s="49">
        <f>VLOOKUP($A12,'Data shares'!$C:$FB,66)</f>
        <v>22939200</v>
      </c>
      <c r="J12" s="49">
        <f>VLOOKUP($A12,'Data shares'!$C:$FB,67)</f>
        <v>11122800</v>
      </c>
      <c r="K12" s="50">
        <f t="shared" si="2"/>
        <v>51.511822557020295</v>
      </c>
      <c r="L12" s="50">
        <f>VLOOKUP($A12,'Data shares'!$C:$FB,118)</f>
        <v>0.55000000000000004</v>
      </c>
      <c r="M12" s="50">
        <f>VLOOKUP($A12,'Data shares'!$C:$FB,119)</f>
        <v>0.57999999999999996</v>
      </c>
      <c r="N12" s="50">
        <f>VLOOKUP($A12,'Data shares'!$C:$FB,121)*100</f>
        <v>-5.17</v>
      </c>
      <c r="O12" s="50">
        <f>VLOOKUP($A12,'Data shares'!$C:$FB,124)</f>
        <v>0.28000000000000003</v>
      </c>
      <c r="P12" s="50">
        <f>VLOOKUP($A12,'Data shares'!$C:$FB,125)</f>
        <v>0.36</v>
      </c>
      <c r="Q12" s="50">
        <f>VLOOKUP($A12,'Data shares'!$C:$FB,127)*100</f>
        <v>-22.220000000000002</v>
      </c>
    </row>
    <row r="13" spans="1:17" x14ac:dyDescent="0.25">
      <c r="A13" s="97" t="str">
        <f>'Snapshot (Value)'!A17</f>
        <v>ADANIPORTS</v>
      </c>
      <c r="B13" s="140">
        <f>VLOOKUP($A13,'Data shares'!$C:$FB,7)</f>
        <v>1391.5</v>
      </c>
      <c r="C13" s="140">
        <f>VLOOKUP($A13,'Data shares'!$C:$FB,3)</f>
        <v>1397</v>
      </c>
      <c r="D13" s="140">
        <f>VLOOKUP($A13,'Data shares'!$C:$FB,4)</f>
        <v>1415.5</v>
      </c>
      <c r="E13" s="50">
        <f t="shared" si="0"/>
        <v>-1.3069586718474038</v>
      </c>
      <c r="F13" s="49">
        <f>VLOOKUP($A13,'Data shares'!$C:$FB,98)</f>
        <v>37839450</v>
      </c>
      <c r="G13" s="49">
        <f>VLOOKUP($A13,'Data shares'!$C:$FB,99)</f>
        <v>37531175</v>
      </c>
      <c r="H13" s="50">
        <f t="shared" si="1"/>
        <v>0.8213838229152165</v>
      </c>
      <c r="I13" s="49">
        <f>VLOOKUP($A13,'Data shares'!$C:$FB,66)</f>
        <v>20834450</v>
      </c>
      <c r="J13" s="49">
        <f>VLOOKUP($A13,'Data shares'!$C:$FB,67)</f>
        <v>21374525</v>
      </c>
      <c r="K13" s="50">
        <f t="shared" si="2"/>
        <v>-2.5922210569513475</v>
      </c>
      <c r="L13" s="50">
        <f>VLOOKUP($A13,'Data shares'!$C:$FB,118)</f>
        <v>0.79</v>
      </c>
      <c r="M13" s="50">
        <f>VLOOKUP($A13,'Data shares'!$C:$FB,119)</f>
        <v>0.85</v>
      </c>
      <c r="N13" s="50">
        <f>VLOOKUP($A13,'Data shares'!$C:$FB,121)*100</f>
        <v>-7.06</v>
      </c>
      <c r="O13" s="50">
        <f>VLOOKUP($A13,'Data shares'!$C:$FB,124)</f>
        <v>0.94</v>
      </c>
      <c r="P13" s="50">
        <f>VLOOKUP($A13,'Data shares'!$C:$FB,125)</f>
        <v>0.91</v>
      </c>
      <c r="Q13" s="50">
        <f>VLOOKUP($A13,'Data shares'!$C:$FB,127)*100</f>
        <v>3.3000000000000003</v>
      </c>
    </row>
    <row r="14" spans="1:17" x14ac:dyDescent="0.25">
      <c r="A14" s="97" t="str">
        <f>'Snapshot (Value)'!A18</f>
        <v>ALKEM</v>
      </c>
      <c r="B14" s="140">
        <f>VLOOKUP($A14,'Data shares'!$C:$FB,7)</f>
        <v>5444</v>
      </c>
      <c r="C14" s="140">
        <f>VLOOKUP($A14,'Data shares'!$C:$FB,3)</f>
        <v>5466</v>
      </c>
      <c r="D14" s="140">
        <f>VLOOKUP($A14,'Data shares'!$C:$FB,4)</f>
        <v>5560.5</v>
      </c>
      <c r="E14" s="50">
        <f>(C14-D14)/D14*100</f>
        <v>-1.6994874561640141</v>
      </c>
      <c r="F14" s="49">
        <f>VLOOKUP($A14,'Data shares'!$C:$FB,98)</f>
        <v>1664500</v>
      </c>
      <c r="G14" s="49">
        <f>VLOOKUP($A14,'Data shares'!$C:$FB,99)</f>
        <v>1628375</v>
      </c>
      <c r="H14" s="50">
        <f t="shared" si="1"/>
        <v>2.2184693329239273</v>
      </c>
      <c r="I14" s="49">
        <f>VLOOKUP($A14,'Data shares'!$C:$FB,66)</f>
        <v>468125</v>
      </c>
      <c r="J14" s="49">
        <f>VLOOKUP($A14,'Data shares'!$C:$FB,67)</f>
        <v>512750</v>
      </c>
      <c r="K14" s="50">
        <f t="shared" si="2"/>
        <v>-9.5327102803738324</v>
      </c>
      <c r="L14" s="50">
        <f>VLOOKUP($A14,'Data shares'!$C:$FB,118)</f>
        <v>0.7</v>
      </c>
      <c r="M14" s="50">
        <f>VLOOKUP($A14,'Data shares'!$C:$FB,119)</f>
        <v>0.64</v>
      </c>
      <c r="N14" s="50">
        <f>VLOOKUP($A14,'Data shares'!$C:$FB,121)*100</f>
        <v>9.370000000000001</v>
      </c>
      <c r="O14" s="50">
        <f>VLOOKUP($A14,'Data shares'!$C:$FB,124)</f>
        <v>0.47</v>
      </c>
      <c r="P14" s="50">
        <f>VLOOKUP($A14,'Data shares'!$C:$FB,125)</f>
        <v>0.25</v>
      </c>
      <c r="Q14" s="50">
        <f>VLOOKUP($A14,'Data shares'!$C:$FB,127)*100</f>
        <v>88</v>
      </c>
    </row>
    <row r="15" spans="1:17" x14ac:dyDescent="0.25">
      <c r="A15" s="97" t="str">
        <f>'Snapshot (Value)'!A19</f>
        <v>AMBER</v>
      </c>
      <c r="B15" s="140">
        <f>VLOOKUP($A15,'Data shares'!$C:$FB,7)</f>
        <v>6929.5</v>
      </c>
      <c r="C15" s="140">
        <f>VLOOKUP($A15,'Data shares'!$C:$FB,3)</f>
        <v>6953.5</v>
      </c>
      <c r="D15" s="140">
        <f>VLOOKUP($A15,'Data shares'!$C:$FB,4)</f>
        <v>7297</v>
      </c>
      <c r="E15" s="50">
        <f t="shared" si="0"/>
        <v>-4.7074140057557905</v>
      </c>
      <c r="F15" s="49">
        <f>VLOOKUP($A15,'Data shares'!$C:$FB,98)</f>
        <v>3032000</v>
      </c>
      <c r="G15" s="49">
        <f>VLOOKUP($A15,'Data shares'!$C:$FB,99)</f>
        <v>2676000</v>
      </c>
      <c r="H15" s="50">
        <f t="shared" si="1"/>
        <v>13.303437967115098</v>
      </c>
      <c r="I15" s="49">
        <f>VLOOKUP($A15,'Data shares'!$C:$FB,66)</f>
        <v>4754900</v>
      </c>
      <c r="J15" s="49">
        <f>VLOOKUP($A15,'Data shares'!$C:$FB,67)</f>
        <v>2312500</v>
      </c>
      <c r="K15" s="50">
        <f t="shared" si="2"/>
        <v>51.365959326168799</v>
      </c>
      <c r="L15" s="50">
        <f>VLOOKUP($A15,'Data shares'!$C:$FB,118)</f>
        <v>0.53</v>
      </c>
      <c r="M15" s="50">
        <f>VLOOKUP($A15,'Data shares'!$C:$FB,119)</f>
        <v>0.57999999999999996</v>
      </c>
      <c r="N15" s="50">
        <f>VLOOKUP($A15,'Data shares'!$C:$FB,121)*100</f>
        <v>-8.6199999999999992</v>
      </c>
      <c r="O15" s="50">
        <f>VLOOKUP($A15,'Data shares'!$C:$FB,124)</f>
        <v>0.81</v>
      </c>
      <c r="P15" s="50">
        <f>VLOOKUP($A15,'Data shares'!$C:$FB,125)</f>
        <v>0.39</v>
      </c>
      <c r="Q15" s="50">
        <f>VLOOKUP($A15,'Data shares'!$C:$FB,127)*100</f>
        <v>107.69</v>
      </c>
    </row>
    <row r="16" spans="1:17" x14ac:dyDescent="0.25">
      <c r="A16" s="97" t="str">
        <f>'Snapshot (Value)'!A20</f>
        <v>AMBUJACEM</v>
      </c>
      <c r="B16" s="140">
        <f>VLOOKUP($A16,'Data shares'!$C:$FB,7)</f>
        <v>446.45</v>
      </c>
      <c r="C16" s="140">
        <f>VLOOKUP($A16,'Data shares'!$C:$FB,3)</f>
        <v>448.4</v>
      </c>
      <c r="D16" s="140">
        <f>VLOOKUP($A16,'Data shares'!$C:$FB,4)</f>
        <v>458.45</v>
      </c>
      <c r="E16" s="50">
        <f t="shared" si="0"/>
        <v>-2.1921692660050196</v>
      </c>
      <c r="F16" s="49">
        <f>VLOOKUP($A16,'Data shares'!$C:$FB,98)</f>
        <v>83478150</v>
      </c>
      <c r="G16" s="49">
        <f>VLOOKUP($A16,'Data shares'!$C:$FB,99)</f>
        <v>80984400</v>
      </c>
      <c r="H16" s="50">
        <f t="shared" si="1"/>
        <v>3.0792967534488125</v>
      </c>
      <c r="I16" s="49">
        <f>VLOOKUP($A16,'Data shares'!$C:$FB,66)</f>
        <v>17267250</v>
      </c>
      <c r="J16" s="49">
        <f>VLOOKUP($A16,'Data shares'!$C:$FB,67)</f>
        <v>14601300</v>
      </c>
      <c r="K16" s="50">
        <f t="shared" si="2"/>
        <v>15.439343265430223</v>
      </c>
      <c r="L16" s="50">
        <f>VLOOKUP($A16,'Data shares'!$C:$FB,118)</f>
        <v>0.66</v>
      </c>
      <c r="M16" s="50">
        <f>VLOOKUP($A16,'Data shares'!$C:$FB,119)</f>
        <v>0.68</v>
      </c>
      <c r="N16" s="50">
        <f>VLOOKUP($A16,'Data shares'!$C:$FB,121)*100</f>
        <v>-2.94</v>
      </c>
      <c r="O16" s="50">
        <f>VLOOKUP($A16,'Data shares'!$C:$FB,124)</f>
        <v>0.46</v>
      </c>
      <c r="P16" s="50">
        <f>VLOOKUP($A16,'Data shares'!$C:$FB,125)</f>
        <v>0.46</v>
      </c>
      <c r="Q16" s="50">
        <f>VLOOKUP($A16,'Data shares'!$C:$FB,127)*100</f>
        <v>0</v>
      </c>
    </row>
    <row r="17" spans="1:17" x14ac:dyDescent="0.25">
      <c r="A17" s="97" t="str">
        <f>'Snapshot (Value)'!A21</f>
        <v>ANGELONE</v>
      </c>
      <c r="B17" s="140">
        <f>VLOOKUP($A17,'Data shares'!$C:$FB,7)</f>
        <v>213.07</v>
      </c>
      <c r="C17" s="140">
        <f>VLOOKUP($A17,'Data shares'!$C:$FB,3)</f>
        <v>213.78</v>
      </c>
      <c r="D17" s="140">
        <f>VLOOKUP($A17,'Data shares'!$C:$FB,4)</f>
        <v>218.06</v>
      </c>
      <c r="E17" s="50">
        <f t="shared" si="0"/>
        <v>-1.9627625424195181</v>
      </c>
      <c r="F17" s="49">
        <f>VLOOKUP($A17,'Data shares'!$C:$FB,98)</f>
        <v>80820000</v>
      </c>
      <c r="G17" s="49">
        <f>VLOOKUP($A17,'Data shares'!$C:$FB,99)</f>
        <v>79380000</v>
      </c>
      <c r="H17" s="50">
        <f t="shared" si="1"/>
        <v>1.8140589569160999</v>
      </c>
      <c r="I17" s="49">
        <f>VLOOKUP($A17,'Data shares'!$C:$FB,66)</f>
        <v>34780000</v>
      </c>
      <c r="J17" s="49">
        <f>VLOOKUP($A17,'Data shares'!$C:$FB,67)</f>
        <v>28085000</v>
      </c>
      <c r="K17" s="50">
        <f t="shared" si="2"/>
        <v>19.249568717653823</v>
      </c>
      <c r="L17" s="50">
        <f>VLOOKUP($A17,'Data shares'!$C:$FB,118)</f>
        <v>0.54</v>
      </c>
      <c r="M17" s="50">
        <f>VLOOKUP($A17,'Data shares'!$C:$FB,119)</f>
        <v>0.59</v>
      </c>
      <c r="N17" s="50">
        <f>VLOOKUP($A17,'Data shares'!$C:$FB,121)*100</f>
        <v>-8.4699999999999989</v>
      </c>
      <c r="O17" s="50">
        <f>VLOOKUP($A17,'Data shares'!$C:$FB,124)</f>
        <v>0.55000000000000004</v>
      </c>
      <c r="P17" s="50">
        <f>VLOOKUP($A17,'Data shares'!$C:$FB,125)</f>
        <v>0.49</v>
      </c>
      <c r="Q17" s="50">
        <f>VLOOKUP($A17,'Data shares'!$C:$FB,127)*100</f>
        <v>12.24</v>
      </c>
    </row>
    <row r="18" spans="1:17" x14ac:dyDescent="0.25">
      <c r="A18" s="97" t="str">
        <f>'Snapshot (Value)'!A22</f>
        <v>APLAPOLLO</v>
      </c>
      <c r="B18" s="140">
        <f>VLOOKUP($A18,'Data shares'!$C:$FB,7)</f>
        <v>2009.2</v>
      </c>
      <c r="C18" s="140">
        <f>VLOOKUP($A18,'Data shares'!$C:$FB,3)</f>
        <v>2010.2</v>
      </c>
      <c r="D18" s="140">
        <f>VLOOKUP($A18,'Data shares'!$C:$FB,4)</f>
        <v>2019</v>
      </c>
      <c r="E18" s="50">
        <f t="shared" si="0"/>
        <v>-0.43585933630509932</v>
      </c>
      <c r="F18" s="49">
        <f>VLOOKUP($A18,'Data shares'!$C:$FB,98)</f>
        <v>7960050</v>
      </c>
      <c r="G18" s="49">
        <f>VLOOKUP($A18,'Data shares'!$C:$FB,99)</f>
        <v>7857150</v>
      </c>
      <c r="H18" s="50">
        <f t="shared" si="1"/>
        <v>1.3096351730589337</v>
      </c>
      <c r="I18" s="49">
        <f>VLOOKUP($A18,'Data shares'!$C:$FB,66)</f>
        <v>5890150</v>
      </c>
      <c r="J18" s="49">
        <f>VLOOKUP($A18,'Data shares'!$C:$FB,67)</f>
        <v>11613700</v>
      </c>
      <c r="K18" s="50">
        <f t="shared" si="2"/>
        <v>-97.171549111652496</v>
      </c>
      <c r="L18" s="50">
        <f>VLOOKUP($A18,'Data shares'!$C:$FB,118)</f>
        <v>0.74</v>
      </c>
      <c r="M18" s="50">
        <f>VLOOKUP($A18,'Data shares'!$C:$FB,119)</f>
        <v>0.81</v>
      </c>
      <c r="N18" s="50">
        <f>VLOOKUP($A18,'Data shares'!$C:$FB,121)*100</f>
        <v>-8.64</v>
      </c>
      <c r="O18" s="50">
        <f>VLOOKUP($A18,'Data shares'!$C:$FB,124)</f>
        <v>0.65</v>
      </c>
      <c r="P18" s="50">
        <f>VLOOKUP($A18,'Data shares'!$C:$FB,125)</f>
        <v>1.01</v>
      </c>
      <c r="Q18" s="50">
        <f>VLOOKUP($A18,'Data shares'!$C:$FB,127)*100</f>
        <v>-35.64</v>
      </c>
    </row>
    <row r="19" spans="1:17" x14ac:dyDescent="0.25">
      <c r="A19" s="97" t="str">
        <f>'Snapshot (Value)'!A23</f>
        <v>APOLLOHOSP</v>
      </c>
      <c r="B19" s="140">
        <f>VLOOKUP($A19,'Data shares'!$C:$FB,7)</f>
        <v>7574.5</v>
      </c>
      <c r="C19" s="140">
        <f>VLOOKUP($A19,'Data shares'!$C:$FB,3)</f>
        <v>7582.5</v>
      </c>
      <c r="D19" s="140">
        <f>VLOOKUP($A19,'Data shares'!$C:$FB,4)</f>
        <v>7703</v>
      </c>
      <c r="E19" s="50">
        <f t="shared" si="0"/>
        <v>-1.5643255874334676</v>
      </c>
      <c r="F19" s="49">
        <f>VLOOKUP($A19,'Data shares'!$C:$FB,98)</f>
        <v>4295250</v>
      </c>
      <c r="G19" s="49">
        <f>VLOOKUP($A19,'Data shares'!$C:$FB,99)</f>
        <v>4352875</v>
      </c>
      <c r="H19" s="50">
        <f t="shared" si="1"/>
        <v>-1.3238376934784482</v>
      </c>
      <c r="I19" s="49">
        <f>VLOOKUP($A19,'Data shares'!$C:$FB,66)</f>
        <v>2550375</v>
      </c>
      <c r="J19" s="49">
        <f>VLOOKUP($A19,'Data shares'!$C:$FB,67)</f>
        <v>2276250</v>
      </c>
      <c r="K19" s="50">
        <f t="shared" si="2"/>
        <v>10.748419350095574</v>
      </c>
      <c r="L19" s="50">
        <f>VLOOKUP($A19,'Data shares'!$C:$FB,118)</f>
        <v>0.72</v>
      </c>
      <c r="M19" s="50">
        <f>VLOOKUP($A19,'Data shares'!$C:$FB,119)</f>
        <v>0.75</v>
      </c>
      <c r="N19" s="50">
        <f>VLOOKUP($A19,'Data shares'!$C:$FB,121)*100</f>
        <v>-4</v>
      </c>
      <c r="O19" s="50">
        <f>VLOOKUP($A19,'Data shares'!$C:$FB,124)</f>
        <v>0.55000000000000004</v>
      </c>
      <c r="P19" s="50">
        <f>VLOOKUP($A19,'Data shares'!$C:$FB,125)</f>
        <v>0.86</v>
      </c>
      <c r="Q19" s="50">
        <f>VLOOKUP($A19,'Data shares'!$C:$FB,127)*100</f>
        <v>-36.049999999999997</v>
      </c>
    </row>
    <row r="20" spans="1:17" x14ac:dyDescent="0.25">
      <c r="A20" s="97" t="str">
        <f>'Snapshot (Value)'!A24</f>
        <v>ASHOKLEY</v>
      </c>
      <c r="B20" s="140">
        <f>VLOOKUP($A20,'Data shares'!$C:$FB,7)</f>
        <v>178.47</v>
      </c>
      <c r="C20" s="140">
        <f>VLOOKUP($A20,'Data shares'!$C:$FB,3)</f>
        <v>179.02</v>
      </c>
      <c r="D20" s="140">
        <f>VLOOKUP($A20,'Data shares'!$C:$FB,4)</f>
        <v>185.47</v>
      </c>
      <c r="E20" s="50">
        <f t="shared" si="0"/>
        <v>-3.4776513721895661</v>
      </c>
      <c r="F20" s="49">
        <f>VLOOKUP($A20,'Data shares'!$C:$FB,98)</f>
        <v>281075000</v>
      </c>
      <c r="G20" s="49">
        <f>VLOOKUP($A20,'Data shares'!$C:$FB,99)</f>
        <v>267200000</v>
      </c>
      <c r="H20" s="50">
        <f t="shared" si="1"/>
        <v>5.1927395209580842</v>
      </c>
      <c r="I20" s="49">
        <f>VLOOKUP($A20,'Data shares'!$C:$FB,66)</f>
        <v>281845000</v>
      </c>
      <c r="J20" s="49">
        <f>VLOOKUP($A20,'Data shares'!$C:$FB,67)</f>
        <v>170045000</v>
      </c>
      <c r="K20" s="50">
        <f t="shared" si="2"/>
        <v>39.667192960669873</v>
      </c>
      <c r="L20" s="50">
        <f>VLOOKUP($A20,'Data shares'!$C:$FB,118)</f>
        <v>0.54</v>
      </c>
      <c r="M20" s="50">
        <f>VLOOKUP($A20,'Data shares'!$C:$FB,119)</f>
        <v>0.5</v>
      </c>
      <c r="N20" s="50">
        <f>VLOOKUP($A20,'Data shares'!$C:$FB,121)*100</f>
        <v>8</v>
      </c>
      <c r="O20" s="50">
        <f>VLOOKUP($A20,'Data shares'!$C:$FB,124)</f>
        <v>0.68</v>
      </c>
      <c r="P20" s="50">
        <f>VLOOKUP($A20,'Data shares'!$C:$FB,125)</f>
        <v>0.62</v>
      </c>
      <c r="Q20" s="50">
        <f>VLOOKUP($A20,'Data shares'!$C:$FB,127)*100</f>
        <v>9.68</v>
      </c>
    </row>
    <row r="21" spans="1:17" x14ac:dyDescent="0.25">
      <c r="A21" s="97" t="str">
        <f>'Snapshot (Value)'!A25</f>
        <v>ASIANPAINT</v>
      </c>
      <c r="B21" s="140">
        <f>VLOOKUP($A21,'Data shares'!$C:$FB,7)</f>
        <v>2221.1999999999998</v>
      </c>
      <c r="C21" s="140">
        <f>VLOOKUP($A21,'Data shares'!$C:$FB,3)</f>
        <v>2226.6</v>
      </c>
      <c r="D21" s="140">
        <f>VLOOKUP($A21,'Data shares'!$C:$FB,4)</f>
        <v>2234.4</v>
      </c>
      <c r="E21" s="50">
        <f t="shared" si="0"/>
        <v>-0.3490870032223497</v>
      </c>
      <c r="F21" s="49">
        <f>VLOOKUP($A21,'Data shares'!$C:$FB,98)</f>
        <v>23344250</v>
      </c>
      <c r="G21" s="49">
        <f>VLOOKUP($A21,'Data shares'!$C:$FB,99)</f>
        <v>22916000</v>
      </c>
      <c r="H21" s="50">
        <f t="shared" si="1"/>
        <v>1.8687816372839936</v>
      </c>
      <c r="I21" s="49">
        <f>VLOOKUP($A21,'Data shares'!$C:$FB,66)</f>
        <v>10992750</v>
      </c>
      <c r="J21" s="49">
        <f>VLOOKUP($A21,'Data shares'!$C:$FB,67)</f>
        <v>10332500</v>
      </c>
      <c r="K21" s="50">
        <f t="shared" si="2"/>
        <v>6.0062313797730322</v>
      </c>
      <c r="L21" s="50">
        <f>VLOOKUP($A21,'Data shares'!$C:$FB,118)</f>
        <v>0.94</v>
      </c>
      <c r="M21" s="50">
        <f>VLOOKUP($A21,'Data shares'!$C:$FB,119)</f>
        <v>0.98</v>
      </c>
      <c r="N21" s="50">
        <f>VLOOKUP($A21,'Data shares'!$C:$FB,121)*100</f>
        <v>-4.08</v>
      </c>
      <c r="O21" s="50">
        <f>VLOOKUP($A21,'Data shares'!$C:$FB,124)</f>
        <v>1.05</v>
      </c>
      <c r="P21" s="50">
        <f>VLOOKUP($A21,'Data shares'!$C:$FB,125)</f>
        <v>0.96</v>
      </c>
      <c r="Q21" s="50">
        <f>VLOOKUP($A21,'Data shares'!$C:$FB,127)*100</f>
        <v>9.379999999999999</v>
      </c>
    </row>
    <row r="22" spans="1:17" x14ac:dyDescent="0.25">
      <c r="A22" s="97" t="str">
        <f>'Snapshot (Value)'!A26</f>
        <v>ASTRAL</v>
      </c>
      <c r="B22" s="140">
        <f>VLOOKUP($A22,'Data shares'!$C:$FB,7)</f>
        <v>1696</v>
      </c>
      <c r="C22" s="140">
        <f>VLOOKUP($A22,'Data shares'!$C:$FB,3)</f>
        <v>1660.4</v>
      </c>
      <c r="D22" s="140">
        <f>VLOOKUP($A22,'Data shares'!$C:$FB,4)</f>
        <v>1652.3</v>
      </c>
      <c r="E22" s="50">
        <f t="shared" si="0"/>
        <v>0.49022574592992413</v>
      </c>
      <c r="F22" s="49">
        <f>VLOOKUP($A22,'Data shares'!$C:$FB,98)</f>
        <v>16263050</v>
      </c>
      <c r="G22" s="49">
        <f>VLOOKUP($A22,'Data shares'!$C:$FB,99)</f>
        <v>16807050</v>
      </c>
      <c r="H22" s="50">
        <f t="shared" si="1"/>
        <v>-3.2367369645476152</v>
      </c>
      <c r="I22" s="49">
        <f>VLOOKUP($A22,'Data shares'!$C:$FB,66)</f>
        <v>23211800</v>
      </c>
      <c r="J22" s="49">
        <f>VLOOKUP($A22,'Data shares'!$C:$FB,67)</f>
        <v>37074450</v>
      </c>
      <c r="K22" s="50">
        <f t="shared" si="2"/>
        <v>-59.722425662809428</v>
      </c>
      <c r="L22" s="50">
        <f>VLOOKUP($A22,'Data shares'!$C:$FB,118)</f>
        <v>0.56999999999999995</v>
      </c>
      <c r="M22" s="50">
        <f>VLOOKUP($A22,'Data shares'!$C:$FB,119)</f>
        <v>0.49</v>
      </c>
      <c r="N22" s="50">
        <f>VLOOKUP($A22,'Data shares'!$C:$FB,121)*100</f>
        <v>16.329999999999998</v>
      </c>
      <c r="O22" s="50">
        <f>VLOOKUP($A22,'Data shares'!$C:$FB,124)</f>
        <v>0.71</v>
      </c>
      <c r="P22" s="50">
        <f>VLOOKUP($A22,'Data shares'!$C:$FB,125)</f>
        <v>0.23</v>
      </c>
      <c r="Q22" s="50">
        <f>VLOOKUP($A22,'Data shares'!$C:$FB,127)*100</f>
        <v>208.70000000000002</v>
      </c>
    </row>
    <row r="23" spans="1:17" x14ac:dyDescent="0.25">
      <c r="A23" s="97" t="str">
        <f>'Snapshot (Value)'!A27</f>
        <v>AUBANK</v>
      </c>
      <c r="B23" s="140">
        <f>VLOOKUP($A23,'Data shares'!$C:$FB,7)</f>
        <v>902.2</v>
      </c>
      <c r="C23" s="140">
        <f>VLOOKUP($A23,'Data shares'!$C:$FB,3)</f>
        <v>906</v>
      </c>
      <c r="D23" s="140">
        <f>VLOOKUP($A23,'Data shares'!$C:$FB,4)</f>
        <v>918.6</v>
      </c>
      <c r="E23" s="50">
        <f t="shared" si="0"/>
        <v>-1.3716525146962795</v>
      </c>
      <c r="F23" s="49">
        <f>VLOOKUP($A23,'Data shares'!$C:$FB,98)</f>
        <v>40646000</v>
      </c>
      <c r="G23" s="49">
        <f>VLOOKUP($A23,'Data shares'!$C:$FB,99)</f>
        <v>39700000</v>
      </c>
      <c r="H23" s="50">
        <f t="shared" si="1"/>
        <v>2.3828715365239295</v>
      </c>
      <c r="I23" s="49">
        <f>VLOOKUP($A23,'Data shares'!$C:$FB,66)</f>
        <v>18837000</v>
      </c>
      <c r="J23" s="49">
        <f>VLOOKUP($A23,'Data shares'!$C:$FB,67)</f>
        <v>18857000</v>
      </c>
      <c r="K23" s="50">
        <f t="shared" si="2"/>
        <v>-0.10617401921749747</v>
      </c>
      <c r="L23" s="50">
        <f>VLOOKUP($A23,'Data shares'!$C:$FB,118)</f>
        <v>0.61</v>
      </c>
      <c r="M23" s="50">
        <f>VLOOKUP($A23,'Data shares'!$C:$FB,119)</f>
        <v>0.65</v>
      </c>
      <c r="N23" s="50">
        <f>VLOOKUP($A23,'Data shares'!$C:$FB,121)*100</f>
        <v>-6.15</v>
      </c>
      <c r="O23" s="50">
        <f>VLOOKUP($A23,'Data shares'!$C:$FB,124)</f>
        <v>0.74</v>
      </c>
      <c r="P23" s="50">
        <f>VLOOKUP($A23,'Data shares'!$C:$FB,125)</f>
        <v>0.85</v>
      </c>
      <c r="Q23" s="50">
        <f>VLOOKUP($A23,'Data shares'!$C:$FB,127)*100</f>
        <v>-12.94</v>
      </c>
    </row>
    <row r="24" spans="1:17" x14ac:dyDescent="0.25">
      <c r="A24" s="97" t="str">
        <f>'Snapshot (Value)'!A28</f>
        <v>AUROPHARMA</v>
      </c>
      <c r="B24" s="140">
        <f>VLOOKUP($A24,'Data shares'!$C:$FB,7)</f>
        <v>1311.9</v>
      </c>
      <c r="C24" s="140">
        <f>VLOOKUP($A24,'Data shares'!$C:$FB,3)</f>
        <v>1313.2</v>
      </c>
      <c r="D24" s="140">
        <f>VLOOKUP($A24,'Data shares'!$C:$FB,4)</f>
        <v>1306.5</v>
      </c>
      <c r="E24" s="50">
        <f t="shared" si="0"/>
        <v>0.51282051282051633</v>
      </c>
      <c r="F24" s="49">
        <f>VLOOKUP($A24,'Data shares'!$C:$FB,98)</f>
        <v>33289300</v>
      </c>
      <c r="G24" s="49">
        <f>VLOOKUP($A24,'Data shares'!$C:$FB,99)</f>
        <v>32497850</v>
      </c>
      <c r="H24" s="50">
        <f t="shared" si="1"/>
        <v>2.4353918797705076</v>
      </c>
      <c r="I24" s="49">
        <f>VLOOKUP($A24,'Data shares'!$C:$FB,66)</f>
        <v>23818300</v>
      </c>
      <c r="J24" s="49">
        <f>VLOOKUP($A24,'Data shares'!$C:$FB,67)</f>
        <v>25229600</v>
      </c>
      <c r="K24" s="50">
        <f t="shared" si="2"/>
        <v>-5.9252759432873043</v>
      </c>
      <c r="L24" s="50">
        <f>VLOOKUP($A24,'Data shares'!$C:$FB,118)</f>
        <v>0.93</v>
      </c>
      <c r="M24" s="50">
        <f>VLOOKUP($A24,'Data shares'!$C:$FB,119)</f>
        <v>0.86</v>
      </c>
      <c r="N24" s="50">
        <f>VLOOKUP($A24,'Data shares'!$C:$FB,121)*100</f>
        <v>8.14</v>
      </c>
      <c r="O24" s="50">
        <f>VLOOKUP($A24,'Data shares'!$C:$FB,124)</f>
        <v>0.83</v>
      </c>
      <c r="P24" s="50">
        <f>VLOOKUP($A24,'Data shares'!$C:$FB,125)</f>
        <v>0.37</v>
      </c>
      <c r="Q24" s="50">
        <f>VLOOKUP($A24,'Data shares'!$C:$FB,127)*100</f>
        <v>124.32000000000001</v>
      </c>
    </row>
    <row r="25" spans="1:17" x14ac:dyDescent="0.25">
      <c r="A25" s="97" t="str">
        <f>'Snapshot (Value)'!A29</f>
        <v>AXISBANK</v>
      </c>
      <c r="B25" s="140">
        <f>VLOOKUP($A25,'Data shares'!$C:$FB,7)</f>
        <v>1234.5</v>
      </c>
      <c r="C25" s="140">
        <f>VLOOKUP($A25,'Data shares'!$C:$FB,3)</f>
        <v>1239.4000000000001</v>
      </c>
      <c r="D25" s="140">
        <f>VLOOKUP($A25,'Data shares'!$C:$FB,4)</f>
        <v>1260.3</v>
      </c>
      <c r="E25" s="50">
        <f t="shared" si="0"/>
        <v>-1.6583353169880082</v>
      </c>
      <c r="F25" s="49">
        <f>VLOOKUP($A25,'Data shares'!$C:$FB,98)</f>
        <v>102102500</v>
      </c>
      <c r="G25" s="49">
        <f>VLOOKUP($A25,'Data shares'!$C:$FB,99)</f>
        <v>98501250</v>
      </c>
      <c r="H25" s="50">
        <f t="shared" si="1"/>
        <v>3.656044974048553</v>
      </c>
      <c r="I25" s="49">
        <f>VLOOKUP($A25,'Data shares'!$C:$FB,66)</f>
        <v>58237500</v>
      </c>
      <c r="J25" s="49">
        <f>VLOOKUP($A25,'Data shares'!$C:$FB,67)</f>
        <v>82796250</v>
      </c>
      <c r="K25" s="50">
        <f t="shared" si="2"/>
        <v>-42.169993560849967</v>
      </c>
      <c r="L25" s="50">
        <f>VLOOKUP($A25,'Data shares'!$C:$FB,118)</f>
        <v>0.48</v>
      </c>
      <c r="M25" s="50">
        <f>VLOOKUP($A25,'Data shares'!$C:$FB,119)</f>
        <v>0.5</v>
      </c>
      <c r="N25" s="50">
        <f>VLOOKUP($A25,'Data shares'!$C:$FB,121)*100</f>
        <v>-4</v>
      </c>
      <c r="O25" s="50">
        <f>VLOOKUP($A25,'Data shares'!$C:$FB,124)</f>
        <v>0.65</v>
      </c>
      <c r="P25" s="50">
        <f>VLOOKUP($A25,'Data shares'!$C:$FB,125)</f>
        <v>0.68</v>
      </c>
      <c r="Q25" s="50">
        <f>VLOOKUP($A25,'Data shares'!$C:$FB,127)*100</f>
        <v>-4.41</v>
      </c>
    </row>
    <row r="26" spans="1:17" x14ac:dyDescent="0.25">
      <c r="A26" s="97" t="str">
        <f>'Snapshot (Value)'!A30</f>
        <v>BAJAJ-AUTO</v>
      </c>
      <c r="B26" s="140">
        <f>VLOOKUP($A26,'Data shares'!$C:$FB,7)</f>
        <v>9162</v>
      </c>
      <c r="C26" s="140">
        <f>VLOOKUP($A26,'Data shares'!$C:$FB,3)</f>
        <v>9127.5</v>
      </c>
      <c r="D26" s="140">
        <f>VLOOKUP($A26,'Data shares'!$C:$FB,4)</f>
        <v>9308</v>
      </c>
      <c r="E26" s="50">
        <f t="shared" si="0"/>
        <v>-1.9391920928233779</v>
      </c>
      <c r="F26" s="49">
        <f>VLOOKUP($A26,'Data shares'!$C:$FB,98)</f>
        <v>5993475</v>
      </c>
      <c r="G26" s="49">
        <f>VLOOKUP($A26,'Data shares'!$C:$FB,99)</f>
        <v>5756100</v>
      </c>
      <c r="H26" s="50">
        <f t="shared" si="1"/>
        <v>4.1238859644551003</v>
      </c>
      <c r="I26" s="49">
        <f>VLOOKUP($A26,'Data shares'!$C:$FB,66)</f>
        <v>4253625</v>
      </c>
      <c r="J26" s="49">
        <f>VLOOKUP($A26,'Data shares'!$C:$FB,67)</f>
        <v>5282325</v>
      </c>
      <c r="K26" s="50">
        <f t="shared" si="2"/>
        <v>-24.184078286167683</v>
      </c>
      <c r="L26" s="50">
        <f>VLOOKUP($A26,'Data shares'!$C:$FB,118)</f>
        <v>0.47</v>
      </c>
      <c r="M26" s="50">
        <f>VLOOKUP($A26,'Data shares'!$C:$FB,119)</f>
        <v>0.5</v>
      </c>
      <c r="N26" s="50">
        <f>VLOOKUP($A26,'Data shares'!$C:$FB,121)*100</f>
        <v>-6</v>
      </c>
      <c r="O26" s="50">
        <f>VLOOKUP($A26,'Data shares'!$C:$FB,124)</f>
        <v>0.7</v>
      </c>
      <c r="P26" s="50">
        <f>VLOOKUP($A26,'Data shares'!$C:$FB,125)</f>
        <v>0.77</v>
      </c>
      <c r="Q26" s="50">
        <f>VLOOKUP($A26,'Data shares'!$C:$FB,127)*100</f>
        <v>-9.09</v>
      </c>
    </row>
    <row r="27" spans="1:17" x14ac:dyDescent="0.25">
      <c r="A27" s="97" t="str">
        <f>'Snapshot (Value)'!A31</f>
        <v>BAJAJFINSV</v>
      </c>
      <c r="B27" s="140">
        <f>VLOOKUP($A27,'Data shares'!$C:$FB,7)</f>
        <v>1770.8</v>
      </c>
      <c r="C27" s="140">
        <f>VLOOKUP($A27,'Data shares'!$C:$FB,3)</f>
        <v>1773.1</v>
      </c>
      <c r="D27" s="140">
        <f>VLOOKUP($A27,'Data shares'!$C:$FB,4)</f>
        <v>1797.6</v>
      </c>
      <c r="E27" s="50">
        <f t="shared" si="0"/>
        <v>-1.3629283489096575</v>
      </c>
      <c r="F27" s="49">
        <f>VLOOKUP($A27,'Data shares'!$C:$FB,98)</f>
        <v>26389250</v>
      </c>
      <c r="G27" s="49">
        <f>VLOOKUP($A27,'Data shares'!$C:$FB,99)</f>
        <v>26189000</v>
      </c>
      <c r="H27" s="50">
        <f t="shared" si="1"/>
        <v>0.76463400664401082</v>
      </c>
      <c r="I27" s="49">
        <f>VLOOKUP($A27,'Data shares'!$C:$FB,66)</f>
        <v>10086000</v>
      </c>
      <c r="J27" s="49">
        <f>VLOOKUP($A27,'Data shares'!$C:$FB,67)</f>
        <v>21768000</v>
      </c>
      <c r="K27" s="50">
        <f t="shared" si="2"/>
        <v>-115.82391433670433</v>
      </c>
      <c r="L27" s="50">
        <f>VLOOKUP($A27,'Data shares'!$C:$FB,118)</f>
        <v>0.45</v>
      </c>
      <c r="M27" s="50">
        <f>VLOOKUP($A27,'Data shares'!$C:$FB,119)</f>
        <v>0.49</v>
      </c>
      <c r="N27" s="50">
        <f>VLOOKUP($A27,'Data shares'!$C:$FB,121)*100</f>
        <v>-8.16</v>
      </c>
      <c r="O27" s="50">
        <f>VLOOKUP($A27,'Data shares'!$C:$FB,124)</f>
        <v>0.5</v>
      </c>
      <c r="P27" s="50">
        <f>VLOOKUP($A27,'Data shares'!$C:$FB,125)</f>
        <v>0.55000000000000004</v>
      </c>
      <c r="Q27" s="50">
        <f>VLOOKUP($A27,'Data shares'!$C:$FB,127)*100</f>
        <v>-9.09</v>
      </c>
    </row>
    <row r="28" spans="1:17" x14ac:dyDescent="0.25">
      <c r="A28" s="97" t="str">
        <f>'Snapshot (Value)'!A32</f>
        <v>BAJAJHLDNG</v>
      </c>
      <c r="B28" s="140">
        <f>VLOOKUP($A28,'Data shares'!$C:$FB,7)</f>
        <v>9789</v>
      </c>
      <c r="C28" s="140">
        <f>VLOOKUP($A28,'Data shares'!$C:$FB,3)</f>
        <v>9821</v>
      </c>
      <c r="D28" s="140">
        <f>VLOOKUP($A28,'Data shares'!$C:$FB,4)</f>
        <v>10179</v>
      </c>
      <c r="E28" s="50">
        <f t="shared" si="0"/>
        <v>-3.517044896355241</v>
      </c>
      <c r="F28" s="49">
        <f>VLOOKUP($A28,'Data shares'!$C:$FB,98)</f>
        <v>441000</v>
      </c>
      <c r="G28" s="49">
        <f>VLOOKUP($A28,'Data shares'!$C:$FB,99)</f>
        <v>414900</v>
      </c>
      <c r="H28" s="50">
        <f t="shared" si="1"/>
        <v>6.2906724511930596</v>
      </c>
      <c r="I28" s="49">
        <f>VLOOKUP($A28,'Data shares'!$C:$FB,66)</f>
        <v>230750</v>
      </c>
      <c r="J28" s="49">
        <f>VLOOKUP($A28,'Data shares'!$C:$FB,67)</f>
        <v>164900</v>
      </c>
      <c r="K28" s="50">
        <f t="shared" si="2"/>
        <v>28.537378114842905</v>
      </c>
      <c r="L28" s="50">
        <f>VLOOKUP($A28,'Data shares'!$C:$FB,118)</f>
        <v>0.48</v>
      </c>
      <c r="M28" s="50">
        <f>VLOOKUP($A28,'Data shares'!$C:$FB,119)</f>
        <v>0.45</v>
      </c>
      <c r="N28" s="50">
        <f>VLOOKUP($A28,'Data shares'!$C:$FB,121)*100</f>
        <v>6.67</v>
      </c>
      <c r="O28" s="50">
        <f>VLOOKUP($A28,'Data shares'!$C:$FB,124)</f>
        <v>0.68</v>
      </c>
      <c r="P28" s="50">
        <f>VLOOKUP($A28,'Data shares'!$C:$FB,125)</f>
        <v>0.41</v>
      </c>
      <c r="Q28" s="50">
        <f>VLOOKUP($A28,'Data shares'!$C:$FB,127)*100</f>
        <v>65.849999999999994</v>
      </c>
    </row>
    <row r="29" spans="1:17" x14ac:dyDescent="0.25">
      <c r="A29" s="97" t="str">
        <f>'Snapshot (Value)'!A33</f>
        <v>BAJFINANCE</v>
      </c>
      <c r="B29" s="140">
        <f>VLOOKUP($A29,'Data shares'!$C:$FB,7)</f>
        <v>863.1</v>
      </c>
      <c r="C29" s="140">
        <f>VLOOKUP($A29,'Data shares'!$C:$FB,3)</f>
        <v>866.6</v>
      </c>
      <c r="D29" s="140">
        <f>VLOOKUP($A29,'Data shares'!$C:$FB,4)</f>
        <v>894.1</v>
      </c>
      <c r="E29" s="50">
        <f t="shared" si="0"/>
        <v>-3.0757185997092047</v>
      </c>
      <c r="F29" s="49">
        <f>VLOOKUP($A29,'Data shares'!$C:$FB,98)</f>
        <v>118915500</v>
      </c>
      <c r="G29" s="49">
        <f>VLOOKUP($A29,'Data shares'!$C:$FB,99)</f>
        <v>111499500</v>
      </c>
      <c r="H29" s="50">
        <f t="shared" si="1"/>
        <v>6.6511509020219819</v>
      </c>
      <c r="I29" s="49">
        <f>VLOOKUP($A29,'Data shares'!$C:$FB,66)</f>
        <v>70390500</v>
      </c>
      <c r="J29" s="49">
        <f>VLOOKUP($A29,'Data shares'!$C:$FB,67)</f>
        <v>78612750</v>
      </c>
      <c r="K29" s="50">
        <f t="shared" si="2"/>
        <v>-11.680908645342766</v>
      </c>
      <c r="L29" s="50">
        <f>VLOOKUP($A29,'Data shares'!$C:$FB,118)</f>
        <v>0.69</v>
      </c>
      <c r="M29" s="50">
        <f>VLOOKUP($A29,'Data shares'!$C:$FB,119)</f>
        <v>0.76</v>
      </c>
      <c r="N29" s="50">
        <f>VLOOKUP($A29,'Data shares'!$C:$FB,121)*100</f>
        <v>-9.2100000000000009</v>
      </c>
      <c r="O29" s="50">
        <f>VLOOKUP($A29,'Data shares'!$C:$FB,124)</f>
        <v>0.79</v>
      </c>
      <c r="P29" s="50">
        <f>VLOOKUP($A29,'Data shares'!$C:$FB,125)</f>
        <v>1.01</v>
      </c>
      <c r="Q29" s="50">
        <f>VLOOKUP($A29,'Data shares'!$C:$FB,127)*100</f>
        <v>-21.78</v>
      </c>
    </row>
    <row r="30" spans="1:17" x14ac:dyDescent="0.25">
      <c r="A30" s="97" t="str">
        <f>'Snapshot (Value)'!A34</f>
        <v>BANDHANBNK</v>
      </c>
      <c r="B30" s="176">
        <f>VLOOKUP($A30,'Data shares'!$C:$FB,7)</f>
        <v>178.01</v>
      </c>
      <c r="C30" s="176">
        <f>VLOOKUP($A30,'Data shares'!$C:$FB,3)</f>
        <v>178.47</v>
      </c>
      <c r="D30" s="176">
        <f>VLOOKUP($A30,'Data shares'!$C:$FB,4)</f>
        <v>182.51</v>
      </c>
      <c r="E30" s="50">
        <f t="shared" si="0"/>
        <v>-2.2135773382280384</v>
      </c>
      <c r="F30" s="49">
        <f>VLOOKUP($A30,'Data shares'!$C:$FB,98)</f>
        <v>152935200</v>
      </c>
      <c r="G30" s="49">
        <f>VLOOKUP($A30,'Data shares'!$C:$FB,99)</f>
        <v>152013600</v>
      </c>
      <c r="H30" s="50">
        <f t="shared" si="1"/>
        <v>0.60626154501965612</v>
      </c>
      <c r="I30" s="49">
        <f>VLOOKUP($A30,'Data shares'!$C:$FB,66)</f>
        <v>42066000</v>
      </c>
      <c r="J30" s="49">
        <f>VLOOKUP($A30,'Data shares'!$C:$FB,67)</f>
        <v>55306800</v>
      </c>
      <c r="K30" s="50">
        <f t="shared" si="2"/>
        <v>-31.476251604621307</v>
      </c>
      <c r="L30" s="50">
        <f>VLOOKUP($A30,'Data shares'!$C:$FB,118)</f>
        <v>0.6</v>
      </c>
      <c r="M30" s="50">
        <f>VLOOKUP($A30,'Data shares'!$C:$FB,119)</f>
        <v>0.64</v>
      </c>
      <c r="N30" s="50">
        <f>VLOOKUP($A30,'Data shares'!$C:$FB,121)*100</f>
        <v>-6.25</v>
      </c>
      <c r="O30" s="50">
        <f>VLOOKUP($A30,'Data shares'!$C:$FB,124)</f>
        <v>0.56000000000000005</v>
      </c>
      <c r="P30" s="50">
        <f>VLOOKUP($A30,'Data shares'!$C:$FB,125)</f>
        <v>0.45</v>
      </c>
      <c r="Q30" s="50">
        <f>VLOOKUP($A30,'Data shares'!$C:$FB,127)*100</f>
        <v>24.44</v>
      </c>
    </row>
    <row r="31" spans="1:17" x14ac:dyDescent="0.25">
      <c r="A31" s="97" t="str">
        <f>'Snapshot (Value)'!A35</f>
        <v>BANKBARODA</v>
      </c>
      <c r="B31" s="140">
        <f>VLOOKUP($A31,'Data shares'!$C:$FB,7)</f>
        <v>289.2</v>
      </c>
      <c r="C31" s="140">
        <f>VLOOKUP($A31,'Data shares'!$C:$FB,3)</f>
        <v>290.2</v>
      </c>
      <c r="D31" s="140">
        <f>VLOOKUP($A31,'Data shares'!$C:$FB,4)</f>
        <v>290.35000000000002</v>
      </c>
      <c r="E31" s="50">
        <f t="shared" si="0"/>
        <v>-5.1661787497859164E-2</v>
      </c>
      <c r="F31" s="49">
        <f>VLOOKUP($A31,'Data shares'!$C:$FB,98)</f>
        <v>180335025</v>
      </c>
      <c r="G31" s="49">
        <f>VLOOKUP($A31,'Data shares'!$C:$FB,99)</f>
        <v>177617700</v>
      </c>
      <c r="H31" s="50">
        <f t="shared" si="1"/>
        <v>1.5298728674000395</v>
      </c>
      <c r="I31" s="49">
        <f>VLOOKUP($A31,'Data shares'!$C:$FB,66)</f>
        <v>80276625</v>
      </c>
      <c r="J31" s="49">
        <f>VLOOKUP($A31,'Data shares'!$C:$FB,67)</f>
        <v>60333975</v>
      </c>
      <c r="K31" s="50">
        <f t="shared" si="2"/>
        <v>24.842412096921116</v>
      </c>
      <c r="L31" s="50">
        <f>VLOOKUP($A31,'Data shares'!$C:$FB,118)</f>
        <v>0.86</v>
      </c>
      <c r="M31" s="50">
        <f>VLOOKUP($A31,'Data shares'!$C:$FB,119)</f>
        <v>0.9</v>
      </c>
      <c r="N31" s="50">
        <f>VLOOKUP($A31,'Data shares'!$C:$FB,121)*100</f>
        <v>-4.4400000000000004</v>
      </c>
      <c r="O31" s="50">
        <f>VLOOKUP($A31,'Data shares'!$C:$FB,124)</f>
        <v>0.71</v>
      </c>
      <c r="P31" s="50">
        <f>VLOOKUP($A31,'Data shares'!$C:$FB,125)</f>
        <v>0.85</v>
      </c>
      <c r="Q31" s="50">
        <f>VLOOKUP($A31,'Data shares'!$C:$FB,127)*100</f>
        <v>-16.470000000000002</v>
      </c>
    </row>
    <row r="32" spans="1:17" x14ac:dyDescent="0.25">
      <c r="A32" s="97" t="str">
        <f>'Snapshot (Value)'!A36</f>
        <v>BANKINDIA</v>
      </c>
      <c r="B32" s="140">
        <f>VLOOKUP($A32,'Data shares'!$C:$FB,7)</f>
        <v>154.78</v>
      </c>
      <c r="C32" s="140">
        <f>VLOOKUP($A32,'Data shares'!$C:$FB,3)</f>
        <v>154.91999999999999</v>
      </c>
      <c r="D32" s="140">
        <f>VLOOKUP($A32,'Data shares'!$C:$FB,4)</f>
        <v>154.61000000000001</v>
      </c>
      <c r="E32" s="50">
        <f t="shared" si="0"/>
        <v>0.20050449518140728</v>
      </c>
      <c r="F32" s="49">
        <f>VLOOKUP($A32,'Data shares'!$C:$FB,98)</f>
        <v>103136800</v>
      </c>
      <c r="G32" s="49">
        <f>VLOOKUP($A32,'Data shares'!$C:$FB,99)</f>
        <v>103474800</v>
      </c>
      <c r="H32" s="50">
        <f t="shared" si="1"/>
        <v>-0.32664958038092368</v>
      </c>
      <c r="I32" s="49">
        <f>VLOOKUP($A32,'Data shares'!$C:$FB,66)</f>
        <v>30524000</v>
      </c>
      <c r="J32" s="49">
        <f>VLOOKUP($A32,'Data shares'!$C:$FB,67)</f>
        <v>28048800</v>
      </c>
      <c r="K32" s="50">
        <f t="shared" si="2"/>
        <v>8.1090289608177173</v>
      </c>
      <c r="L32" s="50">
        <f>VLOOKUP($A32,'Data shares'!$C:$FB,118)</f>
        <v>0.77</v>
      </c>
      <c r="M32" s="50">
        <f>VLOOKUP($A32,'Data shares'!$C:$FB,119)</f>
        <v>0.8</v>
      </c>
      <c r="N32" s="50">
        <f>VLOOKUP($A32,'Data shares'!$C:$FB,121)*100</f>
        <v>-3.75</v>
      </c>
      <c r="O32" s="50">
        <f>VLOOKUP($A32,'Data shares'!$C:$FB,124)</f>
        <v>0.54</v>
      </c>
      <c r="P32" s="50">
        <f>VLOOKUP($A32,'Data shares'!$C:$FB,125)</f>
        <v>0.66</v>
      </c>
      <c r="Q32" s="50">
        <f>VLOOKUP($A32,'Data shares'!$C:$FB,127)*100</f>
        <v>-18.18</v>
      </c>
    </row>
    <row r="33" spans="1:17" x14ac:dyDescent="0.25">
      <c r="A33" s="97" t="str">
        <f>'Snapshot (Value)'!A37</f>
        <v>BANKNIFTY</v>
      </c>
      <c r="B33" s="140">
        <f>VLOOKUP($A33,'Data shares'!$C:$FB,7)</f>
        <v>55100.95</v>
      </c>
      <c r="C33" s="140">
        <f>VLOOKUP($A33,'Data shares'!$C:$FB,3)</f>
        <v>55369.8</v>
      </c>
      <c r="D33" s="140">
        <f>VLOOKUP($A33,'Data shares'!$C:$FB,4)</f>
        <v>55929.8</v>
      </c>
      <c r="E33" s="50">
        <f t="shared" si="0"/>
        <v>-1.0012551448422844</v>
      </c>
      <c r="F33" s="49">
        <f>VLOOKUP($A33,'Data shares'!$C:$FB,98)</f>
        <v>38462510</v>
      </c>
      <c r="G33" s="49">
        <f>VLOOKUP($A33,'Data shares'!$C:$FB,99)</f>
        <v>37336245</v>
      </c>
      <c r="H33" s="50">
        <f t="shared" si="1"/>
        <v>3.0165459863465114</v>
      </c>
      <c r="I33" s="49">
        <f>VLOOKUP($A33,'Data shares'!$C:$FB,66)</f>
        <v>76946940</v>
      </c>
      <c r="J33" s="49">
        <f>VLOOKUP($A33,'Data shares'!$C:$FB,67)</f>
        <v>76407210</v>
      </c>
      <c r="K33" s="50">
        <f t="shared" si="2"/>
        <v>0.70143140195048692</v>
      </c>
      <c r="L33" s="50">
        <f>VLOOKUP($A33,'Data shares'!$C:$FB,118)</f>
        <v>0.79</v>
      </c>
      <c r="M33" s="50">
        <f>VLOOKUP($A33,'Data shares'!$C:$FB,119)</f>
        <v>0.77</v>
      </c>
      <c r="N33" s="50">
        <f>VLOOKUP($A33,'Data shares'!$C:$FB,121)*100</f>
        <v>2.6</v>
      </c>
      <c r="O33" s="50">
        <f>VLOOKUP($A33,'Data shares'!$C:$FB,124)</f>
        <v>0.72</v>
      </c>
      <c r="P33" s="50">
        <f>VLOOKUP($A33,'Data shares'!$C:$FB,125)</f>
        <v>0.87</v>
      </c>
      <c r="Q33" s="50">
        <f>VLOOKUP($A33,'Data shares'!$C:$FB,127)*100</f>
        <v>-17.239999999999998</v>
      </c>
    </row>
    <row r="34" spans="1:17" x14ac:dyDescent="0.25">
      <c r="A34" s="97" t="str">
        <f>'Snapshot (Value)'!A38</f>
        <v>BDL</v>
      </c>
      <c r="B34" s="140">
        <f>VLOOKUP($A34,'Data shares'!$C:$FB,7)</f>
        <v>1349.4</v>
      </c>
      <c r="C34" s="140">
        <f>VLOOKUP($A34,'Data shares'!$C:$FB,3)</f>
        <v>1352.1</v>
      </c>
      <c r="D34" s="140">
        <f>VLOOKUP($A34,'Data shares'!$C:$FB,4)</f>
        <v>1358.1</v>
      </c>
      <c r="E34" s="50">
        <f t="shared" si="0"/>
        <v>-0.44179368235034244</v>
      </c>
      <c r="F34" s="49">
        <f>VLOOKUP($A34,'Data shares'!$C:$FB,98)</f>
        <v>12172300</v>
      </c>
      <c r="G34" s="49">
        <f>VLOOKUP($A34,'Data shares'!$C:$FB,99)</f>
        <v>12264000</v>
      </c>
      <c r="H34" s="50">
        <f t="shared" si="1"/>
        <v>-0.74771689497716898</v>
      </c>
      <c r="I34" s="49">
        <f>VLOOKUP($A34,'Data shares'!$C:$FB,66)</f>
        <v>5703950</v>
      </c>
      <c r="J34" s="49">
        <f>VLOOKUP($A34,'Data shares'!$C:$FB,67)</f>
        <v>11606700</v>
      </c>
      <c r="K34" s="50">
        <f t="shared" si="2"/>
        <v>-103.48530404368903</v>
      </c>
      <c r="L34" s="50">
        <f>VLOOKUP($A34,'Data shares'!$C:$FB,118)</f>
        <v>0.62</v>
      </c>
      <c r="M34" s="50">
        <f>VLOOKUP($A34,'Data shares'!$C:$FB,119)</f>
        <v>0.62</v>
      </c>
      <c r="N34" s="50">
        <f>VLOOKUP($A34,'Data shares'!$C:$FB,121)*100</f>
        <v>0</v>
      </c>
      <c r="O34" s="50">
        <f>VLOOKUP($A34,'Data shares'!$C:$FB,124)</f>
        <v>0.4</v>
      </c>
      <c r="P34" s="50">
        <f>VLOOKUP($A34,'Data shares'!$C:$FB,125)</f>
        <v>0.38</v>
      </c>
      <c r="Q34" s="50">
        <f>VLOOKUP($A34,'Data shares'!$C:$FB,127)*100</f>
        <v>5.26</v>
      </c>
    </row>
    <row r="35" spans="1:17" x14ac:dyDescent="0.25">
      <c r="A35" s="97" t="str">
        <f>'Snapshot (Value)'!A39</f>
        <v>BEL</v>
      </c>
      <c r="B35" s="140">
        <f>VLOOKUP($A35,'Data shares'!$C:$FB,7)</f>
        <v>453.55</v>
      </c>
      <c r="C35" s="140">
        <f>VLOOKUP($A35,'Data shares'!$C:$FB,3)</f>
        <v>454.4</v>
      </c>
      <c r="D35" s="140">
        <f>VLOOKUP($A35,'Data shares'!$C:$FB,4)</f>
        <v>455.8</v>
      </c>
      <c r="E35" s="50">
        <f t="shared" si="0"/>
        <v>-0.30715225976306143</v>
      </c>
      <c r="F35" s="49">
        <f>VLOOKUP($A35,'Data shares'!$C:$FB,98)</f>
        <v>190448400</v>
      </c>
      <c r="G35" s="49">
        <f>VLOOKUP($A35,'Data shares'!$C:$FB,99)</f>
        <v>187309125</v>
      </c>
      <c r="H35" s="50">
        <f t="shared" si="1"/>
        <v>1.675986153904675</v>
      </c>
      <c r="I35" s="49">
        <f>VLOOKUP($A35,'Data shares'!$C:$FB,66)</f>
        <v>104707575</v>
      </c>
      <c r="J35" s="49">
        <f>VLOOKUP($A35,'Data shares'!$C:$FB,67)</f>
        <v>111211275</v>
      </c>
      <c r="K35" s="50">
        <f t="shared" si="2"/>
        <v>-6.2112984662284463</v>
      </c>
      <c r="L35" s="50">
        <f>VLOOKUP($A35,'Data shares'!$C:$FB,118)</f>
        <v>0.57999999999999996</v>
      </c>
      <c r="M35" s="50">
        <f>VLOOKUP($A35,'Data shares'!$C:$FB,119)</f>
        <v>0.62</v>
      </c>
      <c r="N35" s="50">
        <f>VLOOKUP($A35,'Data shares'!$C:$FB,121)*100</f>
        <v>-6.45</v>
      </c>
      <c r="O35" s="50">
        <f>VLOOKUP($A35,'Data shares'!$C:$FB,124)</f>
        <v>0.55000000000000004</v>
      </c>
      <c r="P35" s="50">
        <f>VLOOKUP($A35,'Data shares'!$C:$FB,125)</f>
        <v>0.63</v>
      </c>
      <c r="Q35" s="50">
        <f>VLOOKUP($A35,'Data shares'!$C:$FB,127)*100</f>
        <v>-12.7</v>
      </c>
    </row>
    <row r="36" spans="1:17" x14ac:dyDescent="0.25">
      <c r="A36" s="97" t="str">
        <f>'Snapshot (Value)'!A40</f>
        <v>BHARATFORG</v>
      </c>
      <c r="B36" s="140">
        <f>VLOOKUP($A36,'Data shares'!$C:$FB,7)</f>
        <v>1779.6</v>
      </c>
      <c r="C36" s="140">
        <f>VLOOKUP($A36,'Data shares'!$C:$FB,3)</f>
        <v>1784.1</v>
      </c>
      <c r="D36" s="140">
        <f>VLOOKUP($A36,'Data shares'!$C:$FB,4)</f>
        <v>1803.7</v>
      </c>
      <c r="E36" s="50">
        <f t="shared" si="0"/>
        <v>-1.0866552087376025</v>
      </c>
      <c r="F36" s="49">
        <f>VLOOKUP($A36,'Data shares'!$C:$FB,98)</f>
        <v>14135500</v>
      </c>
      <c r="G36" s="49">
        <f>VLOOKUP($A36,'Data shares'!$C:$FB,99)</f>
        <v>13907000</v>
      </c>
      <c r="H36" s="50">
        <f t="shared" si="1"/>
        <v>1.6430574530811821</v>
      </c>
      <c r="I36" s="49">
        <f>VLOOKUP($A36,'Data shares'!$C:$FB,66)</f>
        <v>19604000</v>
      </c>
      <c r="J36" s="49">
        <f>VLOOKUP($A36,'Data shares'!$C:$FB,67)</f>
        <v>9371500</v>
      </c>
      <c r="K36" s="50">
        <f t="shared" si="2"/>
        <v>52.195980412160779</v>
      </c>
      <c r="L36" s="50">
        <f>VLOOKUP($A36,'Data shares'!$C:$FB,118)</f>
        <v>0.61</v>
      </c>
      <c r="M36" s="50">
        <f>VLOOKUP($A36,'Data shares'!$C:$FB,119)</f>
        <v>0.62</v>
      </c>
      <c r="N36" s="50">
        <f>VLOOKUP($A36,'Data shares'!$C:$FB,121)*100</f>
        <v>-1.6099999999999999</v>
      </c>
      <c r="O36" s="50">
        <f>VLOOKUP($A36,'Data shares'!$C:$FB,124)</f>
        <v>0.75</v>
      </c>
      <c r="P36" s="50">
        <f>VLOOKUP($A36,'Data shares'!$C:$FB,125)</f>
        <v>0.95</v>
      </c>
      <c r="Q36" s="50">
        <f>VLOOKUP($A36,'Data shares'!$C:$FB,127)*100</f>
        <v>-21.05</v>
      </c>
    </row>
    <row r="37" spans="1:17" x14ac:dyDescent="0.25">
      <c r="A37" s="97" t="str">
        <f>'Snapshot (Value)'!A41</f>
        <v>BHARTIARTL</v>
      </c>
      <c r="B37" s="140">
        <f>VLOOKUP($A37,'Data shares'!$C:$FB,7)</f>
        <v>1801.3</v>
      </c>
      <c r="C37" s="140">
        <f>VLOOKUP($A37,'Data shares'!$C:$FB,3)</f>
        <v>1807.3</v>
      </c>
      <c r="D37" s="140">
        <f>VLOOKUP($A37,'Data shares'!$C:$FB,4)</f>
        <v>1811.3</v>
      </c>
      <c r="E37" s="50">
        <f t="shared" si="0"/>
        <v>-0.22083586374427205</v>
      </c>
      <c r="F37" s="49">
        <f>VLOOKUP($A37,'Data shares'!$C:$FB,98)</f>
        <v>97084775</v>
      </c>
      <c r="G37" s="49">
        <f>VLOOKUP($A37,'Data shares'!$C:$FB,99)</f>
        <v>97659525</v>
      </c>
      <c r="H37" s="50">
        <f t="shared" si="1"/>
        <v>-0.5885242632503076</v>
      </c>
      <c r="I37" s="49">
        <f>VLOOKUP($A37,'Data shares'!$C:$FB,66)</f>
        <v>39201275</v>
      </c>
      <c r="J37" s="49">
        <f>VLOOKUP($A37,'Data shares'!$C:$FB,67)</f>
        <v>59350300</v>
      </c>
      <c r="K37" s="50">
        <f t="shared" si="2"/>
        <v>-51.398902204073714</v>
      </c>
      <c r="L37" s="50">
        <f>VLOOKUP($A37,'Data shares'!$C:$FB,118)</f>
        <v>0.46</v>
      </c>
      <c r="M37" s="50">
        <f>VLOOKUP($A37,'Data shares'!$C:$FB,119)</f>
        <v>0.46</v>
      </c>
      <c r="N37" s="50">
        <f>VLOOKUP($A37,'Data shares'!$C:$FB,121)*100</f>
        <v>0</v>
      </c>
      <c r="O37" s="50">
        <f>VLOOKUP($A37,'Data shares'!$C:$FB,124)</f>
        <v>0.52</v>
      </c>
      <c r="P37" s="50">
        <f>VLOOKUP($A37,'Data shares'!$C:$FB,125)</f>
        <v>0.6</v>
      </c>
      <c r="Q37" s="50">
        <f>VLOOKUP($A37,'Data shares'!$C:$FB,127)*100</f>
        <v>-13.33</v>
      </c>
    </row>
    <row r="38" spans="1:17" x14ac:dyDescent="0.25">
      <c r="A38" s="97" t="str">
        <f>'Snapshot (Value)'!A42</f>
        <v>BHEL</v>
      </c>
      <c r="B38" s="140">
        <f>VLOOKUP($A38,'Data shares'!$C:$FB,7)</f>
        <v>267.85000000000002</v>
      </c>
      <c r="C38" s="140">
        <f>VLOOKUP($A38,'Data shares'!$C:$FB,3)</f>
        <v>268.85000000000002</v>
      </c>
      <c r="D38" s="140">
        <f>VLOOKUP($A38,'Data shares'!$C:$FB,4)</f>
        <v>256.05</v>
      </c>
      <c r="E38" s="50">
        <f t="shared" si="0"/>
        <v>4.9990236281976221</v>
      </c>
      <c r="F38" s="49">
        <f>VLOOKUP($A38,'Data shares'!$C:$FB,98)</f>
        <v>187997250</v>
      </c>
      <c r="G38" s="49">
        <f>VLOOKUP($A38,'Data shares'!$C:$FB,99)</f>
        <v>189207375</v>
      </c>
      <c r="H38" s="50">
        <f t="shared" si="1"/>
        <v>-0.63957602075500497</v>
      </c>
      <c r="I38" s="49">
        <f>VLOOKUP($A38,'Data shares'!$C:$FB,66)</f>
        <v>185059875</v>
      </c>
      <c r="J38" s="49">
        <f>VLOOKUP($A38,'Data shares'!$C:$FB,67)</f>
        <v>76345500</v>
      </c>
      <c r="K38" s="50">
        <f t="shared" si="2"/>
        <v>58.745514120767673</v>
      </c>
      <c r="L38" s="50">
        <f>VLOOKUP($A38,'Data shares'!$C:$FB,118)</f>
        <v>0.88</v>
      </c>
      <c r="M38" s="50">
        <f>VLOOKUP($A38,'Data shares'!$C:$FB,119)</f>
        <v>0.79</v>
      </c>
      <c r="N38" s="50">
        <f>VLOOKUP($A38,'Data shares'!$C:$FB,121)*100</f>
        <v>11.39</v>
      </c>
      <c r="O38" s="50">
        <f>VLOOKUP($A38,'Data shares'!$C:$FB,124)</f>
        <v>0.51</v>
      </c>
      <c r="P38" s="50">
        <f>VLOOKUP($A38,'Data shares'!$C:$FB,125)</f>
        <v>0.76</v>
      </c>
      <c r="Q38" s="50">
        <f>VLOOKUP($A38,'Data shares'!$C:$FB,127)*100</f>
        <v>-32.89</v>
      </c>
    </row>
    <row r="39" spans="1:17" x14ac:dyDescent="0.25">
      <c r="A39" s="97" t="str">
        <f>'Snapshot (Value)'!A43</f>
        <v>BIOCON</v>
      </c>
      <c r="B39" s="140">
        <f>VLOOKUP($A39,'Data shares'!$C:$FB,7)</f>
        <v>392.2</v>
      </c>
      <c r="C39" s="140">
        <f>VLOOKUP($A39,'Data shares'!$C:$FB,3)</f>
        <v>393.4</v>
      </c>
      <c r="D39" s="140">
        <f>VLOOKUP($A39,'Data shares'!$C:$FB,4)</f>
        <v>396.7</v>
      </c>
      <c r="E39" s="50">
        <f t="shared" si="0"/>
        <v>-0.8318628686665015</v>
      </c>
      <c r="F39" s="49">
        <f>VLOOKUP($A39,'Data shares'!$C:$FB,98)</f>
        <v>69950000</v>
      </c>
      <c r="G39" s="49">
        <f>VLOOKUP($A39,'Data shares'!$C:$FB,99)</f>
        <v>68695000</v>
      </c>
      <c r="H39" s="50">
        <f t="shared" si="1"/>
        <v>1.8269160783171992</v>
      </c>
      <c r="I39" s="49">
        <f>VLOOKUP($A39,'Data shares'!$C:$FB,66)</f>
        <v>43407500</v>
      </c>
      <c r="J39" s="49">
        <f>VLOOKUP($A39,'Data shares'!$C:$FB,67)</f>
        <v>68160000</v>
      </c>
      <c r="K39" s="50">
        <f t="shared" si="2"/>
        <v>-57.023555837124917</v>
      </c>
      <c r="L39" s="50">
        <f>VLOOKUP($A39,'Data shares'!$C:$FB,118)</f>
        <v>0.78</v>
      </c>
      <c r="M39" s="50">
        <f>VLOOKUP($A39,'Data shares'!$C:$FB,119)</f>
        <v>0.78</v>
      </c>
      <c r="N39" s="50">
        <f>VLOOKUP($A39,'Data shares'!$C:$FB,121)*100</f>
        <v>0</v>
      </c>
      <c r="O39" s="50">
        <f>VLOOKUP($A39,'Data shares'!$C:$FB,124)</f>
        <v>0.53</v>
      </c>
      <c r="P39" s="50">
        <f>VLOOKUP($A39,'Data shares'!$C:$FB,125)</f>
        <v>0.32</v>
      </c>
      <c r="Q39" s="50">
        <f>VLOOKUP($A39,'Data shares'!$C:$FB,127)*100</f>
        <v>65.63</v>
      </c>
    </row>
    <row r="40" spans="1:17" x14ac:dyDescent="0.25">
      <c r="A40" s="97" t="str">
        <f>'Snapshot (Value)'!A44</f>
        <v>BLUESTARCO</v>
      </c>
      <c r="B40" s="140">
        <f>VLOOKUP($A40,'Data shares'!$C:$FB,7)</f>
        <v>1953.5</v>
      </c>
      <c r="C40" s="140">
        <f>VLOOKUP($A40,'Data shares'!$C:$FB,3)</f>
        <v>1945.5</v>
      </c>
      <c r="D40" s="140">
        <f>VLOOKUP($A40,'Data shares'!$C:$FB,4)</f>
        <v>1940.8</v>
      </c>
      <c r="E40" s="50">
        <f t="shared" si="0"/>
        <v>0.24216817807090094</v>
      </c>
      <c r="F40" s="49">
        <f>VLOOKUP($A40,'Data shares'!$C:$FB,98)</f>
        <v>4478825</v>
      </c>
      <c r="G40" s="49">
        <f>VLOOKUP($A40,'Data shares'!$C:$FB,99)</f>
        <v>4413175</v>
      </c>
      <c r="H40" s="50">
        <f t="shared" si="1"/>
        <v>1.4875911333677001</v>
      </c>
      <c r="I40" s="49">
        <f>VLOOKUP($A40,'Data shares'!$C:$FB,66)</f>
        <v>4181125</v>
      </c>
      <c r="J40" s="49">
        <f>VLOOKUP($A40,'Data shares'!$C:$FB,67)</f>
        <v>11037000</v>
      </c>
      <c r="K40" s="50">
        <f t="shared" si="2"/>
        <v>-163.97201710066071</v>
      </c>
      <c r="L40" s="50">
        <f>VLOOKUP($A40,'Data shares'!$C:$FB,118)</f>
        <v>0.53</v>
      </c>
      <c r="M40" s="50">
        <f>VLOOKUP($A40,'Data shares'!$C:$FB,119)</f>
        <v>0.54</v>
      </c>
      <c r="N40" s="50">
        <f>VLOOKUP($A40,'Data shares'!$C:$FB,121)*100</f>
        <v>-1.8499999999999999</v>
      </c>
      <c r="O40" s="50">
        <f>VLOOKUP($A40,'Data shares'!$C:$FB,124)</f>
        <v>0.2</v>
      </c>
      <c r="P40" s="50">
        <f>VLOOKUP($A40,'Data shares'!$C:$FB,125)</f>
        <v>0.19</v>
      </c>
      <c r="Q40" s="50">
        <f>VLOOKUP($A40,'Data shares'!$C:$FB,127)*100</f>
        <v>5.26</v>
      </c>
    </row>
    <row r="41" spans="1:17" x14ac:dyDescent="0.25">
      <c r="A41" s="97" t="str">
        <f>'Snapshot (Value)'!A45</f>
        <v>BOSCHLTD</v>
      </c>
      <c r="B41" s="140">
        <f>VLOOKUP($A41,'Data shares'!$C:$FB,7)</f>
        <v>31305</v>
      </c>
      <c r="C41" s="140">
        <f>VLOOKUP($A41,'Data shares'!$C:$FB,3)</f>
        <v>31405</v>
      </c>
      <c r="D41" s="140">
        <f>VLOOKUP($A41,'Data shares'!$C:$FB,4)</f>
        <v>31800</v>
      </c>
      <c r="E41" s="50">
        <f t="shared" si="0"/>
        <v>-1.2421383647798743</v>
      </c>
      <c r="F41" s="49">
        <f>VLOOKUP($A41,'Data shares'!$C:$FB,98)</f>
        <v>602725</v>
      </c>
      <c r="G41" s="49">
        <f>VLOOKUP($A41,'Data shares'!$C:$FB,99)</f>
        <v>587150</v>
      </c>
      <c r="H41" s="50">
        <f t="shared" si="1"/>
        <v>2.6526441284169295</v>
      </c>
      <c r="I41" s="49">
        <f>VLOOKUP($A41,'Data shares'!$C:$FB,66)</f>
        <v>198800</v>
      </c>
      <c r="J41" s="49">
        <f>VLOOKUP($A41,'Data shares'!$C:$FB,67)</f>
        <v>406875</v>
      </c>
      <c r="K41" s="50">
        <f t="shared" si="2"/>
        <v>-104.66549295774648</v>
      </c>
      <c r="L41" s="50">
        <f>VLOOKUP($A41,'Data shares'!$C:$FB,118)</f>
        <v>0.59</v>
      </c>
      <c r="M41" s="50">
        <f>VLOOKUP($A41,'Data shares'!$C:$FB,119)</f>
        <v>0.6</v>
      </c>
      <c r="N41" s="50">
        <f>VLOOKUP($A41,'Data shares'!$C:$FB,121)*100</f>
        <v>-1.67</v>
      </c>
      <c r="O41" s="50">
        <f>VLOOKUP($A41,'Data shares'!$C:$FB,124)</f>
        <v>0.56000000000000005</v>
      </c>
      <c r="P41" s="50">
        <f>VLOOKUP($A41,'Data shares'!$C:$FB,125)</f>
        <v>0.72</v>
      </c>
      <c r="Q41" s="50">
        <f>VLOOKUP($A41,'Data shares'!$C:$FB,127)*100</f>
        <v>-22.220000000000002</v>
      </c>
    </row>
    <row r="42" spans="1:17" x14ac:dyDescent="0.25">
      <c r="A42" s="97" t="str">
        <f>'Snapshot (Value)'!A46</f>
        <v>BPCL</v>
      </c>
      <c r="B42" s="140">
        <f>VLOOKUP($A42,'Data shares'!$C:$FB,7)</f>
        <v>326.35000000000002</v>
      </c>
      <c r="C42" s="140">
        <f>VLOOKUP($A42,'Data shares'!$C:$FB,3)</f>
        <v>327.2</v>
      </c>
      <c r="D42" s="140">
        <f>VLOOKUP($A42,'Data shares'!$C:$FB,4)</f>
        <v>325.64999999999998</v>
      </c>
      <c r="E42" s="50">
        <f t="shared" si="0"/>
        <v>0.47597113465377289</v>
      </c>
      <c r="F42" s="49">
        <f>VLOOKUP($A42,'Data shares'!$C:$FB,98)</f>
        <v>90133075</v>
      </c>
      <c r="G42" s="49">
        <f>VLOOKUP($A42,'Data shares'!$C:$FB,99)</f>
        <v>88501725</v>
      </c>
      <c r="H42" s="50">
        <f t="shared" si="1"/>
        <v>1.8432974046551069</v>
      </c>
      <c r="I42" s="49">
        <f>VLOOKUP($A42,'Data shares'!$C:$FB,66)</f>
        <v>69109200</v>
      </c>
      <c r="J42" s="49">
        <f>VLOOKUP($A42,'Data shares'!$C:$FB,67)</f>
        <v>53589650</v>
      </c>
      <c r="K42" s="50">
        <f t="shared" si="2"/>
        <v>22.456561499771375</v>
      </c>
      <c r="L42" s="50">
        <f>VLOOKUP($A42,'Data shares'!$C:$FB,118)</f>
        <v>0.79</v>
      </c>
      <c r="M42" s="50">
        <f>VLOOKUP($A42,'Data shares'!$C:$FB,119)</f>
        <v>0.76</v>
      </c>
      <c r="N42" s="50">
        <f>VLOOKUP($A42,'Data shares'!$C:$FB,121)*100</f>
        <v>3.95</v>
      </c>
      <c r="O42" s="50">
        <f>VLOOKUP($A42,'Data shares'!$C:$FB,124)</f>
        <v>0.99</v>
      </c>
      <c r="P42" s="50">
        <f>VLOOKUP($A42,'Data shares'!$C:$FB,125)</f>
        <v>0.71</v>
      </c>
      <c r="Q42" s="50">
        <f>VLOOKUP($A42,'Data shares'!$C:$FB,127)*100</f>
        <v>39.44</v>
      </c>
    </row>
    <row r="43" spans="1:17" x14ac:dyDescent="0.25">
      <c r="A43" s="97" t="str">
        <f>'Snapshot (Value)'!A47</f>
        <v>BRITANNIA</v>
      </c>
      <c r="B43" s="140">
        <f>VLOOKUP($A43,'Data shares'!$C:$FB,7)</f>
        <v>5787</v>
      </c>
      <c r="C43" s="140">
        <f>VLOOKUP($A43,'Data shares'!$C:$FB,3)</f>
        <v>5793</v>
      </c>
      <c r="D43" s="140">
        <f>VLOOKUP($A43,'Data shares'!$C:$FB,4)</f>
        <v>5927</v>
      </c>
      <c r="E43" s="50">
        <f t="shared" si="0"/>
        <v>-2.2608402227096338</v>
      </c>
      <c r="F43" s="49">
        <f>VLOOKUP($A43,'Data shares'!$C:$FB,98)</f>
        <v>4055000</v>
      </c>
      <c r="G43" s="49">
        <f>VLOOKUP($A43,'Data shares'!$C:$FB,99)</f>
        <v>4236125</v>
      </c>
      <c r="H43" s="50">
        <f t="shared" si="1"/>
        <v>-4.2757236861518484</v>
      </c>
      <c r="I43" s="49">
        <f>VLOOKUP($A43,'Data shares'!$C:$FB,66)</f>
        <v>3424375</v>
      </c>
      <c r="J43" s="49">
        <f>VLOOKUP($A43,'Data shares'!$C:$FB,67)</f>
        <v>1691500</v>
      </c>
      <c r="K43" s="50">
        <f t="shared" si="2"/>
        <v>50.604124840299328</v>
      </c>
      <c r="L43" s="50">
        <f>VLOOKUP($A43,'Data shares'!$C:$FB,118)</f>
        <v>0.53</v>
      </c>
      <c r="M43" s="50">
        <f>VLOOKUP($A43,'Data shares'!$C:$FB,119)</f>
        <v>0.55000000000000004</v>
      </c>
      <c r="N43" s="50">
        <f>VLOOKUP($A43,'Data shares'!$C:$FB,121)*100</f>
        <v>-3.64</v>
      </c>
      <c r="O43" s="50">
        <f>VLOOKUP($A43,'Data shares'!$C:$FB,124)</f>
        <v>1.1399999999999999</v>
      </c>
      <c r="P43" s="50">
        <f>VLOOKUP($A43,'Data shares'!$C:$FB,125)</f>
        <v>1.78</v>
      </c>
      <c r="Q43" s="50">
        <f>VLOOKUP($A43,'Data shares'!$C:$FB,127)*100</f>
        <v>-35.96</v>
      </c>
    </row>
    <row r="44" spans="1:17" x14ac:dyDescent="0.25">
      <c r="A44" s="97" t="str">
        <f>'Snapshot (Value)'!A48</f>
        <v>BSE</v>
      </c>
      <c r="B44" s="140">
        <f>VLOOKUP($A44,'Data shares'!$C:$FB,7)</f>
        <v>2850.6</v>
      </c>
      <c r="C44" s="140">
        <f>VLOOKUP($A44,'Data shares'!$C:$FB,3)</f>
        <v>2851.7</v>
      </c>
      <c r="D44" s="140">
        <f>VLOOKUP($A44,'Data shares'!$C:$FB,4)</f>
        <v>2836.5</v>
      </c>
      <c r="E44" s="50">
        <f t="shared" si="0"/>
        <v>0.53587167283623538</v>
      </c>
      <c r="F44" s="49">
        <f>VLOOKUP($A44,'Data shares'!$C:$FB,98)</f>
        <v>20772000</v>
      </c>
      <c r="G44" s="49">
        <f>VLOOKUP($A44,'Data shares'!$C:$FB,99)</f>
        <v>20450250</v>
      </c>
      <c r="H44" s="50">
        <f t="shared" si="1"/>
        <v>1.5733303993838705</v>
      </c>
      <c r="I44" s="49">
        <f>VLOOKUP($A44,'Data shares'!$C:$FB,66)</f>
        <v>25167000</v>
      </c>
      <c r="J44" s="49">
        <f>VLOOKUP($A44,'Data shares'!$C:$FB,67)</f>
        <v>23977875</v>
      </c>
      <c r="K44" s="50">
        <f t="shared" si="2"/>
        <v>4.7249374180474435</v>
      </c>
      <c r="L44" s="50">
        <f>VLOOKUP($A44,'Data shares'!$C:$FB,118)</f>
        <v>0.84</v>
      </c>
      <c r="M44" s="50">
        <f>VLOOKUP($A44,'Data shares'!$C:$FB,119)</f>
        <v>0.84</v>
      </c>
      <c r="N44" s="50">
        <f>VLOOKUP($A44,'Data shares'!$C:$FB,121)*100</f>
        <v>0</v>
      </c>
      <c r="O44" s="50">
        <f>VLOOKUP($A44,'Data shares'!$C:$FB,124)</f>
        <v>0.9</v>
      </c>
      <c r="P44" s="50">
        <f>VLOOKUP($A44,'Data shares'!$C:$FB,125)</f>
        <v>0.93</v>
      </c>
      <c r="Q44" s="50">
        <f>VLOOKUP($A44,'Data shares'!$C:$FB,127)*100</f>
        <v>-3.2300000000000004</v>
      </c>
    </row>
    <row r="45" spans="1:17" x14ac:dyDescent="0.25">
      <c r="A45" s="97" t="str">
        <f>'Snapshot (Value)'!A49</f>
        <v>CAMS</v>
      </c>
      <c r="B45" s="140">
        <f>VLOOKUP($A45,'Data shares'!$C:$FB,7)</f>
        <v>663.75</v>
      </c>
      <c r="C45" s="140">
        <f>VLOOKUP($A45,'Data shares'!$C:$FB,3)</f>
        <v>663.9</v>
      </c>
      <c r="D45" s="140">
        <f>VLOOKUP($A45,'Data shares'!$C:$FB,4)</f>
        <v>676.4</v>
      </c>
      <c r="E45" s="50">
        <f t="shared" si="0"/>
        <v>-1.848018923713779</v>
      </c>
      <c r="F45" s="49">
        <f>VLOOKUP($A45,'Data shares'!$C:$FB,98)</f>
        <v>13068750</v>
      </c>
      <c r="G45" s="49">
        <f>VLOOKUP($A45,'Data shares'!$C:$FB,99)</f>
        <v>12923250</v>
      </c>
      <c r="H45" s="50">
        <f t="shared" si="1"/>
        <v>1.1258777784226104</v>
      </c>
      <c r="I45" s="49">
        <f>VLOOKUP($A45,'Data shares'!$C:$FB,66)</f>
        <v>5338500</v>
      </c>
      <c r="J45" s="49">
        <f>VLOOKUP($A45,'Data shares'!$C:$FB,67)</f>
        <v>5589750</v>
      </c>
      <c r="K45" s="50">
        <f t="shared" si="2"/>
        <v>-4.7063781961225066</v>
      </c>
      <c r="L45" s="50">
        <f>VLOOKUP($A45,'Data shares'!$C:$FB,118)</f>
        <v>0.8</v>
      </c>
      <c r="M45" s="50">
        <f>VLOOKUP($A45,'Data shares'!$C:$FB,119)</f>
        <v>0.87</v>
      </c>
      <c r="N45" s="50">
        <f>VLOOKUP($A45,'Data shares'!$C:$FB,121)*100</f>
        <v>-8.0500000000000007</v>
      </c>
      <c r="O45" s="50">
        <f>VLOOKUP($A45,'Data shares'!$C:$FB,124)</f>
        <v>0.77</v>
      </c>
      <c r="P45" s="50">
        <f>VLOOKUP($A45,'Data shares'!$C:$FB,125)</f>
        <v>0.49</v>
      </c>
      <c r="Q45" s="50">
        <f>VLOOKUP($A45,'Data shares'!$C:$FB,127)*100</f>
        <v>57.14</v>
      </c>
    </row>
    <row r="46" spans="1:17" x14ac:dyDescent="0.25">
      <c r="A46" s="97" t="str">
        <f>'Snapshot (Value)'!A50</f>
        <v>CANBK</v>
      </c>
      <c r="B46" s="140">
        <f>VLOOKUP($A46,'Data shares'!$C:$FB,7)</f>
        <v>140.34</v>
      </c>
      <c r="C46" s="140">
        <f>VLOOKUP($A46,'Data shares'!$C:$FB,3)</f>
        <v>140.59</v>
      </c>
      <c r="D46" s="140">
        <f>VLOOKUP($A46,'Data shares'!$C:$FB,4)</f>
        <v>139.68</v>
      </c>
      <c r="E46" s="50">
        <f t="shared" si="0"/>
        <v>0.65148911798396081</v>
      </c>
      <c r="F46" s="49">
        <f>VLOOKUP($A46,'Data shares'!$C:$FB,98)</f>
        <v>375657750</v>
      </c>
      <c r="G46" s="49">
        <f>VLOOKUP($A46,'Data shares'!$C:$FB,99)</f>
        <v>368529750</v>
      </c>
      <c r="H46" s="50">
        <f t="shared" si="1"/>
        <v>1.9341722072641354</v>
      </c>
      <c r="I46" s="49">
        <f>VLOOKUP($A46,'Data shares'!$C:$FB,66)</f>
        <v>187744500</v>
      </c>
      <c r="J46" s="49">
        <f>VLOOKUP($A46,'Data shares'!$C:$FB,67)</f>
        <v>104631750</v>
      </c>
      <c r="K46" s="50">
        <f t="shared" si="2"/>
        <v>44.269073128640251</v>
      </c>
      <c r="L46" s="50">
        <f>VLOOKUP($A46,'Data shares'!$C:$FB,118)</f>
        <v>0.75</v>
      </c>
      <c r="M46" s="50">
        <f>VLOOKUP($A46,'Data shares'!$C:$FB,119)</f>
        <v>0.72</v>
      </c>
      <c r="N46" s="50">
        <f>VLOOKUP($A46,'Data shares'!$C:$FB,121)*100</f>
        <v>4.17</v>
      </c>
      <c r="O46" s="50">
        <f>VLOOKUP($A46,'Data shares'!$C:$FB,124)</f>
        <v>0.56000000000000005</v>
      </c>
      <c r="P46" s="50">
        <f>VLOOKUP($A46,'Data shares'!$C:$FB,125)</f>
        <v>0.59</v>
      </c>
      <c r="Q46" s="50">
        <f>VLOOKUP($A46,'Data shares'!$C:$FB,127)*100</f>
        <v>-5.08</v>
      </c>
    </row>
    <row r="47" spans="1:17" x14ac:dyDescent="0.25">
      <c r="A47" s="97" t="str">
        <f>'Snapshot (Value)'!A51</f>
        <v>CDSL</v>
      </c>
      <c r="B47" s="140">
        <f>VLOOKUP($A47,'Data shares'!$C:$FB,7)</f>
        <v>1210.8</v>
      </c>
      <c r="C47" s="140">
        <f>VLOOKUP($A47,'Data shares'!$C:$FB,3)</f>
        <v>1208.7</v>
      </c>
      <c r="D47" s="140">
        <f>VLOOKUP($A47,'Data shares'!$C:$FB,4)</f>
        <v>1218.8</v>
      </c>
      <c r="E47" s="50">
        <f t="shared" si="0"/>
        <v>-0.8286839514276263</v>
      </c>
      <c r="F47" s="49">
        <f>VLOOKUP($A47,'Data shares'!$C:$FB,98)</f>
        <v>24088200</v>
      </c>
      <c r="G47" s="49">
        <f>VLOOKUP($A47,'Data shares'!$C:$FB,99)</f>
        <v>23200425</v>
      </c>
      <c r="H47" s="50">
        <f t="shared" si="1"/>
        <v>3.826546280940974</v>
      </c>
      <c r="I47" s="49">
        <f>VLOOKUP($A47,'Data shares'!$C:$FB,66)</f>
        <v>11206200</v>
      </c>
      <c r="J47" s="49">
        <f>VLOOKUP($A47,'Data shares'!$C:$FB,67)</f>
        <v>9842000</v>
      </c>
      <c r="K47" s="50">
        <f t="shared" si="2"/>
        <v>12.173618175652763</v>
      </c>
      <c r="L47" s="50">
        <f>VLOOKUP($A47,'Data shares'!$C:$FB,118)</f>
        <v>0.72</v>
      </c>
      <c r="M47" s="50">
        <f>VLOOKUP($A47,'Data shares'!$C:$FB,119)</f>
        <v>0.76</v>
      </c>
      <c r="N47" s="50">
        <f>VLOOKUP($A47,'Data shares'!$C:$FB,121)*100</f>
        <v>-5.26</v>
      </c>
      <c r="O47" s="50">
        <f>VLOOKUP($A47,'Data shares'!$C:$FB,124)</f>
        <v>0.42</v>
      </c>
      <c r="P47" s="50">
        <f>VLOOKUP($A47,'Data shares'!$C:$FB,125)</f>
        <v>0.52</v>
      </c>
      <c r="Q47" s="50">
        <f>VLOOKUP($A47,'Data shares'!$C:$FB,127)*100</f>
        <v>-19.23</v>
      </c>
    </row>
    <row r="48" spans="1:17" x14ac:dyDescent="0.25">
      <c r="A48" s="97" t="str">
        <f>'Snapshot (Value)'!A52</f>
        <v>CGPOWER</v>
      </c>
      <c r="B48" s="140">
        <f>VLOOKUP($A48,'Data shares'!$C:$FB,7)</f>
        <v>737.3</v>
      </c>
      <c r="C48" s="140">
        <f>VLOOKUP($A48,'Data shares'!$C:$FB,3)</f>
        <v>740</v>
      </c>
      <c r="D48" s="140">
        <f>VLOOKUP($A48,'Data shares'!$C:$FB,4)</f>
        <v>727.6</v>
      </c>
      <c r="E48" s="50">
        <f t="shared" si="0"/>
        <v>1.7042330951071987</v>
      </c>
      <c r="F48" s="49">
        <f>VLOOKUP($A48,'Data shares'!$C:$FB,98)</f>
        <v>25800900</v>
      </c>
      <c r="G48" s="49">
        <f>VLOOKUP($A48,'Data shares'!$C:$FB,99)</f>
        <v>24163800</v>
      </c>
      <c r="H48" s="50">
        <f t="shared" si="1"/>
        <v>6.7750105529759397</v>
      </c>
      <c r="I48" s="49">
        <f>VLOOKUP($A48,'Data shares'!$C:$FB,66)</f>
        <v>26679800</v>
      </c>
      <c r="J48" s="49">
        <f>VLOOKUP($A48,'Data shares'!$C:$FB,67)</f>
        <v>17901850</v>
      </c>
      <c r="K48" s="50">
        <f t="shared" si="2"/>
        <v>32.901108703963303</v>
      </c>
      <c r="L48" s="50">
        <f>VLOOKUP($A48,'Data shares'!$C:$FB,118)</f>
        <v>0.66</v>
      </c>
      <c r="M48" s="50">
        <f>VLOOKUP($A48,'Data shares'!$C:$FB,119)</f>
        <v>0.69</v>
      </c>
      <c r="N48" s="50">
        <f>VLOOKUP($A48,'Data shares'!$C:$FB,121)*100</f>
        <v>-4.3499999999999996</v>
      </c>
      <c r="O48" s="50">
        <f>VLOOKUP($A48,'Data shares'!$C:$FB,124)</f>
        <v>0.33</v>
      </c>
      <c r="P48" s="50">
        <f>VLOOKUP($A48,'Data shares'!$C:$FB,125)</f>
        <v>0.39</v>
      </c>
      <c r="Q48" s="50">
        <f>VLOOKUP($A48,'Data shares'!$C:$FB,127)*100</f>
        <v>-15.379999999999999</v>
      </c>
    </row>
    <row r="49" spans="1:17" x14ac:dyDescent="0.25">
      <c r="A49" s="97" t="str">
        <f>'Snapshot (Value)'!A53</f>
        <v>CHOLAFIN</v>
      </c>
      <c r="B49" s="140">
        <f>VLOOKUP($A49,'Data shares'!$C:$FB,7)</f>
        <v>1526.1</v>
      </c>
      <c r="C49" s="140">
        <f>VLOOKUP($A49,'Data shares'!$C:$FB,3)</f>
        <v>1532</v>
      </c>
      <c r="D49" s="140">
        <f>VLOOKUP($A49,'Data shares'!$C:$FB,4)</f>
        <v>1561.1</v>
      </c>
      <c r="E49" s="50">
        <f t="shared" si="0"/>
        <v>-1.8640702069053816</v>
      </c>
      <c r="F49" s="49">
        <f>VLOOKUP($A49,'Data shares'!$C:$FB,98)</f>
        <v>24604375</v>
      </c>
      <c r="G49" s="49">
        <f>VLOOKUP($A49,'Data shares'!$C:$FB,99)</f>
        <v>23756250</v>
      </c>
      <c r="H49" s="50">
        <f t="shared" si="1"/>
        <v>3.5701131281241776</v>
      </c>
      <c r="I49" s="49">
        <f>VLOOKUP($A49,'Data shares'!$C:$FB,66)</f>
        <v>9672500</v>
      </c>
      <c r="J49" s="49">
        <f>VLOOKUP($A49,'Data shares'!$C:$FB,67)</f>
        <v>11828750</v>
      </c>
      <c r="K49" s="50">
        <f t="shared" si="2"/>
        <v>-22.292582062548462</v>
      </c>
      <c r="L49" s="50">
        <f>VLOOKUP($A49,'Data shares'!$C:$FB,118)</f>
        <v>0.77</v>
      </c>
      <c r="M49" s="50">
        <f>VLOOKUP($A49,'Data shares'!$C:$FB,119)</f>
        <v>0.85</v>
      </c>
      <c r="N49" s="50">
        <f>VLOOKUP($A49,'Data shares'!$C:$FB,121)*100</f>
        <v>-9.41</v>
      </c>
      <c r="O49" s="50">
        <f>VLOOKUP($A49,'Data shares'!$C:$FB,124)</f>
        <v>0.79</v>
      </c>
      <c r="P49" s="50">
        <f>VLOOKUP($A49,'Data shares'!$C:$FB,125)</f>
        <v>1.1299999999999999</v>
      </c>
      <c r="Q49" s="50">
        <f>VLOOKUP($A49,'Data shares'!$C:$FB,127)*100</f>
        <v>-30.09</v>
      </c>
    </row>
    <row r="50" spans="1:17" x14ac:dyDescent="0.25">
      <c r="A50" s="97" t="str">
        <f>'Snapshot (Value)'!A54</f>
        <v>CIPLA</v>
      </c>
      <c r="B50" s="140">
        <f>VLOOKUP($A50,'Data shares'!$C:$FB,7)</f>
        <v>1324.3</v>
      </c>
      <c r="C50" s="140">
        <f>VLOOKUP($A50,'Data shares'!$C:$FB,3)</f>
        <v>1329.8</v>
      </c>
      <c r="D50" s="140">
        <f>VLOOKUP($A50,'Data shares'!$C:$FB,4)</f>
        <v>1330.2</v>
      </c>
      <c r="E50" s="50">
        <f t="shared" si="0"/>
        <v>-3.0070666065260182E-2</v>
      </c>
      <c r="F50" s="49">
        <f>VLOOKUP($A50,'Data shares'!$C:$FB,98)</f>
        <v>24705000</v>
      </c>
      <c r="G50" s="49">
        <f>VLOOKUP($A50,'Data shares'!$C:$FB,99)</f>
        <v>23625000</v>
      </c>
      <c r="H50" s="50">
        <f t="shared" si="1"/>
        <v>4.5714285714285712</v>
      </c>
      <c r="I50" s="49">
        <f>VLOOKUP($A50,'Data shares'!$C:$FB,66)</f>
        <v>13875375</v>
      </c>
      <c r="J50" s="49">
        <f>VLOOKUP($A50,'Data shares'!$C:$FB,67)</f>
        <v>7492875</v>
      </c>
      <c r="K50" s="50">
        <f t="shared" si="2"/>
        <v>45.998756790357014</v>
      </c>
      <c r="L50" s="50">
        <f>VLOOKUP($A50,'Data shares'!$C:$FB,118)</f>
        <v>0.41</v>
      </c>
      <c r="M50" s="50">
        <f>VLOOKUP($A50,'Data shares'!$C:$FB,119)</f>
        <v>0.42</v>
      </c>
      <c r="N50" s="50">
        <f>VLOOKUP($A50,'Data shares'!$C:$FB,121)*100</f>
        <v>-2.3800000000000003</v>
      </c>
      <c r="O50" s="50">
        <f>VLOOKUP($A50,'Data shares'!$C:$FB,124)</f>
        <v>0.32</v>
      </c>
      <c r="P50" s="50">
        <f>VLOOKUP($A50,'Data shares'!$C:$FB,125)</f>
        <v>0.33</v>
      </c>
      <c r="Q50" s="50">
        <f>VLOOKUP($A50,'Data shares'!$C:$FB,127)*100</f>
        <v>-3.0300000000000002</v>
      </c>
    </row>
    <row r="51" spans="1:17" x14ac:dyDescent="0.25">
      <c r="A51" s="97" t="str">
        <f>'Snapshot (Value)'!A55</f>
        <v>COALINDIA</v>
      </c>
      <c r="B51" s="140">
        <f>VLOOKUP($A51,'Data shares'!$C:$FB,7)</f>
        <v>470.1</v>
      </c>
      <c r="C51" s="140">
        <f>VLOOKUP($A51,'Data shares'!$C:$FB,3)</f>
        <v>470.55</v>
      </c>
      <c r="D51" s="140">
        <f>VLOOKUP($A51,'Data shares'!$C:$FB,4)</f>
        <v>448.45</v>
      </c>
      <c r="E51" s="50">
        <f t="shared" si="0"/>
        <v>4.9280856282751753</v>
      </c>
      <c r="F51" s="49">
        <f>VLOOKUP($A51,'Data shares'!$C:$FB,98)</f>
        <v>113528250</v>
      </c>
      <c r="G51" s="49">
        <f>VLOOKUP($A51,'Data shares'!$C:$FB,99)</f>
        <v>102832200</v>
      </c>
      <c r="H51" s="50">
        <f t="shared" si="1"/>
        <v>10.401459854014599</v>
      </c>
      <c r="I51" s="49">
        <f>VLOOKUP($A51,'Data shares'!$C:$FB,66)</f>
        <v>314811900</v>
      </c>
      <c r="J51" s="49">
        <f>VLOOKUP($A51,'Data shares'!$C:$FB,67)</f>
        <v>111302100</v>
      </c>
      <c r="K51" s="50">
        <f t="shared" si="2"/>
        <v>64.644887947374286</v>
      </c>
      <c r="L51" s="50">
        <f>VLOOKUP($A51,'Data shares'!$C:$FB,118)</f>
        <v>0.74</v>
      </c>
      <c r="M51" s="50">
        <f>VLOOKUP($A51,'Data shares'!$C:$FB,119)</f>
        <v>0.65</v>
      </c>
      <c r="N51" s="50">
        <f>VLOOKUP($A51,'Data shares'!$C:$FB,121)*100</f>
        <v>13.850000000000001</v>
      </c>
      <c r="O51" s="50">
        <f>VLOOKUP($A51,'Data shares'!$C:$FB,124)</f>
        <v>0.4</v>
      </c>
      <c r="P51" s="50">
        <f>VLOOKUP($A51,'Data shares'!$C:$FB,125)</f>
        <v>0.48</v>
      </c>
      <c r="Q51" s="50">
        <f>VLOOKUP($A51,'Data shares'!$C:$FB,127)*100</f>
        <v>-16.669999999999998</v>
      </c>
    </row>
    <row r="52" spans="1:17" x14ac:dyDescent="0.25">
      <c r="A52" s="97" t="str">
        <f>'Snapshot (Value)'!A56</f>
        <v>COFORGE</v>
      </c>
      <c r="B52" s="140">
        <f>VLOOKUP($A52,'Data shares'!$C:$FB,7)</f>
        <v>1107.9000000000001</v>
      </c>
      <c r="C52" s="140">
        <f>VLOOKUP($A52,'Data shares'!$C:$FB,3)</f>
        <v>1110.5999999999999</v>
      </c>
      <c r="D52" s="140">
        <f>VLOOKUP($A52,'Data shares'!$C:$FB,4)</f>
        <v>1113.0999999999999</v>
      </c>
      <c r="E52" s="50">
        <f t="shared" si="0"/>
        <v>-0.22459796963435452</v>
      </c>
      <c r="F52" s="49">
        <f>VLOOKUP($A52,'Data shares'!$C:$FB,98)</f>
        <v>45467250</v>
      </c>
      <c r="G52" s="49">
        <f>VLOOKUP($A52,'Data shares'!$C:$FB,99)</f>
        <v>44524875</v>
      </c>
      <c r="H52" s="50">
        <f t="shared" si="1"/>
        <v>2.1165135219357718</v>
      </c>
      <c r="I52" s="49">
        <f>VLOOKUP($A52,'Data shares'!$C:$FB,66)</f>
        <v>25178250</v>
      </c>
      <c r="J52" s="49">
        <f>VLOOKUP($A52,'Data shares'!$C:$FB,67)</f>
        <v>21008625</v>
      </c>
      <c r="K52" s="50">
        <f t="shared" si="2"/>
        <v>16.560424175627773</v>
      </c>
      <c r="L52" s="50">
        <f>VLOOKUP($A52,'Data shares'!$C:$FB,118)</f>
        <v>0.37</v>
      </c>
      <c r="M52" s="50">
        <f>VLOOKUP($A52,'Data shares'!$C:$FB,119)</f>
        <v>0.37</v>
      </c>
      <c r="N52" s="50">
        <f>VLOOKUP($A52,'Data shares'!$C:$FB,121)*100</f>
        <v>0</v>
      </c>
      <c r="O52" s="50">
        <f>VLOOKUP($A52,'Data shares'!$C:$FB,124)</f>
        <v>0.44</v>
      </c>
      <c r="P52" s="50">
        <f>VLOOKUP($A52,'Data shares'!$C:$FB,125)</f>
        <v>0.4</v>
      </c>
      <c r="Q52" s="50">
        <f>VLOOKUP($A52,'Data shares'!$C:$FB,127)*100</f>
        <v>10</v>
      </c>
    </row>
    <row r="53" spans="1:17" x14ac:dyDescent="0.25">
      <c r="A53" s="97" t="str">
        <f>'Snapshot (Value)'!A57</f>
        <v>COLPAL</v>
      </c>
      <c r="B53" s="140">
        <f>VLOOKUP($A53,'Data shares'!$C:$FB,7)</f>
        <v>1975.8</v>
      </c>
      <c r="C53" s="140">
        <f>VLOOKUP($A53,'Data shares'!$C:$FB,3)</f>
        <v>1973.2</v>
      </c>
      <c r="D53" s="140">
        <f>VLOOKUP($A53,'Data shares'!$C:$FB,4)</f>
        <v>2049.6999999999998</v>
      </c>
      <c r="E53" s="50">
        <f t="shared" si="0"/>
        <v>-3.7322535005122592</v>
      </c>
      <c r="F53" s="49">
        <f>VLOOKUP($A53,'Data shares'!$C:$FB,98)</f>
        <v>13413825</v>
      </c>
      <c r="G53" s="49">
        <f>VLOOKUP($A53,'Data shares'!$C:$FB,99)</f>
        <v>12224250</v>
      </c>
      <c r="H53" s="50">
        <f t="shared" si="1"/>
        <v>9.7312718571691512</v>
      </c>
      <c r="I53" s="49">
        <f>VLOOKUP($A53,'Data shares'!$C:$FB,66)</f>
        <v>13098600</v>
      </c>
      <c r="J53" s="49">
        <f>VLOOKUP($A53,'Data shares'!$C:$FB,67)</f>
        <v>31322475</v>
      </c>
      <c r="K53" s="50">
        <f t="shared" si="2"/>
        <v>-139.12841830424625</v>
      </c>
      <c r="L53" s="50">
        <f>VLOOKUP($A53,'Data shares'!$C:$FB,118)</f>
        <v>0.61</v>
      </c>
      <c r="M53" s="50">
        <f>VLOOKUP($A53,'Data shares'!$C:$FB,119)</f>
        <v>0.65</v>
      </c>
      <c r="N53" s="50">
        <f>VLOOKUP($A53,'Data shares'!$C:$FB,121)*100</f>
        <v>-6.15</v>
      </c>
      <c r="O53" s="50">
        <f>VLOOKUP($A53,'Data shares'!$C:$FB,124)</f>
        <v>0.62</v>
      </c>
      <c r="P53" s="50">
        <f>VLOOKUP($A53,'Data shares'!$C:$FB,125)</f>
        <v>1.17</v>
      </c>
      <c r="Q53" s="50">
        <f>VLOOKUP($A53,'Data shares'!$C:$FB,127)*100</f>
        <v>-47.010000000000005</v>
      </c>
    </row>
    <row r="54" spans="1:17" x14ac:dyDescent="0.25">
      <c r="A54" s="97" t="str">
        <f>'Snapshot (Value)'!A58</f>
        <v>CONCOR</v>
      </c>
      <c r="B54" s="140">
        <f>VLOOKUP($A54,'Data shares'!$C:$FB,7)</f>
        <v>467.15</v>
      </c>
      <c r="C54" s="140">
        <f>VLOOKUP($A54,'Data shares'!$C:$FB,3)</f>
        <v>469.1</v>
      </c>
      <c r="D54" s="140">
        <f>VLOOKUP($A54,'Data shares'!$C:$FB,4)</f>
        <v>470.8</v>
      </c>
      <c r="E54" s="50">
        <f t="shared" si="0"/>
        <v>-0.36108751062021843</v>
      </c>
      <c r="F54" s="49">
        <f>VLOOKUP($A54,'Data shares'!$C:$FB,98)</f>
        <v>47501250</v>
      </c>
      <c r="G54" s="49">
        <f>VLOOKUP($A54,'Data shares'!$C:$FB,99)</f>
        <v>46695000</v>
      </c>
      <c r="H54" s="50">
        <f t="shared" si="1"/>
        <v>1.7266302601991648</v>
      </c>
      <c r="I54" s="49">
        <f>VLOOKUP($A54,'Data shares'!$C:$FB,66)</f>
        <v>9957500</v>
      </c>
      <c r="J54" s="49">
        <f>VLOOKUP($A54,'Data shares'!$C:$FB,67)</f>
        <v>10447500</v>
      </c>
      <c r="K54" s="50">
        <f t="shared" si="2"/>
        <v>-4.9209138840070299</v>
      </c>
      <c r="L54" s="50">
        <f>VLOOKUP($A54,'Data shares'!$C:$FB,118)</f>
        <v>0.72</v>
      </c>
      <c r="M54" s="50">
        <f>VLOOKUP($A54,'Data shares'!$C:$FB,119)</f>
        <v>0.73</v>
      </c>
      <c r="N54" s="50">
        <f>VLOOKUP($A54,'Data shares'!$C:$FB,121)*100</f>
        <v>-1.37</v>
      </c>
      <c r="O54" s="50">
        <f>VLOOKUP($A54,'Data shares'!$C:$FB,124)</f>
        <v>0.39</v>
      </c>
      <c r="P54" s="50">
        <f>VLOOKUP($A54,'Data shares'!$C:$FB,125)</f>
        <v>0.5</v>
      </c>
      <c r="Q54" s="50">
        <f>VLOOKUP($A54,'Data shares'!$C:$FB,127)*100</f>
        <v>-22</v>
      </c>
    </row>
    <row r="55" spans="1:17" x14ac:dyDescent="0.25">
      <c r="A55" s="97" t="str">
        <f>'Snapshot (Value)'!A59</f>
        <v>CROMPTON</v>
      </c>
      <c r="B55" s="140">
        <f>VLOOKUP($A55,'Data shares'!$C:$FB,7)</f>
        <v>247.2</v>
      </c>
      <c r="C55" s="140">
        <f>VLOOKUP($A55,'Data shares'!$C:$FB,3)</f>
        <v>247.7</v>
      </c>
      <c r="D55" s="140">
        <f>VLOOKUP($A55,'Data shares'!$C:$FB,4)</f>
        <v>248.25</v>
      </c>
      <c r="E55" s="50">
        <f t="shared" si="0"/>
        <v>-0.22155085599194821</v>
      </c>
      <c r="F55" s="49">
        <f>VLOOKUP($A55,'Data shares'!$C:$FB,98)</f>
        <v>61920000</v>
      </c>
      <c r="G55" s="49">
        <f>VLOOKUP($A55,'Data shares'!$C:$FB,99)</f>
        <v>61234200</v>
      </c>
      <c r="H55" s="50">
        <f t="shared" si="1"/>
        <v>1.1199623739674889</v>
      </c>
      <c r="I55" s="49">
        <f>VLOOKUP($A55,'Data shares'!$C:$FB,66)</f>
        <v>22005000</v>
      </c>
      <c r="J55" s="49">
        <f>VLOOKUP($A55,'Data shares'!$C:$FB,67)</f>
        <v>11379600</v>
      </c>
      <c r="K55" s="50">
        <f t="shared" si="2"/>
        <v>48.286298568507156</v>
      </c>
      <c r="L55" s="50">
        <f>VLOOKUP($A55,'Data shares'!$C:$FB,118)</f>
        <v>0.52</v>
      </c>
      <c r="M55" s="50">
        <f>VLOOKUP($A55,'Data shares'!$C:$FB,119)</f>
        <v>0.53</v>
      </c>
      <c r="N55" s="50">
        <f>VLOOKUP($A55,'Data shares'!$C:$FB,121)*100</f>
        <v>-1.8900000000000001</v>
      </c>
      <c r="O55" s="50">
        <f>VLOOKUP($A55,'Data shares'!$C:$FB,124)</f>
        <v>0.28000000000000003</v>
      </c>
      <c r="P55" s="50">
        <f>VLOOKUP($A55,'Data shares'!$C:$FB,125)</f>
        <v>0.33</v>
      </c>
      <c r="Q55" s="50">
        <f>VLOOKUP($A55,'Data shares'!$C:$FB,127)*100</f>
        <v>-15.15</v>
      </c>
    </row>
    <row r="56" spans="1:17" x14ac:dyDescent="0.25">
      <c r="A56" s="97" t="str">
        <f>'Snapshot (Value)'!A60</f>
        <v>CUMMINSIND</v>
      </c>
      <c r="B56" s="140">
        <f>VLOOKUP($A56,'Data shares'!$C:$FB,7)</f>
        <v>4753.6000000000004</v>
      </c>
      <c r="C56" s="140">
        <f>VLOOKUP($A56,'Data shares'!$C:$FB,3)</f>
        <v>4759.5</v>
      </c>
      <c r="D56" s="140">
        <f>VLOOKUP($A56,'Data shares'!$C:$FB,4)</f>
        <v>4634.8</v>
      </c>
      <c r="E56" s="50">
        <f t="shared" si="0"/>
        <v>2.6905152325882411</v>
      </c>
      <c r="F56" s="49">
        <f>VLOOKUP($A56,'Data shares'!$C:$FB,98)</f>
        <v>5354800</v>
      </c>
      <c r="G56" s="49">
        <f>VLOOKUP($A56,'Data shares'!$C:$FB,99)</f>
        <v>5351200</v>
      </c>
      <c r="H56" s="50">
        <f t="shared" si="1"/>
        <v>6.7274629989535054E-2</v>
      </c>
      <c r="I56" s="49">
        <f>VLOOKUP($A56,'Data shares'!$C:$FB,66)</f>
        <v>5977000</v>
      </c>
      <c r="J56" s="49">
        <f>VLOOKUP($A56,'Data shares'!$C:$FB,67)</f>
        <v>4642400</v>
      </c>
      <c r="K56" s="50">
        <f t="shared" si="2"/>
        <v>22.328927555629914</v>
      </c>
      <c r="L56" s="50">
        <f>VLOOKUP($A56,'Data shares'!$C:$FB,118)</f>
        <v>0.76</v>
      </c>
      <c r="M56" s="50">
        <f>VLOOKUP($A56,'Data shares'!$C:$FB,119)</f>
        <v>0.69</v>
      </c>
      <c r="N56" s="50">
        <f>VLOOKUP($A56,'Data shares'!$C:$FB,121)*100</f>
        <v>10.14</v>
      </c>
      <c r="O56" s="50">
        <f>VLOOKUP($A56,'Data shares'!$C:$FB,124)</f>
        <v>0.47</v>
      </c>
      <c r="P56" s="50">
        <f>VLOOKUP($A56,'Data shares'!$C:$FB,125)</f>
        <v>0.3</v>
      </c>
      <c r="Q56" s="50">
        <f>VLOOKUP($A56,'Data shares'!$C:$FB,127)*100</f>
        <v>56.67</v>
      </c>
    </row>
    <row r="57" spans="1:17" x14ac:dyDescent="0.25">
      <c r="A57" s="97" t="str">
        <f>'Snapshot (Value)'!A61</f>
        <v>DABUR</v>
      </c>
      <c r="B57" s="140">
        <f>VLOOKUP($A57,'Data shares'!$C:$FB,7)</f>
        <v>459.35</v>
      </c>
      <c r="C57" s="140">
        <f>VLOOKUP($A57,'Data shares'!$C:$FB,3)</f>
        <v>461.4</v>
      </c>
      <c r="D57" s="140">
        <f>VLOOKUP($A57,'Data shares'!$C:$FB,4)</f>
        <v>472.35</v>
      </c>
      <c r="E57" s="50">
        <f t="shared" si="0"/>
        <v>-2.3181962527786695</v>
      </c>
      <c r="F57" s="49">
        <f>VLOOKUP($A57,'Data shares'!$C:$FB,98)</f>
        <v>43467500</v>
      </c>
      <c r="G57" s="49">
        <f>VLOOKUP($A57,'Data shares'!$C:$FB,99)</f>
        <v>41707500</v>
      </c>
      <c r="H57" s="50">
        <f t="shared" si="1"/>
        <v>4.2198645327578967</v>
      </c>
      <c r="I57" s="49">
        <f>VLOOKUP($A57,'Data shares'!$C:$FB,66)</f>
        <v>16941250</v>
      </c>
      <c r="J57" s="49">
        <f>VLOOKUP($A57,'Data shares'!$C:$FB,67)</f>
        <v>10058750</v>
      </c>
      <c r="K57" s="50">
        <f t="shared" si="2"/>
        <v>40.625691728768537</v>
      </c>
      <c r="L57" s="50">
        <f>VLOOKUP($A57,'Data shares'!$C:$FB,118)</f>
        <v>0.54</v>
      </c>
      <c r="M57" s="50">
        <f>VLOOKUP($A57,'Data shares'!$C:$FB,119)</f>
        <v>0.56000000000000005</v>
      </c>
      <c r="N57" s="50">
        <f>VLOOKUP($A57,'Data shares'!$C:$FB,121)*100</f>
        <v>-3.5700000000000003</v>
      </c>
      <c r="O57" s="50">
        <f>VLOOKUP($A57,'Data shares'!$C:$FB,124)</f>
        <v>0.9</v>
      </c>
      <c r="P57" s="50">
        <f>VLOOKUP($A57,'Data shares'!$C:$FB,125)</f>
        <v>0.95</v>
      </c>
      <c r="Q57" s="50">
        <f>VLOOKUP($A57,'Data shares'!$C:$FB,127)*100</f>
        <v>-5.26</v>
      </c>
    </row>
    <row r="58" spans="1:17" x14ac:dyDescent="0.25">
      <c r="A58" s="97" t="str">
        <f>'Snapshot (Value)'!A62</f>
        <v>DALBHARAT</v>
      </c>
      <c r="B58" s="140">
        <f>VLOOKUP($A58,'Data shares'!$C:$FB,7)</f>
        <v>1894.5</v>
      </c>
      <c r="C58" s="140">
        <f>VLOOKUP($A58,'Data shares'!$C:$FB,3)</f>
        <v>1896.3</v>
      </c>
      <c r="D58" s="140">
        <f>VLOOKUP($A58,'Data shares'!$C:$FB,4)</f>
        <v>1857.8</v>
      </c>
      <c r="E58" s="50">
        <f t="shared" si="0"/>
        <v>2.0723436322532027</v>
      </c>
      <c r="F58" s="49">
        <f>VLOOKUP($A58,'Data shares'!$C:$FB,98)</f>
        <v>5641350</v>
      </c>
      <c r="G58" s="49">
        <f>VLOOKUP($A58,'Data shares'!$C:$FB,99)</f>
        <v>5053100</v>
      </c>
      <c r="H58" s="50">
        <f t="shared" si="1"/>
        <v>11.641368664780035</v>
      </c>
      <c r="I58" s="49">
        <f>VLOOKUP($A58,'Data shares'!$C:$FB,66)</f>
        <v>9070425</v>
      </c>
      <c r="J58" s="49">
        <f>VLOOKUP($A58,'Data shares'!$C:$FB,67)</f>
        <v>5427175</v>
      </c>
      <c r="K58" s="50">
        <f t="shared" si="2"/>
        <v>40.166254613207208</v>
      </c>
      <c r="L58" s="50">
        <f>VLOOKUP($A58,'Data shares'!$C:$FB,118)</f>
        <v>1.34</v>
      </c>
      <c r="M58" s="50">
        <f>VLOOKUP($A58,'Data shares'!$C:$FB,119)</f>
        <v>1.2</v>
      </c>
      <c r="N58" s="50">
        <f>VLOOKUP($A58,'Data shares'!$C:$FB,121)*100</f>
        <v>11.67</v>
      </c>
      <c r="O58" s="50">
        <f>VLOOKUP($A58,'Data shares'!$C:$FB,124)</f>
        <v>4.1100000000000003</v>
      </c>
      <c r="P58" s="50">
        <f>VLOOKUP($A58,'Data shares'!$C:$FB,125)</f>
        <v>1.54</v>
      </c>
      <c r="Q58" s="50">
        <f>VLOOKUP($A58,'Data shares'!$C:$FB,127)*100</f>
        <v>166.88</v>
      </c>
    </row>
    <row r="59" spans="1:17" x14ac:dyDescent="0.25">
      <c r="A59" s="97" t="str">
        <f>'Snapshot (Value)'!A63</f>
        <v>DELHIVERY</v>
      </c>
      <c r="B59" s="140">
        <f>VLOOKUP($A59,'Data shares'!$C:$FB,7)</f>
        <v>408.2</v>
      </c>
      <c r="C59" s="140">
        <f>VLOOKUP($A59,'Data shares'!$C:$FB,3)</f>
        <v>409.9</v>
      </c>
      <c r="D59" s="140">
        <f>VLOOKUP($A59,'Data shares'!$C:$FB,4)</f>
        <v>418.65</v>
      </c>
      <c r="E59" s="50">
        <f t="shared" si="0"/>
        <v>-2.0900513555475935</v>
      </c>
      <c r="F59" s="49">
        <f>VLOOKUP($A59,'Data shares'!$C:$FB,98)</f>
        <v>36258550</v>
      </c>
      <c r="G59" s="49">
        <f>VLOOKUP($A59,'Data shares'!$C:$FB,99)</f>
        <v>34658725</v>
      </c>
      <c r="H59" s="50">
        <f t="shared" si="1"/>
        <v>4.615937256780219</v>
      </c>
      <c r="I59" s="49">
        <f>VLOOKUP($A59,'Data shares'!$C:$FB,66)</f>
        <v>12661650</v>
      </c>
      <c r="J59" s="49">
        <f>VLOOKUP($A59,'Data shares'!$C:$FB,67)</f>
        <v>7561300</v>
      </c>
      <c r="K59" s="50">
        <f t="shared" si="2"/>
        <v>40.281874795149129</v>
      </c>
      <c r="L59" s="50">
        <f>VLOOKUP($A59,'Data shares'!$C:$FB,118)</f>
        <v>0.56999999999999995</v>
      </c>
      <c r="M59" s="50">
        <f>VLOOKUP($A59,'Data shares'!$C:$FB,119)</f>
        <v>0.57999999999999996</v>
      </c>
      <c r="N59" s="50">
        <f>VLOOKUP($A59,'Data shares'!$C:$FB,121)*100</f>
        <v>-1.72</v>
      </c>
      <c r="O59" s="50">
        <f>VLOOKUP($A59,'Data shares'!$C:$FB,124)</f>
        <v>0.72</v>
      </c>
      <c r="P59" s="50">
        <f>VLOOKUP($A59,'Data shares'!$C:$FB,125)</f>
        <v>0.86</v>
      </c>
      <c r="Q59" s="50">
        <f>VLOOKUP($A59,'Data shares'!$C:$FB,127)*100</f>
        <v>-16.28</v>
      </c>
    </row>
    <row r="60" spans="1:17" x14ac:dyDescent="0.25">
      <c r="A60" s="97" t="str">
        <f>'Snapshot (Value)'!A64</f>
        <v>DIVISLAB</v>
      </c>
      <c r="B60" s="140">
        <f>VLOOKUP($A60,'Data shares'!$C:$FB,7)</f>
        <v>6282</v>
      </c>
      <c r="C60" s="140">
        <f>VLOOKUP($A60,'Data shares'!$C:$FB,3)</f>
        <v>6290.5</v>
      </c>
      <c r="D60" s="140">
        <f>VLOOKUP($A60,'Data shares'!$C:$FB,4)</f>
        <v>6367</v>
      </c>
      <c r="E60" s="50">
        <f t="shared" si="0"/>
        <v>-1.2015077744620701</v>
      </c>
      <c r="F60" s="49">
        <f>VLOOKUP($A60,'Data shares'!$C:$FB,98)</f>
        <v>3928500</v>
      </c>
      <c r="G60" s="49">
        <f>VLOOKUP($A60,'Data shares'!$C:$FB,99)</f>
        <v>4069700</v>
      </c>
      <c r="H60" s="50">
        <f t="shared" si="1"/>
        <v>-3.4695432095731871</v>
      </c>
      <c r="I60" s="49">
        <f>VLOOKUP($A60,'Data shares'!$C:$FB,66)</f>
        <v>1948300</v>
      </c>
      <c r="J60" s="49">
        <f>VLOOKUP($A60,'Data shares'!$C:$FB,67)</f>
        <v>2053700</v>
      </c>
      <c r="K60" s="50">
        <f t="shared" si="2"/>
        <v>-5.4098444798029046</v>
      </c>
      <c r="L60" s="50">
        <f>VLOOKUP($A60,'Data shares'!$C:$FB,118)</f>
        <v>0.6</v>
      </c>
      <c r="M60" s="50">
        <f>VLOOKUP($A60,'Data shares'!$C:$FB,119)</f>
        <v>0.56000000000000005</v>
      </c>
      <c r="N60" s="50">
        <f>VLOOKUP($A60,'Data shares'!$C:$FB,121)*100</f>
        <v>7.1400000000000006</v>
      </c>
      <c r="O60" s="50">
        <f>VLOOKUP($A60,'Data shares'!$C:$FB,124)</f>
        <v>0.48</v>
      </c>
      <c r="P60" s="50">
        <f>VLOOKUP($A60,'Data shares'!$C:$FB,125)</f>
        <v>0.37</v>
      </c>
      <c r="Q60" s="50">
        <f>VLOOKUP($A60,'Data shares'!$C:$FB,127)*100</f>
        <v>29.73</v>
      </c>
    </row>
    <row r="61" spans="1:17" x14ac:dyDescent="0.25">
      <c r="A61" s="97" t="str">
        <f>'Snapshot (Value)'!A65</f>
        <v>DIXON</v>
      </c>
      <c r="B61" s="140">
        <f>VLOOKUP($A61,'Data shares'!$C:$FB,7)</f>
        <v>10803</v>
      </c>
      <c r="C61" s="140">
        <f>VLOOKUP($A61,'Data shares'!$C:$FB,3)</f>
        <v>10737</v>
      </c>
      <c r="D61" s="140">
        <f>VLOOKUP($A61,'Data shares'!$C:$FB,4)</f>
        <v>10572</v>
      </c>
      <c r="E61" s="50">
        <f t="shared" si="0"/>
        <v>1.5607264472190692</v>
      </c>
      <c r="F61" s="49">
        <f>VLOOKUP($A61,'Data shares'!$C:$FB,98)</f>
        <v>6537600</v>
      </c>
      <c r="G61" s="49">
        <f>VLOOKUP($A61,'Data shares'!$C:$FB,99)</f>
        <v>6507050</v>
      </c>
      <c r="H61" s="50">
        <f t="shared" si="1"/>
        <v>0.46949078307374309</v>
      </c>
      <c r="I61" s="49">
        <f>VLOOKUP($A61,'Data shares'!$C:$FB,66)</f>
        <v>10318350</v>
      </c>
      <c r="J61" s="49">
        <f>VLOOKUP($A61,'Data shares'!$C:$FB,67)</f>
        <v>14636100</v>
      </c>
      <c r="K61" s="50">
        <f t="shared" si="2"/>
        <v>-41.845353181467964</v>
      </c>
      <c r="L61" s="50">
        <f>VLOOKUP($A61,'Data shares'!$C:$FB,118)</f>
        <v>0.63</v>
      </c>
      <c r="M61" s="50">
        <f>VLOOKUP($A61,'Data shares'!$C:$FB,119)</f>
        <v>0.59</v>
      </c>
      <c r="N61" s="50">
        <f>VLOOKUP($A61,'Data shares'!$C:$FB,121)*100</f>
        <v>6.78</v>
      </c>
      <c r="O61" s="50">
        <f>VLOOKUP($A61,'Data shares'!$C:$FB,124)</f>
        <v>0.39</v>
      </c>
      <c r="P61" s="50">
        <f>VLOOKUP($A61,'Data shares'!$C:$FB,125)</f>
        <v>0.46</v>
      </c>
      <c r="Q61" s="50">
        <f>VLOOKUP($A61,'Data shares'!$C:$FB,127)*100</f>
        <v>-15.22</v>
      </c>
    </row>
    <row r="62" spans="1:17" x14ac:dyDescent="0.25">
      <c r="A62" s="97" t="str">
        <f>'Snapshot (Value)'!A66</f>
        <v>DLF</v>
      </c>
      <c r="B62" s="140">
        <f>VLOOKUP($A62,'Data shares'!$C:$FB,7)</f>
        <v>558.1</v>
      </c>
      <c r="C62" s="140">
        <f>VLOOKUP($A62,'Data shares'!$C:$FB,3)</f>
        <v>560.15</v>
      </c>
      <c r="D62" s="140">
        <f>VLOOKUP($A62,'Data shares'!$C:$FB,4)</f>
        <v>574.20000000000005</v>
      </c>
      <c r="E62" s="50">
        <f t="shared" si="0"/>
        <v>-2.4468826192964239</v>
      </c>
      <c r="F62" s="49">
        <f>VLOOKUP($A62,'Data shares'!$C:$FB,98)</f>
        <v>77014575</v>
      </c>
      <c r="G62" s="49">
        <f>VLOOKUP($A62,'Data shares'!$C:$FB,99)</f>
        <v>74886075</v>
      </c>
      <c r="H62" s="50">
        <f t="shared" si="1"/>
        <v>2.8423174802525035</v>
      </c>
      <c r="I62" s="49">
        <f>VLOOKUP($A62,'Data shares'!$C:$FB,66)</f>
        <v>28535100</v>
      </c>
      <c r="J62" s="49">
        <f>VLOOKUP($A62,'Data shares'!$C:$FB,67)</f>
        <v>26746500</v>
      </c>
      <c r="K62" s="50">
        <f t="shared" si="2"/>
        <v>6.2680698508153112</v>
      </c>
      <c r="L62" s="50">
        <f>VLOOKUP($A62,'Data shares'!$C:$FB,118)</f>
        <v>0.77</v>
      </c>
      <c r="M62" s="50">
        <f>VLOOKUP($A62,'Data shares'!$C:$FB,119)</f>
        <v>0.82</v>
      </c>
      <c r="N62" s="50">
        <f>VLOOKUP($A62,'Data shares'!$C:$FB,121)*100</f>
        <v>-6.1</v>
      </c>
      <c r="O62" s="50">
        <f>VLOOKUP($A62,'Data shares'!$C:$FB,124)</f>
        <v>0.64</v>
      </c>
      <c r="P62" s="50">
        <f>VLOOKUP($A62,'Data shares'!$C:$FB,125)</f>
        <v>0.98</v>
      </c>
      <c r="Q62" s="50">
        <f>VLOOKUP($A62,'Data shares'!$C:$FB,127)*100</f>
        <v>-34.69</v>
      </c>
    </row>
    <row r="63" spans="1:17" x14ac:dyDescent="0.25">
      <c r="A63" s="97" t="str">
        <f>'Snapshot (Value)'!A67</f>
        <v>DMART</v>
      </c>
      <c r="B63" s="140">
        <f>VLOOKUP($A63,'Data shares'!$C:$FB,7)</f>
        <v>3953.6</v>
      </c>
      <c r="C63" s="140">
        <f>VLOOKUP($A63,'Data shares'!$C:$FB,3)</f>
        <v>3965.4</v>
      </c>
      <c r="D63" s="140">
        <f>VLOOKUP($A63,'Data shares'!$C:$FB,4)</f>
        <v>3930.9</v>
      </c>
      <c r="E63" s="50">
        <f t="shared" si="0"/>
        <v>0.87766160421277573</v>
      </c>
      <c r="F63" s="49">
        <f>VLOOKUP($A63,'Data shares'!$C:$FB,98)</f>
        <v>8572950</v>
      </c>
      <c r="G63" s="49">
        <f>VLOOKUP($A63,'Data shares'!$C:$FB,99)</f>
        <v>8181300</v>
      </c>
      <c r="H63" s="50">
        <f t="shared" si="1"/>
        <v>4.7871365186461814</v>
      </c>
      <c r="I63" s="49">
        <f>VLOOKUP($A63,'Data shares'!$C:$FB,66)</f>
        <v>3941400</v>
      </c>
      <c r="J63" s="49">
        <f>VLOOKUP($A63,'Data shares'!$C:$FB,67)</f>
        <v>3513750</v>
      </c>
      <c r="K63" s="50">
        <f t="shared" si="2"/>
        <v>10.850205510732227</v>
      </c>
      <c r="L63" s="50">
        <f>VLOOKUP($A63,'Data shares'!$C:$FB,118)</f>
        <v>0.73</v>
      </c>
      <c r="M63" s="50">
        <f>VLOOKUP($A63,'Data shares'!$C:$FB,119)</f>
        <v>0.73</v>
      </c>
      <c r="N63" s="50">
        <f>VLOOKUP($A63,'Data shares'!$C:$FB,121)*100</f>
        <v>0</v>
      </c>
      <c r="O63" s="50">
        <f>VLOOKUP($A63,'Data shares'!$C:$FB,124)</f>
        <v>0.49</v>
      </c>
      <c r="P63" s="50">
        <f>VLOOKUP($A63,'Data shares'!$C:$FB,125)</f>
        <v>0.46</v>
      </c>
      <c r="Q63" s="50">
        <f>VLOOKUP($A63,'Data shares'!$C:$FB,127)*100</f>
        <v>6.52</v>
      </c>
    </row>
    <row r="64" spans="1:17" x14ac:dyDescent="0.25">
      <c r="A64" s="97" t="str">
        <f>'Snapshot (Value)'!A68</f>
        <v>DRREDDY</v>
      </c>
      <c r="B64" s="140">
        <f>VLOOKUP($A64,'Data shares'!$C:$FB,7)</f>
        <v>1319</v>
      </c>
      <c r="C64" s="140">
        <f>VLOOKUP($A64,'Data shares'!$C:$FB,3)</f>
        <v>1324.2</v>
      </c>
      <c r="D64" s="140">
        <f>VLOOKUP($A64,'Data shares'!$C:$FB,4)</f>
        <v>1326.5</v>
      </c>
      <c r="E64" s="50">
        <f t="shared" si="0"/>
        <v>-0.17338861666038105</v>
      </c>
      <c r="F64" s="49">
        <f>VLOOKUP($A64,'Data shares'!$C:$FB,98)</f>
        <v>29508125</v>
      </c>
      <c r="G64" s="49">
        <f>VLOOKUP($A64,'Data shares'!$C:$FB,99)</f>
        <v>29282500</v>
      </c>
      <c r="H64" s="50">
        <f t="shared" si="1"/>
        <v>0.7705113975924186</v>
      </c>
      <c r="I64" s="49">
        <f>VLOOKUP($A64,'Data shares'!$C:$FB,66)</f>
        <v>17207500</v>
      </c>
      <c r="J64" s="49">
        <f>VLOOKUP($A64,'Data shares'!$C:$FB,67)</f>
        <v>28331875</v>
      </c>
      <c r="K64" s="50">
        <f t="shared" si="2"/>
        <v>-64.648409123928516</v>
      </c>
      <c r="L64" s="50">
        <f>VLOOKUP($A64,'Data shares'!$C:$FB,118)</f>
        <v>0.47</v>
      </c>
      <c r="M64" s="50">
        <f>VLOOKUP($A64,'Data shares'!$C:$FB,119)</f>
        <v>0.46</v>
      </c>
      <c r="N64" s="50">
        <f>VLOOKUP($A64,'Data shares'!$C:$FB,121)*100</f>
        <v>2.17</v>
      </c>
      <c r="O64" s="50">
        <f>VLOOKUP($A64,'Data shares'!$C:$FB,124)</f>
        <v>0.37</v>
      </c>
      <c r="P64" s="50">
        <f>VLOOKUP($A64,'Data shares'!$C:$FB,125)</f>
        <v>0.28999999999999998</v>
      </c>
      <c r="Q64" s="50">
        <f>VLOOKUP($A64,'Data shares'!$C:$FB,127)*100</f>
        <v>27.589999999999996</v>
      </c>
    </row>
    <row r="65" spans="1:17" x14ac:dyDescent="0.25">
      <c r="A65" s="97" t="str">
        <f>'Snapshot (Value)'!A69</f>
        <v>EICHERMOT</v>
      </c>
      <c r="B65" s="140">
        <f>VLOOKUP($A65,'Data shares'!$C:$FB,7)</f>
        <v>6975.5</v>
      </c>
      <c r="C65" s="140">
        <f>VLOOKUP($A65,'Data shares'!$C:$FB,3)</f>
        <v>7005</v>
      </c>
      <c r="D65" s="140">
        <f>VLOOKUP($A65,'Data shares'!$C:$FB,4)</f>
        <v>7277.5</v>
      </c>
      <c r="E65" s="50">
        <f t="shared" si="0"/>
        <v>-3.7444177258673994</v>
      </c>
      <c r="F65" s="49">
        <f>VLOOKUP($A65,'Data shares'!$C:$FB,98)</f>
        <v>7581900</v>
      </c>
      <c r="G65" s="49">
        <f>VLOOKUP($A65,'Data shares'!$C:$FB,99)</f>
        <v>6850000</v>
      </c>
      <c r="H65" s="50">
        <f t="shared" si="1"/>
        <v>10.684671532846716</v>
      </c>
      <c r="I65" s="49">
        <f>VLOOKUP($A65,'Data shares'!$C:$FB,66)</f>
        <v>7707300</v>
      </c>
      <c r="J65" s="49">
        <f>VLOOKUP($A65,'Data shares'!$C:$FB,67)</f>
        <v>4232300</v>
      </c>
      <c r="K65" s="50">
        <f t="shared" si="2"/>
        <v>45.087125192998847</v>
      </c>
      <c r="L65" s="50">
        <f>VLOOKUP($A65,'Data shares'!$C:$FB,118)</f>
        <v>0.54</v>
      </c>
      <c r="M65" s="50">
        <f>VLOOKUP($A65,'Data shares'!$C:$FB,119)</f>
        <v>0.57999999999999996</v>
      </c>
      <c r="N65" s="50">
        <f>VLOOKUP($A65,'Data shares'!$C:$FB,121)*100</f>
        <v>-6.9</v>
      </c>
      <c r="O65" s="50">
        <f>VLOOKUP($A65,'Data shares'!$C:$FB,124)</f>
        <v>0.7</v>
      </c>
      <c r="P65" s="50">
        <f>VLOOKUP($A65,'Data shares'!$C:$FB,125)</f>
        <v>0.69</v>
      </c>
      <c r="Q65" s="50">
        <f>VLOOKUP($A65,'Data shares'!$C:$FB,127)*100</f>
        <v>1.4500000000000002</v>
      </c>
    </row>
    <row r="66" spans="1:17" x14ac:dyDescent="0.25">
      <c r="A66" s="97" t="str">
        <f>'Snapshot (Value)'!A70</f>
        <v>ETERNAL</v>
      </c>
      <c r="B66" s="140">
        <f>VLOOKUP($A66,'Data shares'!$C:$FB,7)</f>
        <v>221.17</v>
      </c>
      <c r="C66" s="140">
        <f>VLOOKUP($A66,'Data shares'!$C:$FB,3)</f>
        <v>221.99</v>
      </c>
      <c r="D66" s="140">
        <f>VLOOKUP($A66,'Data shares'!$C:$FB,4)</f>
        <v>224</v>
      </c>
      <c r="E66" s="50">
        <f t="shared" si="0"/>
        <v>-0.89732142857142461</v>
      </c>
      <c r="F66" s="49">
        <f>VLOOKUP($A66,'Data shares'!$C:$FB,98)</f>
        <v>494205300</v>
      </c>
      <c r="G66" s="49">
        <f>VLOOKUP($A66,'Data shares'!$C:$FB,99)</f>
        <v>490102200</v>
      </c>
      <c r="H66" s="50">
        <f t="shared" si="1"/>
        <v>0.83719273245457781</v>
      </c>
      <c r="I66" s="49">
        <f>VLOOKUP($A66,'Data shares'!$C:$FB,66)</f>
        <v>316593450</v>
      </c>
      <c r="J66" s="49">
        <f>VLOOKUP($A66,'Data shares'!$C:$FB,67)</f>
        <v>144064400</v>
      </c>
      <c r="K66" s="50">
        <f t="shared" si="2"/>
        <v>54.495457818220814</v>
      </c>
      <c r="L66" s="50">
        <f>VLOOKUP($A66,'Data shares'!$C:$FB,118)</f>
        <v>0.56999999999999995</v>
      </c>
      <c r="M66" s="50">
        <f>VLOOKUP($A66,'Data shares'!$C:$FB,119)</f>
        <v>0.54</v>
      </c>
      <c r="N66" s="50">
        <f>VLOOKUP($A66,'Data shares'!$C:$FB,121)*100</f>
        <v>5.56</v>
      </c>
      <c r="O66" s="50">
        <f>VLOOKUP($A66,'Data shares'!$C:$FB,124)</f>
        <v>1.21</v>
      </c>
      <c r="P66" s="50">
        <f>VLOOKUP($A66,'Data shares'!$C:$FB,125)</f>
        <v>0.72</v>
      </c>
      <c r="Q66" s="50">
        <f>VLOOKUP($A66,'Data shares'!$C:$FB,127)*100</f>
        <v>68.06</v>
      </c>
    </row>
    <row r="67" spans="1:17" x14ac:dyDescent="0.25">
      <c r="A67" s="97" t="str">
        <f>'Snapshot (Value)'!A71</f>
        <v>EXIDEIND</v>
      </c>
      <c r="B67" s="140">
        <f>VLOOKUP($A67,'Data shares'!$C:$FB,7)</f>
        <v>310</v>
      </c>
      <c r="C67" s="140">
        <f>VLOOKUP($A67,'Data shares'!$C:$FB,3)</f>
        <v>310.3</v>
      </c>
      <c r="D67" s="140">
        <f>VLOOKUP($A67,'Data shares'!$C:$FB,4)</f>
        <v>311.7</v>
      </c>
      <c r="E67" s="50">
        <f t="shared" si="0"/>
        <v>-0.44914982354827637</v>
      </c>
      <c r="F67" s="49">
        <f>VLOOKUP($A67,'Data shares'!$C:$FB,98)</f>
        <v>50355000</v>
      </c>
      <c r="G67" s="49">
        <f>VLOOKUP($A67,'Data shares'!$C:$FB,99)</f>
        <v>49764600</v>
      </c>
      <c r="H67" s="50">
        <f t="shared" si="1"/>
        <v>1.1863855029478785</v>
      </c>
      <c r="I67" s="49">
        <f>VLOOKUP($A67,'Data shares'!$C:$FB,66)</f>
        <v>10378800</v>
      </c>
      <c r="J67" s="49">
        <f>VLOOKUP($A67,'Data shares'!$C:$FB,67)</f>
        <v>9565200</v>
      </c>
      <c r="K67" s="50">
        <f t="shared" si="2"/>
        <v>7.8390565383281308</v>
      </c>
      <c r="L67" s="50">
        <f>VLOOKUP($A67,'Data shares'!$C:$FB,118)</f>
        <v>0.8</v>
      </c>
      <c r="M67" s="50">
        <f>VLOOKUP($A67,'Data shares'!$C:$FB,119)</f>
        <v>0.83</v>
      </c>
      <c r="N67" s="50">
        <f>VLOOKUP($A67,'Data shares'!$C:$FB,121)*100</f>
        <v>-3.61</v>
      </c>
      <c r="O67" s="50">
        <f>VLOOKUP($A67,'Data shares'!$C:$FB,124)</f>
        <v>0.33</v>
      </c>
      <c r="P67" s="50">
        <f>VLOOKUP($A67,'Data shares'!$C:$FB,125)</f>
        <v>0.45</v>
      </c>
      <c r="Q67" s="50">
        <f>VLOOKUP($A67,'Data shares'!$C:$FB,127)*100</f>
        <v>-26.669999999999998</v>
      </c>
    </row>
    <row r="68" spans="1:17" x14ac:dyDescent="0.25">
      <c r="A68" s="97" t="str">
        <f>'Snapshot (Value)'!A72</f>
        <v>FEDERALBNK</v>
      </c>
      <c r="B68" s="140">
        <f>VLOOKUP($A68,'Data shares'!$C:$FB,7)</f>
        <v>270.25</v>
      </c>
      <c r="C68" s="140">
        <f>VLOOKUP($A68,'Data shares'!$C:$FB,3)</f>
        <v>271.10000000000002</v>
      </c>
      <c r="D68" s="140">
        <f>VLOOKUP($A68,'Data shares'!$C:$FB,4)</f>
        <v>270.5</v>
      </c>
      <c r="E68" s="50">
        <f t="shared" si="0"/>
        <v>0.22181146025878842</v>
      </c>
      <c r="F68" s="49">
        <f>VLOOKUP($A68,'Data shares'!$C:$FB,98)</f>
        <v>179620000</v>
      </c>
      <c r="G68" s="49">
        <f>VLOOKUP($A68,'Data shares'!$C:$FB,99)</f>
        <v>173125000</v>
      </c>
      <c r="H68" s="50">
        <f t="shared" si="1"/>
        <v>3.7516245487364617</v>
      </c>
      <c r="I68" s="49">
        <f>VLOOKUP($A68,'Data shares'!$C:$FB,66)</f>
        <v>118365000</v>
      </c>
      <c r="J68" s="49">
        <f>VLOOKUP($A68,'Data shares'!$C:$FB,67)</f>
        <v>114055000</v>
      </c>
      <c r="K68" s="50">
        <f t="shared" si="2"/>
        <v>3.6412790943268698</v>
      </c>
      <c r="L68" s="50">
        <f>VLOOKUP($A68,'Data shares'!$C:$FB,118)</f>
        <v>0.52</v>
      </c>
      <c r="M68" s="50">
        <f>VLOOKUP($A68,'Data shares'!$C:$FB,119)</f>
        <v>0.54</v>
      </c>
      <c r="N68" s="50">
        <f>VLOOKUP($A68,'Data shares'!$C:$FB,121)*100</f>
        <v>-3.6999999999999997</v>
      </c>
      <c r="O68" s="50">
        <f>VLOOKUP($A68,'Data shares'!$C:$FB,124)</f>
        <v>0.41</v>
      </c>
      <c r="P68" s="50">
        <f>VLOOKUP($A68,'Data shares'!$C:$FB,125)</f>
        <v>0.31</v>
      </c>
      <c r="Q68" s="50">
        <f>VLOOKUP($A68,'Data shares'!$C:$FB,127)*100</f>
        <v>32.26</v>
      </c>
    </row>
    <row r="69" spans="1:17" x14ac:dyDescent="0.25">
      <c r="A69" s="97" t="str">
        <f>'Snapshot (Value)'!A73</f>
        <v>FINNIFTY</v>
      </c>
      <c r="B69" s="140">
        <f>VLOOKUP($A69,'Data shares'!$C:$FB,7)</f>
        <v>25663.200000000001</v>
      </c>
      <c r="C69" s="140">
        <f>VLOOKUP($A69,'Data shares'!$C:$FB,3)</f>
        <v>25750</v>
      </c>
      <c r="D69" s="140">
        <f>VLOOKUP($A69,'Data shares'!$C:$FB,4)</f>
        <v>26003.8</v>
      </c>
      <c r="E69" s="50">
        <f t="shared" si="0"/>
        <v>-0.97601119836331329</v>
      </c>
      <c r="F69" s="49">
        <f>VLOOKUP($A69,'Data shares'!$C:$FB,98)</f>
        <v>1721040</v>
      </c>
      <c r="G69" s="49">
        <f>VLOOKUP($A69,'Data shares'!$C:$FB,99)</f>
        <v>1648380</v>
      </c>
      <c r="H69" s="50">
        <f t="shared" si="1"/>
        <v>4.4079641830160519</v>
      </c>
      <c r="I69" s="49">
        <f>VLOOKUP($A69,'Data shares'!$C:$FB,66)</f>
        <v>2133660</v>
      </c>
      <c r="J69" s="49">
        <f>VLOOKUP($A69,'Data shares'!$C:$FB,67)</f>
        <v>2489940</v>
      </c>
      <c r="K69" s="50">
        <f t="shared" si="2"/>
        <v>-16.698068108320914</v>
      </c>
      <c r="L69" s="50">
        <f>VLOOKUP($A69,'Data shares'!$C:$FB,118)</f>
        <v>0.92</v>
      </c>
      <c r="M69" s="50">
        <f>VLOOKUP($A69,'Data shares'!$C:$FB,119)</f>
        <v>0.92</v>
      </c>
      <c r="N69" s="50">
        <f>VLOOKUP($A69,'Data shares'!$C:$FB,121)*100</f>
        <v>0</v>
      </c>
      <c r="O69" s="50">
        <f>VLOOKUP($A69,'Data shares'!$C:$FB,124)</f>
        <v>1.32</v>
      </c>
      <c r="P69" s="50">
        <f>VLOOKUP($A69,'Data shares'!$C:$FB,125)</f>
        <v>0.95</v>
      </c>
      <c r="Q69" s="50">
        <f>VLOOKUP($A69,'Data shares'!$C:$FB,127)*100</f>
        <v>38.950000000000003</v>
      </c>
    </row>
    <row r="70" spans="1:17" x14ac:dyDescent="0.25">
      <c r="A70" s="97" t="str">
        <f>'Snapshot (Value)'!A74</f>
        <v>FORTIS</v>
      </c>
      <c r="B70" s="140">
        <f>VLOOKUP($A70,'Data shares'!$C:$FB,7)</f>
        <v>859.5</v>
      </c>
      <c r="C70" s="140">
        <f>VLOOKUP($A70,'Data shares'!$C:$FB,3)</f>
        <v>863.05</v>
      </c>
      <c r="D70" s="140">
        <f>VLOOKUP($A70,'Data shares'!$C:$FB,4)</f>
        <v>882.2</v>
      </c>
      <c r="E70" s="50">
        <f t="shared" si="0"/>
        <v>-2.1707095896622182</v>
      </c>
      <c r="F70" s="49">
        <f>VLOOKUP($A70,'Data shares'!$C:$FB,98)</f>
        <v>17996275</v>
      </c>
      <c r="G70" s="49">
        <f>VLOOKUP($A70,'Data shares'!$C:$FB,99)</f>
        <v>17311950</v>
      </c>
      <c r="H70" s="50">
        <f t="shared" si="1"/>
        <v>3.9529053630584654</v>
      </c>
      <c r="I70" s="49">
        <f>VLOOKUP($A70,'Data shares'!$C:$FB,66)</f>
        <v>5407950</v>
      </c>
      <c r="J70" s="49">
        <f>VLOOKUP($A70,'Data shares'!$C:$FB,67)</f>
        <v>4552350</v>
      </c>
      <c r="K70" s="50">
        <f t="shared" si="2"/>
        <v>15.82115219260533</v>
      </c>
      <c r="L70" s="50">
        <f>VLOOKUP($A70,'Data shares'!$C:$FB,118)</f>
        <v>0.42</v>
      </c>
      <c r="M70" s="50">
        <f>VLOOKUP($A70,'Data shares'!$C:$FB,119)</f>
        <v>0.43</v>
      </c>
      <c r="N70" s="50">
        <f>VLOOKUP($A70,'Data shares'!$C:$FB,121)*100</f>
        <v>-2.33</v>
      </c>
      <c r="O70" s="50">
        <f>VLOOKUP($A70,'Data shares'!$C:$FB,124)</f>
        <v>0.28999999999999998</v>
      </c>
      <c r="P70" s="50">
        <f>VLOOKUP($A70,'Data shares'!$C:$FB,125)</f>
        <v>0.38</v>
      </c>
      <c r="Q70" s="50">
        <f>VLOOKUP($A70,'Data shares'!$C:$FB,127)*100</f>
        <v>-23.68</v>
      </c>
    </row>
    <row r="71" spans="1:17" x14ac:dyDescent="0.25">
      <c r="A71" s="97" t="str">
        <f>'Snapshot (Value)'!A75</f>
        <v>GAIL</v>
      </c>
      <c r="B71" s="140">
        <f>VLOOKUP($A71,'Data shares'!$C:$FB,7)</f>
        <v>152.35</v>
      </c>
      <c r="C71" s="140">
        <f>VLOOKUP($A71,'Data shares'!$C:$FB,3)</f>
        <v>152.94</v>
      </c>
      <c r="D71" s="140">
        <f>VLOOKUP($A71,'Data shares'!$C:$FB,4)</f>
        <v>148.52000000000001</v>
      </c>
      <c r="E71" s="50">
        <f t="shared" si="0"/>
        <v>2.9760301642876295</v>
      </c>
      <c r="F71" s="49">
        <f>VLOOKUP($A71,'Data shares'!$C:$FB,98)</f>
        <v>186417000</v>
      </c>
      <c r="G71" s="49">
        <f>VLOOKUP($A71,'Data shares'!$C:$FB,99)</f>
        <v>183638700</v>
      </c>
      <c r="H71" s="50">
        <f t="shared" si="1"/>
        <v>1.5129163950735875</v>
      </c>
      <c r="I71" s="49">
        <f>VLOOKUP($A71,'Data shares'!$C:$FB,66)</f>
        <v>91413000</v>
      </c>
      <c r="J71" s="49">
        <f>VLOOKUP($A71,'Data shares'!$C:$FB,67)</f>
        <v>71476650</v>
      </c>
      <c r="K71" s="50">
        <f t="shared" si="2"/>
        <v>21.809097174362506</v>
      </c>
      <c r="L71" s="50">
        <f>VLOOKUP($A71,'Data shares'!$C:$FB,118)</f>
        <v>1.01</v>
      </c>
      <c r="M71" s="50">
        <f>VLOOKUP($A71,'Data shares'!$C:$FB,119)</f>
        <v>1.02</v>
      </c>
      <c r="N71" s="50">
        <f>VLOOKUP($A71,'Data shares'!$C:$FB,121)*100</f>
        <v>-0.98</v>
      </c>
      <c r="O71" s="50">
        <f>VLOOKUP($A71,'Data shares'!$C:$FB,124)</f>
        <v>0.4</v>
      </c>
      <c r="P71" s="50">
        <f>VLOOKUP($A71,'Data shares'!$C:$FB,125)</f>
        <v>0.56000000000000005</v>
      </c>
      <c r="Q71" s="50">
        <f>VLOOKUP($A71,'Data shares'!$C:$FB,127)*100</f>
        <v>-28.57</v>
      </c>
    </row>
    <row r="72" spans="1:17" x14ac:dyDescent="0.25">
      <c r="A72" s="97" t="str">
        <f>'Snapshot (Value)'!A76</f>
        <v>GLENMARK</v>
      </c>
      <c r="B72" s="140">
        <f>VLOOKUP($A72,'Data shares'!$C:$FB,7)</f>
        <v>2256.4</v>
      </c>
      <c r="C72" s="140">
        <f>VLOOKUP($A72,'Data shares'!$C:$FB,3)</f>
        <v>2263.5</v>
      </c>
      <c r="D72" s="140">
        <f>VLOOKUP($A72,'Data shares'!$C:$FB,4)</f>
        <v>2278.1999999999998</v>
      </c>
      <c r="E72" s="50">
        <f t="shared" ref="E72:E135" si="3">(C72-D72)/D72*100</f>
        <v>-0.64524624703712663</v>
      </c>
      <c r="F72" s="49">
        <f>VLOOKUP($A72,'Data shares'!$C:$FB,98)</f>
        <v>14895750</v>
      </c>
      <c r="G72" s="49">
        <f>VLOOKUP($A72,'Data shares'!$C:$FB,99)</f>
        <v>15076125</v>
      </c>
      <c r="H72" s="50">
        <f t="shared" ref="H72:H135" si="4">(F72-G72)/G72*100</f>
        <v>-1.196428127254185</v>
      </c>
      <c r="I72" s="49">
        <f>VLOOKUP($A72,'Data shares'!$C:$FB,66)</f>
        <v>6997875</v>
      </c>
      <c r="J72" s="49">
        <f>VLOOKUP($A72,'Data shares'!$C:$FB,67)</f>
        <v>17075250</v>
      </c>
      <c r="K72" s="50">
        <f t="shared" ref="K72:K135" si="5">(I72-J72)/I72*100</f>
        <v>-144.00621617276676</v>
      </c>
      <c r="L72" s="50">
        <f>VLOOKUP($A72,'Data shares'!$C:$FB,118)</f>
        <v>0.56000000000000005</v>
      </c>
      <c r="M72" s="50">
        <f>VLOOKUP($A72,'Data shares'!$C:$FB,119)</f>
        <v>0.54</v>
      </c>
      <c r="N72" s="50">
        <f>VLOOKUP($A72,'Data shares'!$C:$FB,121)*100</f>
        <v>3.6999999999999997</v>
      </c>
      <c r="O72" s="50">
        <f>VLOOKUP($A72,'Data shares'!$C:$FB,124)</f>
        <v>0.72</v>
      </c>
      <c r="P72" s="50">
        <f>VLOOKUP($A72,'Data shares'!$C:$FB,125)</f>
        <v>0.28999999999999998</v>
      </c>
      <c r="Q72" s="50">
        <f>VLOOKUP($A72,'Data shares'!$C:$FB,127)*100</f>
        <v>148.28</v>
      </c>
    </row>
    <row r="73" spans="1:17" x14ac:dyDescent="0.25">
      <c r="A73" s="97" t="str">
        <f>'Snapshot (Value)'!A77</f>
        <v>GMRAIRPORT</v>
      </c>
      <c r="B73" s="140">
        <f>VLOOKUP($A73,'Data shares'!$C:$FB,7)</f>
        <v>93.29</v>
      </c>
      <c r="C73" s="140">
        <f>VLOOKUP($A73,'Data shares'!$C:$FB,3)</f>
        <v>93.69</v>
      </c>
      <c r="D73" s="140">
        <f>VLOOKUP($A73,'Data shares'!$C:$FB,4)</f>
        <v>93.95</v>
      </c>
      <c r="E73" s="50">
        <f t="shared" si="3"/>
        <v>-0.27674294837680163</v>
      </c>
      <c r="F73" s="49">
        <f>VLOOKUP($A73,'Data shares'!$C:$FB,98)</f>
        <v>237645225</v>
      </c>
      <c r="G73" s="49">
        <f>VLOOKUP($A73,'Data shares'!$C:$FB,99)</f>
        <v>236884950</v>
      </c>
      <c r="H73" s="50">
        <f t="shared" si="4"/>
        <v>0.32094694069842766</v>
      </c>
      <c r="I73" s="49">
        <f>VLOOKUP($A73,'Data shares'!$C:$FB,66)</f>
        <v>66136950</v>
      </c>
      <c r="J73" s="49">
        <f>VLOOKUP($A73,'Data shares'!$C:$FB,67)</f>
        <v>57711150</v>
      </c>
      <c r="K73" s="50">
        <f t="shared" si="5"/>
        <v>12.739928285171906</v>
      </c>
      <c r="L73" s="50">
        <f>VLOOKUP($A73,'Data shares'!$C:$FB,118)</f>
        <v>0.63</v>
      </c>
      <c r="M73" s="50">
        <f>VLOOKUP($A73,'Data shares'!$C:$FB,119)</f>
        <v>0.64</v>
      </c>
      <c r="N73" s="50">
        <f>VLOOKUP($A73,'Data shares'!$C:$FB,121)*100</f>
        <v>-1.5599999999999998</v>
      </c>
      <c r="O73" s="50">
        <f>VLOOKUP($A73,'Data shares'!$C:$FB,124)</f>
        <v>1.0900000000000001</v>
      </c>
      <c r="P73" s="50">
        <f>VLOOKUP($A73,'Data shares'!$C:$FB,125)</f>
        <v>0.63</v>
      </c>
      <c r="Q73" s="50">
        <f>VLOOKUP($A73,'Data shares'!$C:$FB,127)*100</f>
        <v>73.02</v>
      </c>
    </row>
    <row r="74" spans="1:17" x14ac:dyDescent="0.25">
      <c r="A74" s="97" t="str">
        <f>'Snapshot (Value)'!A78</f>
        <v>GODREJCP</v>
      </c>
      <c r="B74" s="140">
        <f>VLOOKUP($A74,'Data shares'!$C:$FB,7)</f>
        <v>1052.3</v>
      </c>
      <c r="C74" s="140">
        <f>VLOOKUP($A74,'Data shares'!$C:$FB,3)</f>
        <v>1056.2</v>
      </c>
      <c r="D74" s="140">
        <f>VLOOKUP($A74,'Data shares'!$C:$FB,4)</f>
        <v>1092.4000000000001</v>
      </c>
      <c r="E74" s="50">
        <f t="shared" si="3"/>
        <v>-3.3138044672281257</v>
      </c>
      <c r="F74" s="49">
        <f>VLOOKUP($A74,'Data shares'!$C:$FB,98)</f>
        <v>12788000</v>
      </c>
      <c r="G74" s="49">
        <f>VLOOKUP($A74,'Data shares'!$C:$FB,99)</f>
        <v>11636000</v>
      </c>
      <c r="H74" s="50">
        <f t="shared" si="4"/>
        <v>9.9003093846682706</v>
      </c>
      <c r="I74" s="49">
        <f>VLOOKUP($A74,'Data shares'!$C:$FB,66)</f>
        <v>8241000</v>
      </c>
      <c r="J74" s="49">
        <f>VLOOKUP($A74,'Data shares'!$C:$FB,67)</f>
        <v>3223500</v>
      </c>
      <c r="K74" s="50">
        <f t="shared" si="5"/>
        <v>60.884601383327265</v>
      </c>
      <c r="L74" s="50">
        <f>VLOOKUP($A74,'Data shares'!$C:$FB,118)</f>
        <v>0.87</v>
      </c>
      <c r="M74" s="50">
        <f>VLOOKUP($A74,'Data shares'!$C:$FB,119)</f>
        <v>0.88</v>
      </c>
      <c r="N74" s="50">
        <f>VLOOKUP($A74,'Data shares'!$C:$FB,121)*100</f>
        <v>-1.1400000000000001</v>
      </c>
      <c r="O74" s="50">
        <f>VLOOKUP($A74,'Data shares'!$C:$FB,124)</f>
        <v>0.8</v>
      </c>
      <c r="P74" s="50">
        <f>VLOOKUP($A74,'Data shares'!$C:$FB,125)</f>
        <v>0.94</v>
      </c>
      <c r="Q74" s="50">
        <f>VLOOKUP($A74,'Data shares'!$C:$FB,127)*100</f>
        <v>-14.89</v>
      </c>
    </row>
    <row r="75" spans="1:17" x14ac:dyDescent="0.25">
      <c r="A75" s="97" t="str">
        <f>'Snapshot (Value)'!A79</f>
        <v>GODREJPROP</v>
      </c>
      <c r="B75" s="140">
        <f>VLOOKUP($A75,'Data shares'!$C:$FB,7)</f>
        <v>1616.3</v>
      </c>
      <c r="C75" s="140">
        <f>VLOOKUP($A75,'Data shares'!$C:$FB,3)</f>
        <v>1622.5</v>
      </c>
      <c r="D75" s="140">
        <f>VLOOKUP($A75,'Data shares'!$C:$FB,4)</f>
        <v>1655.3</v>
      </c>
      <c r="E75" s="50">
        <f t="shared" si="3"/>
        <v>-1.9815139249682812</v>
      </c>
      <c r="F75" s="49">
        <f>VLOOKUP($A75,'Data shares'!$C:$FB,98)</f>
        <v>13504150</v>
      </c>
      <c r="G75" s="49">
        <f>VLOOKUP($A75,'Data shares'!$C:$FB,99)</f>
        <v>13346575</v>
      </c>
      <c r="H75" s="50">
        <f t="shared" si="4"/>
        <v>1.1806399769229183</v>
      </c>
      <c r="I75" s="49">
        <f>VLOOKUP($A75,'Data shares'!$C:$FB,66)</f>
        <v>4727800</v>
      </c>
      <c r="J75" s="49">
        <f>VLOOKUP($A75,'Data shares'!$C:$FB,67)</f>
        <v>3972650</v>
      </c>
      <c r="K75" s="50">
        <f t="shared" si="5"/>
        <v>15.972545369939507</v>
      </c>
      <c r="L75" s="50">
        <f>VLOOKUP($A75,'Data shares'!$C:$FB,118)</f>
        <v>0.72</v>
      </c>
      <c r="M75" s="50">
        <f>VLOOKUP($A75,'Data shares'!$C:$FB,119)</f>
        <v>0.73</v>
      </c>
      <c r="N75" s="50">
        <f>VLOOKUP($A75,'Data shares'!$C:$FB,121)*100</f>
        <v>-1.37</v>
      </c>
      <c r="O75" s="50">
        <f>VLOOKUP($A75,'Data shares'!$C:$FB,124)</f>
        <v>0.85</v>
      </c>
      <c r="P75" s="50">
        <f>VLOOKUP($A75,'Data shares'!$C:$FB,125)</f>
        <v>0.75</v>
      </c>
      <c r="Q75" s="50">
        <f>VLOOKUP($A75,'Data shares'!$C:$FB,127)*100</f>
        <v>13.33</v>
      </c>
    </row>
    <row r="76" spans="1:17" x14ac:dyDescent="0.25">
      <c r="A76" s="97" t="str">
        <f>'Snapshot (Value)'!A80</f>
        <v>GRASIM</v>
      </c>
      <c r="B76" s="140">
        <f>VLOOKUP($A76,'Data shares'!$C:$FB,7)</f>
        <v>2673.1</v>
      </c>
      <c r="C76" s="140">
        <f>VLOOKUP($A76,'Data shares'!$C:$FB,3)</f>
        <v>2675.6</v>
      </c>
      <c r="D76" s="140">
        <f>VLOOKUP($A76,'Data shares'!$C:$FB,4)</f>
        <v>2734.4</v>
      </c>
      <c r="E76" s="50">
        <f t="shared" si="3"/>
        <v>-2.1503803393797609</v>
      </c>
      <c r="F76" s="49">
        <f>VLOOKUP($A76,'Data shares'!$C:$FB,98)</f>
        <v>18159250</v>
      </c>
      <c r="G76" s="49">
        <f>VLOOKUP($A76,'Data shares'!$C:$FB,99)</f>
        <v>18004750</v>
      </c>
      <c r="H76" s="50">
        <f t="shared" si="4"/>
        <v>0.85810688845998973</v>
      </c>
      <c r="I76" s="49">
        <f>VLOOKUP($A76,'Data shares'!$C:$FB,66)</f>
        <v>3646750</v>
      </c>
      <c r="J76" s="49">
        <f>VLOOKUP($A76,'Data shares'!$C:$FB,67)</f>
        <v>4447250</v>
      </c>
      <c r="K76" s="50">
        <f t="shared" si="5"/>
        <v>-21.951052306848563</v>
      </c>
      <c r="L76" s="50">
        <f>VLOOKUP($A76,'Data shares'!$C:$FB,118)</f>
        <v>0.56999999999999995</v>
      </c>
      <c r="M76" s="50">
        <f>VLOOKUP($A76,'Data shares'!$C:$FB,119)</f>
        <v>0.6</v>
      </c>
      <c r="N76" s="50">
        <f>VLOOKUP($A76,'Data shares'!$C:$FB,121)*100</f>
        <v>-5</v>
      </c>
      <c r="O76" s="50">
        <f>VLOOKUP($A76,'Data shares'!$C:$FB,124)</f>
        <v>0.71</v>
      </c>
      <c r="P76" s="50">
        <f>VLOOKUP($A76,'Data shares'!$C:$FB,125)</f>
        <v>0.69</v>
      </c>
      <c r="Q76" s="50">
        <f>VLOOKUP($A76,'Data shares'!$C:$FB,127)*100</f>
        <v>2.9000000000000004</v>
      </c>
    </row>
    <row r="77" spans="1:17" x14ac:dyDescent="0.25">
      <c r="A77" s="97" t="str">
        <f>'Snapshot (Value)'!A81</f>
        <v>HAL</v>
      </c>
      <c r="B77" s="140">
        <f>VLOOKUP($A77,'Data shares'!$C:$FB,7)</f>
        <v>4013.5</v>
      </c>
      <c r="C77" s="140">
        <f>VLOOKUP($A77,'Data shares'!$C:$FB,3)</f>
        <v>4017.5</v>
      </c>
      <c r="D77" s="140">
        <f>VLOOKUP($A77,'Data shares'!$C:$FB,4)</f>
        <v>4008</v>
      </c>
      <c r="E77" s="50">
        <f t="shared" si="3"/>
        <v>0.23702594810379243</v>
      </c>
      <c r="F77" s="49">
        <f>VLOOKUP($A77,'Data shares'!$C:$FB,98)</f>
        <v>19661100</v>
      </c>
      <c r="G77" s="49">
        <f>VLOOKUP($A77,'Data shares'!$C:$FB,99)</f>
        <v>19924650</v>
      </c>
      <c r="H77" s="50">
        <f t="shared" si="4"/>
        <v>-1.3227333980772562</v>
      </c>
      <c r="I77" s="49">
        <f>VLOOKUP($A77,'Data shares'!$C:$FB,66)</f>
        <v>7395750</v>
      </c>
      <c r="J77" s="49">
        <f>VLOOKUP($A77,'Data shares'!$C:$FB,67)</f>
        <v>9492750</v>
      </c>
      <c r="K77" s="50">
        <f t="shared" si="5"/>
        <v>-28.354122299969575</v>
      </c>
      <c r="L77" s="50">
        <f>VLOOKUP($A77,'Data shares'!$C:$FB,118)</f>
        <v>0.65</v>
      </c>
      <c r="M77" s="50">
        <f>VLOOKUP($A77,'Data shares'!$C:$FB,119)</f>
        <v>0.66</v>
      </c>
      <c r="N77" s="50">
        <f>VLOOKUP($A77,'Data shares'!$C:$FB,121)*100</f>
        <v>-1.52</v>
      </c>
      <c r="O77" s="50">
        <f>VLOOKUP($A77,'Data shares'!$C:$FB,124)</f>
        <v>0.32</v>
      </c>
      <c r="P77" s="50">
        <f>VLOOKUP($A77,'Data shares'!$C:$FB,125)</f>
        <v>0.41</v>
      </c>
      <c r="Q77" s="50">
        <f>VLOOKUP($A77,'Data shares'!$C:$FB,127)*100</f>
        <v>-21.95</v>
      </c>
    </row>
    <row r="78" spans="1:17" x14ac:dyDescent="0.25">
      <c r="A78" s="97" t="str">
        <f>'Snapshot (Value)'!A82</f>
        <v>HAVELLS</v>
      </c>
      <c r="B78" s="140">
        <f>VLOOKUP($A78,'Data shares'!$C:$FB,7)</f>
        <v>1354</v>
      </c>
      <c r="C78" s="140">
        <f>VLOOKUP($A78,'Data shares'!$C:$FB,3)</f>
        <v>1355.6</v>
      </c>
      <c r="D78" s="140">
        <f>VLOOKUP($A78,'Data shares'!$C:$FB,4)</f>
        <v>1370.8</v>
      </c>
      <c r="E78" s="50">
        <f t="shared" si="3"/>
        <v>-1.1088415523781767</v>
      </c>
      <c r="F78" s="49">
        <f>VLOOKUP($A78,'Data shares'!$C:$FB,98)</f>
        <v>13604500</v>
      </c>
      <c r="G78" s="49">
        <f>VLOOKUP($A78,'Data shares'!$C:$FB,99)</f>
        <v>13809500</v>
      </c>
      <c r="H78" s="50">
        <f t="shared" si="4"/>
        <v>-1.4844853180781346</v>
      </c>
      <c r="I78" s="49">
        <f>VLOOKUP($A78,'Data shares'!$C:$FB,66)</f>
        <v>5612000</v>
      </c>
      <c r="J78" s="49">
        <f>VLOOKUP($A78,'Data shares'!$C:$FB,67)</f>
        <v>13172500</v>
      </c>
      <c r="K78" s="50">
        <f t="shared" si="5"/>
        <v>-134.72024233784748</v>
      </c>
      <c r="L78" s="50">
        <f>VLOOKUP($A78,'Data shares'!$C:$FB,118)</f>
        <v>0.75</v>
      </c>
      <c r="M78" s="50">
        <f>VLOOKUP($A78,'Data shares'!$C:$FB,119)</f>
        <v>0.84</v>
      </c>
      <c r="N78" s="50">
        <f>VLOOKUP($A78,'Data shares'!$C:$FB,121)*100</f>
        <v>-10.71</v>
      </c>
      <c r="O78" s="50">
        <f>VLOOKUP($A78,'Data shares'!$C:$FB,124)</f>
        <v>0.68</v>
      </c>
      <c r="P78" s="50">
        <f>VLOOKUP($A78,'Data shares'!$C:$FB,125)</f>
        <v>0.32</v>
      </c>
      <c r="Q78" s="50">
        <f>VLOOKUP($A78,'Data shares'!$C:$FB,127)*100</f>
        <v>112.5</v>
      </c>
    </row>
    <row r="79" spans="1:17" x14ac:dyDescent="0.25">
      <c r="A79" s="97" t="str">
        <f>'Snapshot (Value)'!A83</f>
        <v>HCLTECH</v>
      </c>
      <c r="B79" s="140">
        <f>VLOOKUP($A79,'Data shares'!$C:$FB,7)</f>
        <v>1358.1</v>
      </c>
      <c r="C79" s="140">
        <f>VLOOKUP($A79,'Data shares'!$C:$FB,3)</f>
        <v>1352.4</v>
      </c>
      <c r="D79" s="140">
        <f>VLOOKUP($A79,'Data shares'!$C:$FB,4)</f>
        <v>1348.6</v>
      </c>
      <c r="E79" s="50">
        <f t="shared" si="3"/>
        <v>0.28177369123536866</v>
      </c>
      <c r="F79" s="49">
        <f>VLOOKUP($A79,'Data shares'!$C:$FB,98)</f>
        <v>38261300</v>
      </c>
      <c r="G79" s="49">
        <f>VLOOKUP($A79,'Data shares'!$C:$FB,99)</f>
        <v>36751050</v>
      </c>
      <c r="H79" s="50">
        <f t="shared" si="4"/>
        <v>4.1094063979124407</v>
      </c>
      <c r="I79" s="49">
        <f>VLOOKUP($A79,'Data shares'!$C:$FB,66)</f>
        <v>13720700</v>
      </c>
      <c r="J79" s="49">
        <f>VLOOKUP($A79,'Data shares'!$C:$FB,67)</f>
        <v>9126250</v>
      </c>
      <c r="K79" s="50">
        <f t="shared" si="5"/>
        <v>33.485536452221822</v>
      </c>
      <c r="L79" s="50">
        <f>VLOOKUP($A79,'Data shares'!$C:$FB,118)</f>
        <v>0.5</v>
      </c>
      <c r="M79" s="50">
        <f>VLOOKUP($A79,'Data shares'!$C:$FB,119)</f>
        <v>0.55000000000000004</v>
      </c>
      <c r="N79" s="50">
        <f>VLOOKUP($A79,'Data shares'!$C:$FB,121)*100</f>
        <v>-9.09</v>
      </c>
      <c r="O79" s="50">
        <f>VLOOKUP($A79,'Data shares'!$C:$FB,124)</f>
        <v>0.48</v>
      </c>
      <c r="P79" s="50">
        <f>VLOOKUP($A79,'Data shares'!$C:$FB,125)</f>
        <v>0.87</v>
      </c>
      <c r="Q79" s="50">
        <f>VLOOKUP($A79,'Data shares'!$C:$FB,127)*100</f>
        <v>-44.83</v>
      </c>
    </row>
    <row r="80" spans="1:17" x14ac:dyDescent="0.25">
      <c r="A80" s="97" t="str">
        <f>'Snapshot (Value)'!A84</f>
        <v>HDFCAMC</v>
      </c>
      <c r="B80" s="140">
        <f>VLOOKUP($A80,'Data shares'!$C:$FB,7)</f>
        <v>2429</v>
      </c>
      <c r="C80" s="140">
        <f>VLOOKUP($A80,'Data shares'!$C:$FB,3)</f>
        <v>2434.8000000000002</v>
      </c>
      <c r="D80" s="140">
        <f>VLOOKUP($A80,'Data shares'!$C:$FB,4)</f>
        <v>2457.1</v>
      </c>
      <c r="E80" s="50">
        <f t="shared" si="3"/>
        <v>-0.90757396931340717</v>
      </c>
      <c r="F80" s="49">
        <f>VLOOKUP($A80,'Data shares'!$C:$FB,98)</f>
        <v>8312700</v>
      </c>
      <c r="G80" s="49">
        <f>VLOOKUP($A80,'Data shares'!$C:$FB,99)</f>
        <v>8173200</v>
      </c>
      <c r="H80" s="50">
        <f t="shared" si="4"/>
        <v>1.7067978270444868</v>
      </c>
      <c r="I80" s="49">
        <f>VLOOKUP($A80,'Data shares'!$C:$FB,66)</f>
        <v>2721300</v>
      </c>
      <c r="J80" s="49">
        <f>VLOOKUP($A80,'Data shares'!$C:$FB,67)</f>
        <v>3235500</v>
      </c>
      <c r="K80" s="50">
        <f t="shared" si="5"/>
        <v>-18.895380884136259</v>
      </c>
      <c r="L80" s="50">
        <f>VLOOKUP($A80,'Data shares'!$C:$FB,118)</f>
        <v>0.64</v>
      </c>
      <c r="M80" s="50">
        <f>VLOOKUP($A80,'Data shares'!$C:$FB,119)</f>
        <v>0.68</v>
      </c>
      <c r="N80" s="50">
        <f>VLOOKUP($A80,'Data shares'!$C:$FB,121)*100</f>
        <v>-5.88</v>
      </c>
      <c r="O80" s="50">
        <f>VLOOKUP($A80,'Data shares'!$C:$FB,124)</f>
        <v>0.54</v>
      </c>
      <c r="P80" s="50">
        <f>VLOOKUP($A80,'Data shares'!$C:$FB,125)</f>
        <v>0.48</v>
      </c>
      <c r="Q80" s="50">
        <f>VLOOKUP($A80,'Data shares'!$C:$FB,127)*100</f>
        <v>12.5</v>
      </c>
    </row>
    <row r="81" spans="1:17" x14ac:dyDescent="0.25">
      <c r="A81" s="97" t="str">
        <f>'Snapshot (Value)'!A85</f>
        <v>HDFCBANK</v>
      </c>
      <c r="B81" s="140">
        <f>VLOOKUP($A81,'Data shares'!$C:$FB,7)</f>
        <v>832.75</v>
      </c>
      <c r="C81" s="140">
        <f>VLOOKUP($A81,'Data shares'!$C:$FB,3)</f>
        <v>835.3</v>
      </c>
      <c r="D81" s="140">
        <f>VLOOKUP($A81,'Data shares'!$C:$FB,4)</f>
        <v>837.95</v>
      </c>
      <c r="E81" s="50">
        <f t="shared" si="3"/>
        <v>-0.31624798615670274</v>
      </c>
      <c r="F81" s="49">
        <f>VLOOKUP($A81,'Data shares'!$C:$FB,98)</f>
        <v>458392000</v>
      </c>
      <c r="G81" s="49">
        <f>VLOOKUP($A81,'Data shares'!$C:$FB,99)</f>
        <v>462442750</v>
      </c>
      <c r="H81" s="50">
        <f t="shared" si="4"/>
        <v>-0.87594626578100743</v>
      </c>
      <c r="I81" s="49">
        <f>VLOOKUP($A81,'Data shares'!$C:$FB,66)</f>
        <v>123809950</v>
      </c>
      <c r="J81" s="49">
        <f>VLOOKUP($A81,'Data shares'!$C:$FB,67)</f>
        <v>169118950</v>
      </c>
      <c r="K81" s="50">
        <f t="shared" si="5"/>
        <v>-36.595604795898879</v>
      </c>
      <c r="L81" s="50">
        <f>VLOOKUP($A81,'Data shares'!$C:$FB,118)</f>
        <v>0.52</v>
      </c>
      <c r="M81" s="50">
        <f>VLOOKUP($A81,'Data shares'!$C:$FB,119)</f>
        <v>0.51</v>
      </c>
      <c r="N81" s="50">
        <f>VLOOKUP($A81,'Data shares'!$C:$FB,121)*100</f>
        <v>1.96</v>
      </c>
      <c r="O81" s="50">
        <f>VLOOKUP($A81,'Data shares'!$C:$FB,124)</f>
        <v>0.56999999999999995</v>
      </c>
      <c r="P81" s="50">
        <f>VLOOKUP($A81,'Data shares'!$C:$FB,125)</f>
        <v>0.5</v>
      </c>
      <c r="Q81" s="50">
        <f>VLOOKUP($A81,'Data shares'!$C:$FB,127)*100</f>
        <v>14.000000000000002</v>
      </c>
    </row>
    <row r="82" spans="1:17" x14ac:dyDescent="0.25">
      <c r="A82" s="97" t="str">
        <f>'Snapshot (Value)'!A86</f>
        <v>HDFCLIFE</v>
      </c>
      <c r="B82" s="140">
        <f>VLOOKUP($A82,'Data shares'!$C:$FB,7)</f>
        <v>645.70000000000005</v>
      </c>
      <c r="C82" s="140">
        <f>VLOOKUP($A82,'Data shares'!$C:$FB,3)</f>
        <v>646.6</v>
      </c>
      <c r="D82" s="140">
        <f>VLOOKUP($A82,'Data shares'!$C:$FB,4)</f>
        <v>649</v>
      </c>
      <c r="E82" s="50">
        <f t="shared" si="3"/>
        <v>-0.36979969183358663</v>
      </c>
      <c r="F82" s="49">
        <f>VLOOKUP($A82,'Data shares'!$C:$FB,98)</f>
        <v>57720300</v>
      </c>
      <c r="G82" s="49">
        <f>VLOOKUP($A82,'Data shares'!$C:$FB,99)</f>
        <v>57817100</v>
      </c>
      <c r="H82" s="50">
        <f t="shared" si="4"/>
        <v>-0.16742451627632654</v>
      </c>
      <c r="I82" s="49">
        <f>VLOOKUP($A82,'Data shares'!$C:$FB,66)</f>
        <v>13259400</v>
      </c>
      <c r="J82" s="49">
        <f>VLOOKUP($A82,'Data shares'!$C:$FB,67)</f>
        <v>13134000</v>
      </c>
      <c r="K82" s="50">
        <f t="shared" si="5"/>
        <v>0.9457441513190642</v>
      </c>
      <c r="L82" s="50">
        <f>VLOOKUP($A82,'Data shares'!$C:$FB,118)</f>
        <v>0.39</v>
      </c>
      <c r="M82" s="50">
        <f>VLOOKUP($A82,'Data shares'!$C:$FB,119)</f>
        <v>0.37</v>
      </c>
      <c r="N82" s="50">
        <f>VLOOKUP($A82,'Data shares'!$C:$FB,121)*100</f>
        <v>5.41</v>
      </c>
      <c r="O82" s="50">
        <f>VLOOKUP($A82,'Data shares'!$C:$FB,124)</f>
        <v>0.41</v>
      </c>
      <c r="P82" s="50">
        <f>VLOOKUP($A82,'Data shares'!$C:$FB,125)</f>
        <v>0.5</v>
      </c>
      <c r="Q82" s="50">
        <f>VLOOKUP($A82,'Data shares'!$C:$FB,127)*100</f>
        <v>-18</v>
      </c>
    </row>
    <row r="83" spans="1:17" x14ac:dyDescent="0.25">
      <c r="A83" s="97" t="str">
        <f>'Snapshot (Value)'!A87</f>
        <v>HEROMOTOCO</v>
      </c>
      <c r="B83" s="140">
        <f>VLOOKUP($A83,'Data shares'!$C:$FB,7)</f>
        <v>5394.5</v>
      </c>
      <c r="C83" s="140">
        <f>VLOOKUP($A83,'Data shares'!$C:$FB,3)</f>
        <v>5403</v>
      </c>
      <c r="D83" s="140">
        <f>VLOOKUP($A83,'Data shares'!$C:$FB,4)</f>
        <v>5582.5</v>
      </c>
      <c r="E83" s="50">
        <f t="shared" si="3"/>
        <v>-3.2154052843708016</v>
      </c>
      <c r="F83" s="49">
        <f>VLOOKUP($A83,'Data shares'!$C:$FB,98)</f>
        <v>6841650</v>
      </c>
      <c r="G83" s="49">
        <f>VLOOKUP($A83,'Data shares'!$C:$FB,99)</f>
        <v>6579150</v>
      </c>
      <c r="H83" s="50">
        <f t="shared" si="4"/>
        <v>3.9898771117849572</v>
      </c>
      <c r="I83" s="49">
        <f>VLOOKUP($A83,'Data shares'!$C:$FB,66)</f>
        <v>6017250</v>
      </c>
      <c r="J83" s="49">
        <f>VLOOKUP($A83,'Data shares'!$C:$FB,67)</f>
        <v>6322050</v>
      </c>
      <c r="K83" s="50">
        <f t="shared" si="5"/>
        <v>-5.06543686900162</v>
      </c>
      <c r="L83" s="50">
        <f>VLOOKUP($A83,'Data shares'!$C:$FB,118)</f>
        <v>0.66</v>
      </c>
      <c r="M83" s="50">
        <f>VLOOKUP($A83,'Data shares'!$C:$FB,119)</f>
        <v>0.72</v>
      </c>
      <c r="N83" s="50">
        <f>VLOOKUP($A83,'Data shares'!$C:$FB,121)*100</f>
        <v>-8.33</v>
      </c>
      <c r="O83" s="50">
        <f>VLOOKUP($A83,'Data shares'!$C:$FB,124)</f>
        <v>0.65</v>
      </c>
      <c r="P83" s="50">
        <f>VLOOKUP($A83,'Data shares'!$C:$FB,125)</f>
        <v>0.56999999999999995</v>
      </c>
      <c r="Q83" s="50">
        <f>VLOOKUP($A83,'Data shares'!$C:$FB,127)*100</f>
        <v>14.04</v>
      </c>
    </row>
    <row r="84" spans="1:17" x14ac:dyDescent="0.25">
      <c r="A84" s="97" t="str">
        <f>'Snapshot (Value)'!A88</f>
        <v>HINDALCO</v>
      </c>
      <c r="B84" s="140">
        <f>VLOOKUP($A84,'Data shares'!$C:$FB,7)</f>
        <v>969.75</v>
      </c>
      <c r="C84" s="140">
        <f>VLOOKUP($A84,'Data shares'!$C:$FB,3)</f>
        <v>970.9</v>
      </c>
      <c r="D84" s="140">
        <f>VLOOKUP($A84,'Data shares'!$C:$FB,4)</f>
        <v>960.1</v>
      </c>
      <c r="E84" s="50">
        <f t="shared" si="3"/>
        <v>1.124882824705755</v>
      </c>
      <c r="F84" s="49">
        <f>VLOOKUP($A84,'Data shares'!$C:$FB,98)</f>
        <v>65163000</v>
      </c>
      <c r="G84" s="49">
        <f>VLOOKUP($A84,'Data shares'!$C:$FB,99)</f>
        <v>65377900</v>
      </c>
      <c r="H84" s="50">
        <f t="shared" si="4"/>
        <v>-0.3287043481053995</v>
      </c>
      <c r="I84" s="49">
        <f>VLOOKUP($A84,'Data shares'!$C:$FB,66)</f>
        <v>41243300</v>
      </c>
      <c r="J84" s="49">
        <f>VLOOKUP($A84,'Data shares'!$C:$FB,67)</f>
        <v>44989000</v>
      </c>
      <c r="K84" s="50">
        <f t="shared" si="5"/>
        <v>-9.0819599789541563</v>
      </c>
      <c r="L84" s="50">
        <f>VLOOKUP($A84,'Data shares'!$C:$FB,118)</f>
        <v>0.9</v>
      </c>
      <c r="M84" s="50">
        <f>VLOOKUP($A84,'Data shares'!$C:$FB,119)</f>
        <v>0.87</v>
      </c>
      <c r="N84" s="50">
        <f>VLOOKUP($A84,'Data shares'!$C:$FB,121)*100</f>
        <v>3.45</v>
      </c>
      <c r="O84" s="50">
        <f>VLOOKUP($A84,'Data shares'!$C:$FB,124)</f>
        <v>0.64</v>
      </c>
      <c r="P84" s="50">
        <f>VLOOKUP($A84,'Data shares'!$C:$FB,125)</f>
        <v>0.67</v>
      </c>
      <c r="Q84" s="50">
        <f>VLOOKUP($A84,'Data shares'!$C:$FB,127)*100</f>
        <v>-4.4799999999999995</v>
      </c>
    </row>
    <row r="85" spans="1:17" x14ac:dyDescent="0.25">
      <c r="A85" s="97" t="str">
        <f>'Snapshot (Value)'!A89</f>
        <v>HINDPETRO</v>
      </c>
      <c r="B85" s="140">
        <f>VLOOKUP($A85,'Data shares'!$C:$FB,7)</f>
        <v>384.35</v>
      </c>
      <c r="C85" s="140">
        <f>VLOOKUP($A85,'Data shares'!$C:$FB,3)</f>
        <v>382.95</v>
      </c>
      <c r="D85" s="140">
        <f>VLOOKUP($A85,'Data shares'!$C:$FB,4)</f>
        <v>383.4</v>
      </c>
      <c r="E85" s="50">
        <f t="shared" si="3"/>
        <v>-0.11737089201877637</v>
      </c>
      <c r="F85" s="49">
        <f>VLOOKUP($A85,'Data shares'!$C:$FB,98)</f>
        <v>90756450</v>
      </c>
      <c r="G85" s="49">
        <f>VLOOKUP($A85,'Data shares'!$C:$FB,99)</f>
        <v>86540400</v>
      </c>
      <c r="H85" s="50">
        <f t="shared" si="4"/>
        <v>4.8717708723324602</v>
      </c>
      <c r="I85" s="49">
        <f>VLOOKUP($A85,'Data shares'!$C:$FB,66)</f>
        <v>72266175</v>
      </c>
      <c r="J85" s="49">
        <f>VLOOKUP($A85,'Data shares'!$C:$FB,67)</f>
        <v>53836650</v>
      </c>
      <c r="K85" s="50">
        <f t="shared" si="5"/>
        <v>25.502283744781014</v>
      </c>
      <c r="L85" s="50">
        <f>VLOOKUP($A85,'Data shares'!$C:$FB,118)</f>
        <v>0.93</v>
      </c>
      <c r="M85" s="50">
        <f>VLOOKUP($A85,'Data shares'!$C:$FB,119)</f>
        <v>0.95</v>
      </c>
      <c r="N85" s="50">
        <f>VLOOKUP($A85,'Data shares'!$C:$FB,121)*100</f>
        <v>-2.11</v>
      </c>
      <c r="O85" s="50">
        <f>VLOOKUP($A85,'Data shares'!$C:$FB,124)</f>
        <v>0.88</v>
      </c>
      <c r="P85" s="50">
        <f>VLOOKUP($A85,'Data shares'!$C:$FB,125)</f>
        <v>0.95</v>
      </c>
      <c r="Q85" s="50">
        <f>VLOOKUP($A85,'Data shares'!$C:$FB,127)*100</f>
        <v>-7.37</v>
      </c>
    </row>
    <row r="86" spans="1:17" x14ac:dyDescent="0.25">
      <c r="A86" s="97" t="str">
        <f>'Snapshot (Value)'!A90</f>
        <v>HINDUNILVR</v>
      </c>
      <c r="B86" s="140">
        <f>VLOOKUP($A86,'Data shares'!$C:$FB,7)</f>
        <v>2136.9</v>
      </c>
      <c r="C86" s="140">
        <f>VLOOKUP($A86,'Data shares'!$C:$FB,3)</f>
        <v>2139</v>
      </c>
      <c r="D86" s="140">
        <f>VLOOKUP($A86,'Data shares'!$C:$FB,4)</f>
        <v>2168.8000000000002</v>
      </c>
      <c r="E86" s="50">
        <f t="shared" si="3"/>
        <v>-1.3740317226115908</v>
      </c>
      <c r="F86" s="49">
        <f>VLOOKUP($A86,'Data shares'!$C:$FB,98)</f>
        <v>26499000</v>
      </c>
      <c r="G86" s="49">
        <f>VLOOKUP($A86,'Data shares'!$C:$FB,99)</f>
        <v>25338600</v>
      </c>
      <c r="H86" s="50">
        <f t="shared" si="4"/>
        <v>4.5795742464066684</v>
      </c>
      <c r="I86" s="49">
        <f>VLOOKUP($A86,'Data shares'!$C:$FB,66)</f>
        <v>17023800</v>
      </c>
      <c r="J86" s="49">
        <f>VLOOKUP($A86,'Data shares'!$C:$FB,67)</f>
        <v>10680300</v>
      </c>
      <c r="K86" s="50">
        <f t="shared" si="5"/>
        <v>37.26253832869277</v>
      </c>
      <c r="L86" s="50">
        <f>VLOOKUP($A86,'Data shares'!$C:$FB,118)</f>
        <v>0.47</v>
      </c>
      <c r="M86" s="50">
        <f>VLOOKUP($A86,'Data shares'!$C:$FB,119)</f>
        <v>0.52</v>
      </c>
      <c r="N86" s="50">
        <f>VLOOKUP($A86,'Data shares'!$C:$FB,121)*100</f>
        <v>-9.6199999999999992</v>
      </c>
      <c r="O86" s="50">
        <f>VLOOKUP($A86,'Data shares'!$C:$FB,124)</f>
        <v>0.45</v>
      </c>
      <c r="P86" s="50">
        <f>VLOOKUP($A86,'Data shares'!$C:$FB,125)</f>
        <v>0.54</v>
      </c>
      <c r="Q86" s="50">
        <f>VLOOKUP($A86,'Data shares'!$C:$FB,127)*100</f>
        <v>-16.669999999999998</v>
      </c>
    </row>
    <row r="87" spans="1:17" x14ac:dyDescent="0.25">
      <c r="A87" s="97" t="str">
        <f>'Snapshot (Value)'!A91</f>
        <v>HINDZINC</v>
      </c>
      <c r="B87" s="140">
        <f>VLOOKUP($A87,'Data shares'!$C:$FB,7)</f>
        <v>583</v>
      </c>
      <c r="C87" s="140">
        <f>VLOOKUP($A87,'Data shares'!$C:$FB,3)</f>
        <v>583.70000000000005</v>
      </c>
      <c r="D87" s="140">
        <f>VLOOKUP($A87,'Data shares'!$C:$FB,4)</f>
        <v>588.54999999999995</v>
      </c>
      <c r="E87" s="50">
        <f t="shared" si="3"/>
        <v>-0.82405912836630868</v>
      </c>
      <c r="F87" s="49">
        <f>VLOOKUP($A87,'Data shares'!$C:$FB,98)</f>
        <v>80048850</v>
      </c>
      <c r="G87" s="49">
        <f>VLOOKUP($A87,'Data shares'!$C:$FB,99)</f>
        <v>80070900</v>
      </c>
      <c r="H87" s="50">
        <f t="shared" si="4"/>
        <v>-2.753809436387002E-2</v>
      </c>
      <c r="I87" s="49">
        <f>VLOOKUP($A87,'Data shares'!$C:$FB,66)</f>
        <v>35845950</v>
      </c>
      <c r="J87" s="49">
        <f>VLOOKUP($A87,'Data shares'!$C:$FB,67)</f>
        <v>56944125</v>
      </c>
      <c r="K87" s="50">
        <f t="shared" si="5"/>
        <v>-58.857904449456633</v>
      </c>
      <c r="L87" s="50">
        <f>VLOOKUP($A87,'Data shares'!$C:$FB,118)</f>
        <v>0.56999999999999995</v>
      </c>
      <c r="M87" s="50">
        <f>VLOOKUP($A87,'Data shares'!$C:$FB,119)</f>
        <v>0.57999999999999996</v>
      </c>
      <c r="N87" s="50">
        <f>VLOOKUP($A87,'Data shares'!$C:$FB,121)*100</f>
        <v>-1.72</v>
      </c>
      <c r="O87" s="50">
        <f>VLOOKUP($A87,'Data shares'!$C:$FB,124)</f>
        <v>0.56999999999999995</v>
      </c>
      <c r="P87" s="50">
        <f>VLOOKUP($A87,'Data shares'!$C:$FB,125)</f>
        <v>0.68</v>
      </c>
      <c r="Q87" s="50">
        <f>VLOOKUP($A87,'Data shares'!$C:$FB,127)*100</f>
        <v>-16.18</v>
      </c>
    </row>
    <row r="88" spans="1:17" x14ac:dyDescent="0.25">
      <c r="A88" s="97" t="str">
        <f>'Snapshot (Value)'!A92</f>
        <v>HUDCO</v>
      </c>
      <c r="B88" s="140">
        <f>VLOOKUP($A88,'Data shares'!$C:$FB,7)</f>
        <v>176.66</v>
      </c>
      <c r="C88" s="140">
        <f>VLOOKUP($A88,'Data shares'!$C:$FB,3)</f>
        <v>177.05</v>
      </c>
      <c r="D88" s="140">
        <f>VLOOKUP($A88,'Data shares'!$C:$FB,4)</f>
        <v>178.01</v>
      </c>
      <c r="E88" s="50">
        <f t="shared" si="3"/>
        <v>-0.53929554519407874</v>
      </c>
      <c r="F88" s="140">
        <f>VLOOKUP($A88,'Data shares'!$C:$FB,98)</f>
        <v>73648500</v>
      </c>
      <c r="G88" s="140">
        <f>VLOOKUP($A88,'Data shares'!$C:$FB,99)</f>
        <v>72838200</v>
      </c>
      <c r="H88" s="50">
        <f t="shared" si="4"/>
        <v>1.1124657116732704</v>
      </c>
      <c r="I88" s="49">
        <f>VLOOKUP($A88,'Data shares'!$C:$FB,66)</f>
        <v>14715825</v>
      </c>
      <c r="J88" s="49">
        <f>VLOOKUP($A88,'Data shares'!$C:$FB,67)</f>
        <v>21728250</v>
      </c>
      <c r="K88" s="50">
        <f t="shared" si="5"/>
        <v>-47.652272298698847</v>
      </c>
      <c r="L88" s="50">
        <f>VLOOKUP($A88,'Data shares'!$C:$FB,118)</f>
        <v>0.63</v>
      </c>
      <c r="M88" s="50">
        <f>VLOOKUP($A88,'Data shares'!$C:$FB,119)</f>
        <v>0.67</v>
      </c>
      <c r="N88" s="50">
        <f>VLOOKUP($A88,'Data shares'!$C:$FB,121)*100</f>
        <v>-5.9700000000000006</v>
      </c>
      <c r="O88" s="50">
        <f>VLOOKUP($A88,'Data shares'!$C:$FB,124)</f>
        <v>0.28000000000000003</v>
      </c>
      <c r="P88" s="50">
        <f>VLOOKUP($A88,'Data shares'!$C:$FB,125)</f>
        <v>0.54</v>
      </c>
      <c r="Q88" s="50">
        <f>VLOOKUP($A88,'Data shares'!$C:$FB,127)*100</f>
        <v>-48.15</v>
      </c>
    </row>
    <row r="89" spans="1:17" x14ac:dyDescent="0.25">
      <c r="A89" s="97" t="str">
        <f>'Snapshot (Value)'!A93</f>
        <v>ICICIBANK</v>
      </c>
      <c r="B89" s="140">
        <f>VLOOKUP($A89,'Data shares'!$C:$FB,7)</f>
        <v>1266.5</v>
      </c>
      <c r="C89" s="140">
        <f>VLOOKUP($A89,'Data shares'!$C:$FB,3)</f>
        <v>1271.5999999999999</v>
      </c>
      <c r="D89" s="140">
        <f>VLOOKUP($A89,'Data shares'!$C:$FB,4)</f>
        <v>1296.2</v>
      </c>
      <c r="E89" s="50">
        <f t="shared" si="3"/>
        <v>-1.8978552692485833</v>
      </c>
      <c r="F89" s="49">
        <f>VLOOKUP($A89,'Data shares'!$C:$FB,98)</f>
        <v>186146800</v>
      </c>
      <c r="G89" s="49">
        <f>VLOOKUP($A89,'Data shares'!$C:$FB,99)</f>
        <v>181717900</v>
      </c>
      <c r="H89" s="50">
        <f t="shared" si="4"/>
        <v>2.4372392593134742</v>
      </c>
      <c r="I89" s="49">
        <f>VLOOKUP($A89,'Data shares'!$C:$FB,66)</f>
        <v>92103900</v>
      </c>
      <c r="J89" s="49">
        <f>VLOOKUP($A89,'Data shares'!$C:$FB,67)</f>
        <v>74773300</v>
      </c>
      <c r="K89" s="50">
        <f t="shared" si="5"/>
        <v>18.816358482105535</v>
      </c>
      <c r="L89" s="50">
        <f>VLOOKUP($A89,'Data shares'!$C:$FB,118)</f>
        <v>0.59</v>
      </c>
      <c r="M89" s="50">
        <f>VLOOKUP($A89,'Data shares'!$C:$FB,119)</f>
        <v>0.61</v>
      </c>
      <c r="N89" s="50">
        <f>VLOOKUP($A89,'Data shares'!$C:$FB,121)*100</f>
        <v>-3.2800000000000002</v>
      </c>
      <c r="O89" s="50">
        <f>VLOOKUP($A89,'Data shares'!$C:$FB,124)</f>
        <v>0.54</v>
      </c>
      <c r="P89" s="50">
        <f>VLOOKUP($A89,'Data shares'!$C:$FB,125)</f>
        <v>0.68</v>
      </c>
      <c r="Q89" s="50">
        <f>VLOOKUP($A89,'Data shares'!$C:$FB,127)*100</f>
        <v>-20.59</v>
      </c>
    </row>
    <row r="90" spans="1:17" x14ac:dyDescent="0.25">
      <c r="A90" s="97" t="str">
        <f>'Snapshot (Value)'!A94</f>
        <v>ICICIGI</v>
      </c>
      <c r="B90" s="140">
        <f>VLOOKUP($A90,'Data shares'!$C:$FB,7)</f>
        <v>1855.3</v>
      </c>
      <c r="C90" s="140">
        <f>VLOOKUP($A90,'Data shares'!$C:$FB,3)</f>
        <v>1856.2</v>
      </c>
      <c r="D90" s="140">
        <f>VLOOKUP($A90,'Data shares'!$C:$FB,4)</f>
        <v>1882.7</v>
      </c>
      <c r="E90" s="50">
        <f t="shared" si="3"/>
        <v>-1.4075529824188666</v>
      </c>
      <c r="F90" s="49">
        <f>VLOOKUP($A90,'Data shares'!$C:$FB,98)</f>
        <v>6759675</v>
      </c>
      <c r="G90" s="49">
        <f>VLOOKUP($A90,'Data shares'!$C:$FB,99)</f>
        <v>6541925</v>
      </c>
      <c r="H90" s="50">
        <f t="shared" si="4"/>
        <v>3.3285309752098957</v>
      </c>
      <c r="I90" s="49">
        <f>VLOOKUP($A90,'Data shares'!$C:$FB,66)</f>
        <v>2255500</v>
      </c>
      <c r="J90" s="49">
        <f>VLOOKUP($A90,'Data shares'!$C:$FB,67)</f>
        <v>3110900</v>
      </c>
      <c r="K90" s="50">
        <f t="shared" si="5"/>
        <v>-37.925072046109506</v>
      </c>
      <c r="L90" s="50">
        <f>VLOOKUP($A90,'Data shares'!$C:$FB,118)</f>
        <v>0.53</v>
      </c>
      <c r="M90" s="50">
        <f>VLOOKUP($A90,'Data shares'!$C:$FB,119)</f>
        <v>0.63</v>
      </c>
      <c r="N90" s="50">
        <f>VLOOKUP($A90,'Data shares'!$C:$FB,121)*100</f>
        <v>-15.870000000000001</v>
      </c>
      <c r="O90" s="50">
        <f>VLOOKUP($A90,'Data shares'!$C:$FB,124)</f>
        <v>0.36</v>
      </c>
      <c r="P90" s="50">
        <f>VLOOKUP($A90,'Data shares'!$C:$FB,125)</f>
        <v>0.65</v>
      </c>
      <c r="Q90" s="50">
        <f>VLOOKUP($A90,'Data shares'!$C:$FB,127)*100</f>
        <v>-44.62</v>
      </c>
    </row>
    <row r="91" spans="1:17" x14ac:dyDescent="0.25">
      <c r="A91" s="97" t="str">
        <f>'Snapshot (Value)'!A95</f>
        <v>ICICIPRULI</v>
      </c>
      <c r="B91" s="140">
        <f>VLOOKUP($A91,'Data shares'!$C:$FB,7)</f>
        <v>592.95000000000005</v>
      </c>
      <c r="C91" s="140">
        <f>VLOOKUP($A91,'Data shares'!$C:$FB,3)</f>
        <v>594.20000000000005</v>
      </c>
      <c r="D91" s="140">
        <f>VLOOKUP($A91,'Data shares'!$C:$FB,4)</f>
        <v>598.04999999999995</v>
      </c>
      <c r="E91" s="50">
        <f t="shared" si="3"/>
        <v>-0.64375888303652018</v>
      </c>
      <c r="F91" s="49">
        <f>VLOOKUP($A91,'Data shares'!$C:$FB,98)</f>
        <v>22753150</v>
      </c>
      <c r="G91" s="49">
        <f>VLOOKUP($A91,'Data shares'!$C:$FB,99)</f>
        <v>22590350</v>
      </c>
      <c r="H91" s="50">
        <f t="shared" si="4"/>
        <v>0.72066169846859385</v>
      </c>
      <c r="I91" s="49">
        <f>VLOOKUP($A91,'Data shares'!$C:$FB,66)</f>
        <v>4071850</v>
      </c>
      <c r="J91" s="49">
        <f>VLOOKUP($A91,'Data shares'!$C:$FB,67)</f>
        <v>3703700</v>
      </c>
      <c r="K91" s="50">
        <f t="shared" si="5"/>
        <v>9.0413448432530679</v>
      </c>
      <c r="L91" s="50">
        <f>VLOOKUP($A91,'Data shares'!$C:$FB,118)</f>
        <v>0.69</v>
      </c>
      <c r="M91" s="50">
        <f>VLOOKUP($A91,'Data shares'!$C:$FB,119)</f>
        <v>0.73</v>
      </c>
      <c r="N91" s="50">
        <f>VLOOKUP($A91,'Data shares'!$C:$FB,121)*100</f>
        <v>-5.48</v>
      </c>
      <c r="O91" s="50">
        <f>VLOOKUP($A91,'Data shares'!$C:$FB,124)</f>
        <v>0.86</v>
      </c>
      <c r="P91" s="50">
        <f>VLOOKUP($A91,'Data shares'!$C:$FB,125)</f>
        <v>0.66</v>
      </c>
      <c r="Q91" s="50">
        <f>VLOOKUP($A91,'Data shares'!$C:$FB,127)*100</f>
        <v>30.3</v>
      </c>
    </row>
    <row r="92" spans="1:17" x14ac:dyDescent="0.25">
      <c r="A92" s="97" t="str">
        <f>'Snapshot (Value)'!A96</f>
        <v>IDEA</v>
      </c>
      <c r="B92" s="140">
        <f>VLOOKUP($A92,'Data shares'!$C:$FB,7)</f>
        <v>9.56</v>
      </c>
      <c r="C92" s="140">
        <f>VLOOKUP($A92,'Data shares'!$C:$FB,3)</f>
        <v>9.6</v>
      </c>
      <c r="D92" s="140">
        <f>VLOOKUP($A92,'Data shares'!$C:$FB,4)</f>
        <v>9.7200000000000006</v>
      </c>
      <c r="E92" s="50">
        <f t="shared" si="3"/>
        <v>-1.234567901234578</v>
      </c>
      <c r="F92" s="49">
        <f>VLOOKUP($A92,'Data shares'!$C:$FB,98)</f>
        <v>10123790475</v>
      </c>
      <c r="G92" s="49">
        <f>VLOOKUP($A92,'Data shares'!$C:$FB,99)</f>
        <v>10074472725</v>
      </c>
      <c r="H92" s="50">
        <f t="shared" si="4"/>
        <v>0.4895318231158346</v>
      </c>
      <c r="I92" s="49">
        <f>VLOOKUP($A92,'Data shares'!$C:$FB,66)</f>
        <v>2358031725</v>
      </c>
      <c r="J92" s="49">
        <f>VLOOKUP($A92,'Data shares'!$C:$FB,67)</f>
        <v>1534782675</v>
      </c>
      <c r="K92" s="50">
        <f t="shared" si="5"/>
        <v>34.912551908096148</v>
      </c>
      <c r="L92" s="50">
        <f>VLOOKUP($A92,'Data shares'!$C:$FB,118)</f>
        <v>0.49</v>
      </c>
      <c r="M92" s="50">
        <f>VLOOKUP($A92,'Data shares'!$C:$FB,119)</f>
        <v>0.5</v>
      </c>
      <c r="N92" s="50">
        <f>VLOOKUP($A92,'Data shares'!$C:$FB,121)*100</f>
        <v>-2</v>
      </c>
      <c r="O92" s="50">
        <f>VLOOKUP($A92,'Data shares'!$C:$FB,124)</f>
        <v>0.4</v>
      </c>
      <c r="P92" s="50">
        <f>VLOOKUP($A92,'Data shares'!$C:$FB,125)</f>
        <v>0.42</v>
      </c>
      <c r="Q92" s="50">
        <f>VLOOKUP($A92,'Data shares'!$C:$FB,127)*100</f>
        <v>-4.7600000000000007</v>
      </c>
    </row>
    <row r="93" spans="1:17" x14ac:dyDescent="0.25">
      <c r="A93" s="97" t="str">
        <f>'Snapshot (Value)'!A97</f>
        <v>IDFCFIRSTB</v>
      </c>
      <c r="B93" s="140">
        <f>VLOOKUP($A93,'Data shares'!$C:$FB,7)</f>
        <v>64.78</v>
      </c>
      <c r="C93" s="140">
        <f>VLOOKUP($A93,'Data shares'!$C:$FB,3)</f>
        <v>64.98</v>
      </c>
      <c r="D93" s="140">
        <f>VLOOKUP($A93,'Data shares'!$C:$FB,4)</f>
        <v>66.260000000000005</v>
      </c>
      <c r="E93" s="50">
        <f t="shared" si="3"/>
        <v>-1.9317838816782389</v>
      </c>
      <c r="F93" s="49">
        <f>VLOOKUP($A93,'Data shares'!$C:$FB,98)</f>
        <v>1041554675</v>
      </c>
      <c r="G93" s="49">
        <f>VLOOKUP($A93,'Data shares'!$C:$FB,99)</f>
        <v>1035090000</v>
      </c>
      <c r="H93" s="50">
        <f t="shared" si="4"/>
        <v>0.62455197132616491</v>
      </c>
      <c r="I93" s="49">
        <f>VLOOKUP($A93,'Data shares'!$C:$FB,66)</f>
        <v>339381525</v>
      </c>
      <c r="J93" s="49">
        <f>VLOOKUP($A93,'Data shares'!$C:$FB,67)</f>
        <v>261017050</v>
      </c>
      <c r="K93" s="50">
        <f t="shared" si="5"/>
        <v>23.090377415211393</v>
      </c>
      <c r="L93" s="50">
        <f>VLOOKUP($A93,'Data shares'!$C:$FB,118)</f>
        <v>0.56999999999999995</v>
      </c>
      <c r="M93" s="50">
        <f>VLOOKUP($A93,'Data shares'!$C:$FB,119)</f>
        <v>0.57999999999999996</v>
      </c>
      <c r="N93" s="50">
        <f>VLOOKUP($A93,'Data shares'!$C:$FB,121)*100</f>
        <v>-1.72</v>
      </c>
      <c r="O93" s="50">
        <f>VLOOKUP($A93,'Data shares'!$C:$FB,124)</f>
        <v>0.71</v>
      </c>
      <c r="P93" s="50">
        <f>VLOOKUP($A93,'Data shares'!$C:$FB,125)</f>
        <v>0.55000000000000004</v>
      </c>
      <c r="Q93" s="50">
        <f>VLOOKUP($A93,'Data shares'!$C:$FB,127)*100</f>
        <v>29.09</v>
      </c>
    </row>
    <row r="94" spans="1:17" x14ac:dyDescent="0.25">
      <c r="A94" s="97" t="str">
        <f>'Snapshot (Value)'!A98</f>
        <v>IEX</v>
      </c>
      <c r="B94" s="140">
        <f>VLOOKUP($A94,'Data shares'!$C:$FB,7)</f>
        <v>122.76</v>
      </c>
      <c r="C94" s="140">
        <f>VLOOKUP($A94,'Data shares'!$C:$FB,3)</f>
        <v>122.95</v>
      </c>
      <c r="D94" s="140">
        <f>VLOOKUP($A94,'Data shares'!$C:$FB,4)</f>
        <v>122.95</v>
      </c>
      <c r="E94" s="50">
        <f t="shared" si="3"/>
        <v>0</v>
      </c>
      <c r="F94" s="49">
        <f>VLOOKUP($A94,'Data shares'!$C:$FB,98)</f>
        <v>148113750</v>
      </c>
      <c r="G94" s="49">
        <f>VLOOKUP($A94,'Data shares'!$C:$FB,99)</f>
        <v>146835000</v>
      </c>
      <c r="H94" s="50">
        <f t="shared" si="4"/>
        <v>0.87087547246909802</v>
      </c>
      <c r="I94" s="49">
        <f>VLOOKUP($A94,'Data shares'!$C:$FB,66)</f>
        <v>51041250</v>
      </c>
      <c r="J94" s="49">
        <f>VLOOKUP($A94,'Data shares'!$C:$FB,67)</f>
        <v>104516250</v>
      </c>
      <c r="K94" s="50">
        <f t="shared" si="5"/>
        <v>-104.76820218940563</v>
      </c>
      <c r="L94" s="50">
        <f>VLOOKUP($A94,'Data shares'!$C:$FB,118)</f>
        <v>0.68</v>
      </c>
      <c r="M94" s="50">
        <f>VLOOKUP($A94,'Data shares'!$C:$FB,119)</f>
        <v>0.67</v>
      </c>
      <c r="N94" s="50">
        <f>VLOOKUP($A94,'Data shares'!$C:$FB,121)*100</f>
        <v>1.49</v>
      </c>
      <c r="O94" s="50">
        <f>VLOOKUP($A94,'Data shares'!$C:$FB,124)</f>
        <v>0.27</v>
      </c>
      <c r="P94" s="50">
        <f>VLOOKUP($A94,'Data shares'!$C:$FB,125)</f>
        <v>0.25</v>
      </c>
      <c r="Q94" s="50">
        <f>VLOOKUP($A94,'Data shares'!$C:$FB,127)*100</f>
        <v>8</v>
      </c>
    </row>
    <row r="95" spans="1:17" x14ac:dyDescent="0.25">
      <c r="A95" s="97" t="str">
        <f>'Snapshot (Value)'!A99</f>
        <v>INDHOTEL</v>
      </c>
      <c r="B95" s="140">
        <f>VLOOKUP($A95,'Data shares'!$C:$FB,7)</f>
        <v>624.95000000000005</v>
      </c>
      <c r="C95" s="140">
        <f>VLOOKUP($A95,'Data shares'!$C:$FB,3)</f>
        <v>625.65</v>
      </c>
      <c r="D95" s="140">
        <f>VLOOKUP($A95,'Data shares'!$C:$FB,4)</f>
        <v>624.45000000000005</v>
      </c>
      <c r="E95" s="50">
        <f t="shared" si="3"/>
        <v>0.19216910881574692</v>
      </c>
      <c r="F95" s="49">
        <f>VLOOKUP($A95,'Data shares'!$C:$FB,98)</f>
        <v>36223000</v>
      </c>
      <c r="G95" s="49">
        <f>VLOOKUP($A95,'Data shares'!$C:$FB,99)</f>
        <v>36288000</v>
      </c>
      <c r="H95" s="50">
        <f t="shared" si="4"/>
        <v>-0.17912257495590828</v>
      </c>
      <c r="I95" s="49">
        <f>VLOOKUP($A95,'Data shares'!$C:$FB,66)</f>
        <v>19515000</v>
      </c>
      <c r="J95" s="49">
        <f>VLOOKUP($A95,'Data shares'!$C:$FB,67)</f>
        <v>10341000</v>
      </c>
      <c r="K95" s="50">
        <f t="shared" si="5"/>
        <v>47.009992313604918</v>
      </c>
      <c r="L95" s="50">
        <f>VLOOKUP($A95,'Data shares'!$C:$FB,118)</f>
        <v>0.86</v>
      </c>
      <c r="M95" s="50">
        <f>VLOOKUP($A95,'Data shares'!$C:$FB,119)</f>
        <v>0.83</v>
      </c>
      <c r="N95" s="50">
        <f>VLOOKUP($A95,'Data shares'!$C:$FB,121)*100</f>
        <v>3.61</v>
      </c>
      <c r="O95" s="50">
        <f>VLOOKUP($A95,'Data shares'!$C:$FB,124)</f>
        <v>1.1599999999999999</v>
      </c>
      <c r="P95" s="50">
        <f>VLOOKUP($A95,'Data shares'!$C:$FB,125)</f>
        <v>1.39</v>
      </c>
      <c r="Q95" s="50">
        <f>VLOOKUP($A95,'Data shares'!$C:$FB,127)*100</f>
        <v>-16.55</v>
      </c>
    </row>
    <row r="96" spans="1:17" x14ac:dyDescent="0.25">
      <c r="A96" s="97" t="str">
        <f>'Snapshot (Value)'!A100</f>
        <v>INDIANB</v>
      </c>
      <c r="B96" s="140">
        <f>VLOOKUP($A96,'Data shares'!$C:$FB,7)</f>
        <v>909.6</v>
      </c>
      <c r="C96" s="140">
        <f>VLOOKUP($A96,'Data shares'!$C:$FB,3)</f>
        <v>912.9</v>
      </c>
      <c r="D96" s="140">
        <f>VLOOKUP($A96,'Data shares'!$C:$FB,4)</f>
        <v>915.35</v>
      </c>
      <c r="E96" s="50">
        <f t="shared" si="3"/>
        <v>-0.26765718031354624</v>
      </c>
      <c r="F96" s="49">
        <f>VLOOKUP($A96,'Data shares'!$C:$FB,98)</f>
        <v>17624000</v>
      </c>
      <c r="G96" s="49">
        <f>VLOOKUP($A96,'Data shares'!$C:$FB,99)</f>
        <v>16758000</v>
      </c>
      <c r="H96" s="50">
        <f t="shared" si="4"/>
        <v>5.1676811075307318</v>
      </c>
      <c r="I96" s="49">
        <f>VLOOKUP($A96,'Data shares'!$C:$FB,66)</f>
        <v>9370000</v>
      </c>
      <c r="J96" s="49">
        <f>VLOOKUP($A96,'Data shares'!$C:$FB,67)</f>
        <v>7930000</v>
      </c>
      <c r="K96" s="50">
        <f t="shared" si="5"/>
        <v>15.36819637139808</v>
      </c>
      <c r="L96" s="50">
        <f>VLOOKUP($A96,'Data shares'!$C:$FB,118)</f>
        <v>0.67</v>
      </c>
      <c r="M96" s="50">
        <f>VLOOKUP($A96,'Data shares'!$C:$FB,119)</f>
        <v>0.73</v>
      </c>
      <c r="N96" s="50">
        <f>VLOOKUP($A96,'Data shares'!$C:$FB,121)*100</f>
        <v>-8.2199999999999989</v>
      </c>
      <c r="O96" s="50">
        <f>VLOOKUP($A96,'Data shares'!$C:$FB,124)</f>
        <v>0.59</v>
      </c>
      <c r="P96" s="50">
        <f>VLOOKUP($A96,'Data shares'!$C:$FB,125)</f>
        <v>0.63</v>
      </c>
      <c r="Q96" s="50">
        <f>VLOOKUP($A96,'Data shares'!$C:$FB,127)*100</f>
        <v>-6.35</v>
      </c>
    </row>
    <row r="97" spans="1:17" x14ac:dyDescent="0.25">
      <c r="A97" s="97" t="str">
        <f>'Snapshot (Value)'!A101</f>
        <v>INDIAVIX</v>
      </c>
      <c r="B97" s="140">
        <f>VLOOKUP($A97,'Data shares'!$C:$FB,7)</f>
        <v>21.52</v>
      </c>
      <c r="C97" s="140">
        <f>VLOOKUP($A97,'Data shares'!$C:$FB,3)</f>
        <v>21.52</v>
      </c>
      <c r="D97" s="140">
        <f>VLOOKUP($A97,'Data shares'!$C:$FB,4)</f>
        <v>21.06</v>
      </c>
      <c r="E97" s="50">
        <f t="shared" si="3"/>
        <v>2.184235517568855</v>
      </c>
      <c r="F97" s="49">
        <f>VLOOKUP($A97,'Data shares'!$C:$FB,98)</f>
        <v>0</v>
      </c>
      <c r="G97" s="49">
        <f>VLOOKUP($A97,'Data shares'!$C:$FB,99)</f>
        <v>0</v>
      </c>
      <c r="H97" s="50" t="e">
        <f t="shared" si="4"/>
        <v>#DIV/0!</v>
      </c>
      <c r="I97" s="49">
        <f>VLOOKUP($A97,'Data shares'!$C:$FB,66)</f>
        <v>0</v>
      </c>
      <c r="J97" s="49">
        <f>VLOOKUP($A97,'Data shares'!$C:$FB,67)</f>
        <v>0</v>
      </c>
      <c r="K97" s="50" t="e">
        <f t="shared" si="5"/>
        <v>#DIV/0!</v>
      </c>
      <c r="L97" s="50">
        <f>VLOOKUP($A97,'Data shares'!$C:$FB,118)</f>
        <v>0</v>
      </c>
      <c r="M97" s="50">
        <f>VLOOKUP($A97,'Data shares'!$C:$FB,119)</f>
        <v>0</v>
      </c>
      <c r="N97" s="50">
        <f>VLOOKUP($A97,'Data shares'!$C:$FB,121)*100</f>
        <v>0</v>
      </c>
      <c r="O97" s="50">
        <f>VLOOKUP($A97,'Data shares'!$C:$FB,124)</f>
        <v>0</v>
      </c>
      <c r="P97" s="50">
        <f>VLOOKUP($A97,'Data shares'!$C:$FB,125)</f>
        <v>0</v>
      </c>
      <c r="Q97" s="50">
        <f>VLOOKUP($A97,'Data shares'!$C:$FB,127)*100</f>
        <v>0</v>
      </c>
    </row>
    <row r="98" spans="1:17" x14ac:dyDescent="0.25">
      <c r="A98" s="97" t="str">
        <f>'Snapshot (Value)'!A102</f>
        <v>INDIGO</v>
      </c>
      <c r="B98" s="140">
        <f>VLOOKUP($A98,'Data shares'!$C:$FB,7)</f>
        <v>4251.7</v>
      </c>
      <c r="C98" s="140">
        <f>VLOOKUP($A98,'Data shares'!$C:$FB,3)</f>
        <v>4258.1000000000004</v>
      </c>
      <c r="D98" s="140">
        <f>VLOOKUP($A98,'Data shares'!$C:$FB,4)</f>
        <v>4355.5</v>
      </c>
      <c r="E98" s="50">
        <f t="shared" si="3"/>
        <v>-2.2362530134312855</v>
      </c>
      <c r="F98" s="49">
        <f>VLOOKUP($A98,'Data shares'!$C:$FB,98)</f>
        <v>21913500</v>
      </c>
      <c r="G98" s="49">
        <f>VLOOKUP($A98,'Data shares'!$C:$FB,99)</f>
        <v>21936300</v>
      </c>
      <c r="H98" s="50">
        <f t="shared" si="4"/>
        <v>-0.10393730939128294</v>
      </c>
      <c r="I98" s="49">
        <f>VLOOKUP($A98,'Data shares'!$C:$FB,66)</f>
        <v>16545600</v>
      </c>
      <c r="J98" s="49">
        <f>VLOOKUP($A98,'Data shares'!$C:$FB,67)</f>
        <v>30472950</v>
      </c>
      <c r="K98" s="50">
        <f t="shared" si="5"/>
        <v>-84.17555120394546</v>
      </c>
      <c r="L98" s="50">
        <f>VLOOKUP($A98,'Data shares'!$C:$FB,118)</f>
        <v>0.55000000000000004</v>
      </c>
      <c r="M98" s="50">
        <f>VLOOKUP($A98,'Data shares'!$C:$FB,119)</f>
        <v>0.6</v>
      </c>
      <c r="N98" s="50">
        <f>VLOOKUP($A98,'Data shares'!$C:$FB,121)*100</f>
        <v>-8.33</v>
      </c>
      <c r="O98" s="50">
        <f>VLOOKUP($A98,'Data shares'!$C:$FB,124)</f>
        <v>1.1599999999999999</v>
      </c>
      <c r="P98" s="50">
        <f>VLOOKUP($A98,'Data shares'!$C:$FB,125)</f>
        <v>0.85</v>
      </c>
      <c r="Q98" s="50">
        <f>VLOOKUP($A98,'Data shares'!$C:$FB,127)*100</f>
        <v>36.47</v>
      </c>
    </row>
    <row r="99" spans="1:17" x14ac:dyDescent="0.25">
      <c r="A99" s="97" t="str">
        <f>'Snapshot (Value)'!A103</f>
        <v>INDUSINDBK</v>
      </c>
      <c r="B99" s="140">
        <f>VLOOKUP($A99,'Data shares'!$C:$FB,7)</f>
        <v>831.35</v>
      </c>
      <c r="C99" s="140">
        <f>VLOOKUP($A99,'Data shares'!$C:$FB,3)</f>
        <v>830.95</v>
      </c>
      <c r="D99" s="140">
        <f>VLOOKUP($A99,'Data shares'!$C:$FB,4)</f>
        <v>876.4</v>
      </c>
      <c r="E99" s="50">
        <f t="shared" si="3"/>
        <v>-5.1859881332724704</v>
      </c>
      <c r="F99" s="49">
        <f>VLOOKUP($A99,'Data shares'!$C:$FB,98)</f>
        <v>57665300</v>
      </c>
      <c r="G99" s="49">
        <f>VLOOKUP($A99,'Data shares'!$C:$FB,99)</f>
        <v>52799600</v>
      </c>
      <c r="H99" s="50">
        <f t="shared" si="4"/>
        <v>9.2154107228085067</v>
      </c>
      <c r="I99" s="49">
        <f>VLOOKUP($A99,'Data shares'!$C:$FB,66)</f>
        <v>59757600</v>
      </c>
      <c r="J99" s="49">
        <f>VLOOKUP($A99,'Data shares'!$C:$FB,67)</f>
        <v>20575800</v>
      </c>
      <c r="K99" s="50">
        <f t="shared" si="5"/>
        <v>65.567894292943492</v>
      </c>
      <c r="L99" s="50">
        <f>VLOOKUP($A99,'Data shares'!$C:$FB,118)</f>
        <v>0.79</v>
      </c>
      <c r="M99" s="50">
        <f>VLOOKUP($A99,'Data shares'!$C:$FB,119)</f>
        <v>0.85</v>
      </c>
      <c r="N99" s="50">
        <f>VLOOKUP($A99,'Data shares'!$C:$FB,121)*100</f>
        <v>-7.06</v>
      </c>
      <c r="O99" s="50">
        <f>VLOOKUP($A99,'Data shares'!$C:$FB,124)</f>
        <v>0.95</v>
      </c>
      <c r="P99" s="50">
        <f>VLOOKUP($A99,'Data shares'!$C:$FB,125)</f>
        <v>0.66</v>
      </c>
      <c r="Q99" s="50">
        <f>VLOOKUP($A99,'Data shares'!$C:$FB,127)*100</f>
        <v>43.94</v>
      </c>
    </row>
    <row r="100" spans="1:17" x14ac:dyDescent="0.25">
      <c r="A100" s="97" t="str">
        <f>'Snapshot (Value)'!A104</f>
        <v>INDUSTOWER</v>
      </c>
      <c r="B100" s="140">
        <f>VLOOKUP($A100,'Data shares'!$C:$FB,7)</f>
        <v>442.05</v>
      </c>
      <c r="C100" s="140">
        <f>VLOOKUP($A100,'Data shares'!$C:$FB,3)</f>
        <v>442.45</v>
      </c>
      <c r="D100" s="140">
        <f>VLOOKUP($A100,'Data shares'!$C:$FB,4)</f>
        <v>439.3</v>
      </c>
      <c r="E100" s="50">
        <f t="shared" si="3"/>
        <v>0.71704985203732696</v>
      </c>
      <c r="F100" s="49">
        <f>VLOOKUP($A100,'Data shares'!$C:$FB,98)</f>
        <v>92995100</v>
      </c>
      <c r="G100" s="49">
        <f>VLOOKUP($A100,'Data shares'!$C:$FB,99)</f>
        <v>92349100</v>
      </c>
      <c r="H100" s="50">
        <f t="shared" si="4"/>
        <v>0.69951954052611232</v>
      </c>
      <c r="I100" s="49">
        <f>VLOOKUP($A100,'Data shares'!$C:$FB,66)</f>
        <v>42981100</v>
      </c>
      <c r="J100" s="49">
        <f>VLOOKUP($A100,'Data shares'!$C:$FB,67)</f>
        <v>18251200</v>
      </c>
      <c r="K100" s="50">
        <f t="shared" si="5"/>
        <v>57.536684728869204</v>
      </c>
      <c r="L100" s="50">
        <f>VLOOKUP($A100,'Data shares'!$C:$FB,118)</f>
        <v>0.53</v>
      </c>
      <c r="M100" s="50">
        <f>VLOOKUP($A100,'Data shares'!$C:$FB,119)</f>
        <v>0.51</v>
      </c>
      <c r="N100" s="50">
        <f>VLOOKUP($A100,'Data shares'!$C:$FB,121)*100</f>
        <v>3.92</v>
      </c>
      <c r="O100" s="50">
        <f>VLOOKUP($A100,'Data shares'!$C:$FB,124)</f>
        <v>0.6</v>
      </c>
      <c r="P100" s="50">
        <f>VLOOKUP($A100,'Data shares'!$C:$FB,125)</f>
        <v>0.43</v>
      </c>
      <c r="Q100" s="50">
        <f>VLOOKUP($A100,'Data shares'!$C:$FB,127)*100</f>
        <v>39.53</v>
      </c>
    </row>
    <row r="101" spans="1:17" x14ac:dyDescent="0.25">
      <c r="A101" s="97" t="str">
        <f>'Snapshot (Value)'!A105</f>
        <v>INFY</v>
      </c>
      <c r="B101" s="140">
        <f>VLOOKUP($A101,'Data shares'!$C:$FB,7)</f>
        <v>1265.8</v>
      </c>
      <c r="C101" s="140">
        <f>VLOOKUP($A101,'Data shares'!$C:$FB,3)</f>
        <v>1270.2</v>
      </c>
      <c r="D101" s="140">
        <f>VLOOKUP($A101,'Data shares'!$C:$FB,4)</f>
        <v>1278.3</v>
      </c>
      <c r="E101" s="50">
        <f t="shared" si="3"/>
        <v>-0.63365407181412103</v>
      </c>
      <c r="F101" s="49">
        <f>VLOOKUP($A101,'Data shares'!$C:$FB,98)</f>
        <v>139255200</v>
      </c>
      <c r="G101" s="49">
        <f>VLOOKUP($A101,'Data shares'!$C:$FB,99)</f>
        <v>140021600</v>
      </c>
      <c r="H101" s="50">
        <f t="shared" si="4"/>
        <v>-0.54734412404943245</v>
      </c>
      <c r="I101" s="49">
        <f>VLOOKUP($A101,'Data shares'!$C:$FB,66)</f>
        <v>53620400</v>
      </c>
      <c r="J101" s="49">
        <f>VLOOKUP($A101,'Data shares'!$C:$FB,67)</f>
        <v>46398400</v>
      </c>
      <c r="K101" s="50">
        <f t="shared" si="5"/>
        <v>13.468754429284377</v>
      </c>
      <c r="L101" s="50">
        <f>VLOOKUP($A101,'Data shares'!$C:$FB,118)</f>
        <v>0.47</v>
      </c>
      <c r="M101" s="50">
        <f>VLOOKUP($A101,'Data shares'!$C:$FB,119)</f>
        <v>0.47</v>
      </c>
      <c r="N101" s="50">
        <f>VLOOKUP($A101,'Data shares'!$C:$FB,121)*100</f>
        <v>0</v>
      </c>
      <c r="O101" s="50">
        <f>VLOOKUP($A101,'Data shares'!$C:$FB,124)</f>
        <v>0.52</v>
      </c>
      <c r="P101" s="50">
        <f>VLOOKUP($A101,'Data shares'!$C:$FB,125)</f>
        <v>0.59</v>
      </c>
      <c r="Q101" s="50">
        <f>VLOOKUP($A101,'Data shares'!$C:$FB,127)*100</f>
        <v>-11.86</v>
      </c>
    </row>
    <row r="102" spans="1:17" x14ac:dyDescent="0.25">
      <c r="A102" s="97" t="str">
        <f>'Snapshot (Value)'!A106</f>
        <v>INOXWIND</v>
      </c>
      <c r="B102" s="140">
        <f>VLOOKUP($A102,'Data shares'!$C:$FB,7)</f>
        <v>83.68</v>
      </c>
      <c r="C102" s="140">
        <f>VLOOKUP($A102,'Data shares'!$C:$FB,3)</f>
        <v>83.99</v>
      </c>
      <c r="D102" s="140">
        <f>VLOOKUP($A102,'Data shares'!$C:$FB,4)</f>
        <v>82.38</v>
      </c>
      <c r="E102" s="50">
        <f t="shared" si="3"/>
        <v>1.9543578538480206</v>
      </c>
      <c r="F102" s="49">
        <f>VLOOKUP($A102,'Data shares'!$C:$FB,98)</f>
        <v>165029150</v>
      </c>
      <c r="G102" s="49">
        <f>VLOOKUP($A102,'Data shares'!$C:$FB,99)</f>
        <v>166037300</v>
      </c>
      <c r="H102" s="50">
        <f t="shared" si="4"/>
        <v>-0.60718284385496513</v>
      </c>
      <c r="I102" s="49">
        <f>VLOOKUP($A102,'Data shares'!$C:$FB,66)</f>
        <v>86028800</v>
      </c>
      <c r="J102" s="49">
        <f>VLOOKUP($A102,'Data shares'!$C:$FB,67)</f>
        <v>41670200</v>
      </c>
      <c r="K102" s="50">
        <f t="shared" si="5"/>
        <v>51.5625</v>
      </c>
      <c r="L102" s="50">
        <f>VLOOKUP($A102,'Data shares'!$C:$FB,118)</f>
        <v>0.68</v>
      </c>
      <c r="M102" s="50">
        <f>VLOOKUP($A102,'Data shares'!$C:$FB,119)</f>
        <v>0.65</v>
      </c>
      <c r="N102" s="50">
        <f>VLOOKUP($A102,'Data shares'!$C:$FB,121)*100</f>
        <v>4.62</v>
      </c>
      <c r="O102" s="50">
        <f>VLOOKUP($A102,'Data shares'!$C:$FB,124)</f>
        <v>0.22</v>
      </c>
      <c r="P102" s="50">
        <f>VLOOKUP($A102,'Data shares'!$C:$FB,125)</f>
        <v>0.32</v>
      </c>
      <c r="Q102" s="50">
        <f>VLOOKUP($A102,'Data shares'!$C:$FB,127)*100</f>
        <v>-31.25</v>
      </c>
    </row>
    <row r="103" spans="1:17" x14ac:dyDescent="0.25">
      <c r="A103" s="97" t="str">
        <f>'Snapshot (Value)'!A107</f>
        <v>IOC</v>
      </c>
      <c r="B103" s="140">
        <f>VLOOKUP($A103,'Data shares'!$C:$FB,7)</f>
        <v>160.16</v>
      </c>
      <c r="C103" s="140">
        <f>VLOOKUP($A103,'Data shares'!$C:$FB,3)</f>
        <v>160.74</v>
      </c>
      <c r="D103" s="140">
        <f>VLOOKUP($A103,'Data shares'!$C:$FB,4)</f>
        <v>159.04</v>
      </c>
      <c r="E103" s="50">
        <f t="shared" si="3"/>
        <v>1.0689134808853227</v>
      </c>
      <c r="F103" s="49">
        <f>VLOOKUP($A103,'Data shares'!$C:$FB,98)</f>
        <v>232362000</v>
      </c>
      <c r="G103" s="49">
        <f>VLOOKUP($A103,'Data shares'!$C:$FB,99)</f>
        <v>227287125</v>
      </c>
      <c r="H103" s="50">
        <f t="shared" si="4"/>
        <v>2.2328035518949876</v>
      </c>
      <c r="I103" s="49">
        <f>VLOOKUP($A103,'Data shares'!$C:$FB,66)</f>
        <v>139737000</v>
      </c>
      <c r="J103" s="49">
        <f>VLOOKUP($A103,'Data shares'!$C:$FB,67)</f>
        <v>119242500</v>
      </c>
      <c r="K103" s="50">
        <f t="shared" si="5"/>
        <v>14.666480602846777</v>
      </c>
      <c r="L103" s="50">
        <f>VLOOKUP($A103,'Data shares'!$C:$FB,118)</f>
        <v>0.89</v>
      </c>
      <c r="M103" s="50">
        <f>VLOOKUP($A103,'Data shares'!$C:$FB,119)</f>
        <v>0.93</v>
      </c>
      <c r="N103" s="50">
        <f>VLOOKUP($A103,'Data shares'!$C:$FB,121)*100</f>
        <v>-4.3</v>
      </c>
      <c r="O103" s="50">
        <f>VLOOKUP($A103,'Data shares'!$C:$FB,124)</f>
        <v>1.01</v>
      </c>
      <c r="P103" s="50">
        <f>VLOOKUP($A103,'Data shares'!$C:$FB,125)</f>
        <v>0.94</v>
      </c>
      <c r="Q103" s="50">
        <f>VLOOKUP($A103,'Data shares'!$C:$FB,127)*100</f>
        <v>7.4499999999999993</v>
      </c>
    </row>
    <row r="104" spans="1:17" x14ac:dyDescent="0.25">
      <c r="A104" s="97" t="str">
        <f>'Snapshot (Value)'!A108</f>
        <v>IREDA</v>
      </c>
      <c r="B104" s="140">
        <f>VLOOKUP($A104,'Data shares'!$C:$FB,7)</f>
        <v>117.03</v>
      </c>
      <c r="C104" s="140">
        <f>VLOOKUP($A104,'Data shares'!$C:$FB,3)</f>
        <v>116.78</v>
      </c>
      <c r="D104" s="140">
        <f>VLOOKUP($A104,'Data shares'!$C:$FB,4)</f>
        <v>114.76</v>
      </c>
      <c r="E104" s="50">
        <f t="shared" si="3"/>
        <v>1.7601951899616557</v>
      </c>
      <c r="F104" s="49">
        <f>VLOOKUP($A104,'Data shares'!$C:$FB,98)</f>
        <v>113860350</v>
      </c>
      <c r="G104" s="49">
        <f>VLOOKUP($A104,'Data shares'!$C:$FB,99)</f>
        <v>114281250</v>
      </c>
      <c r="H104" s="50">
        <f t="shared" si="4"/>
        <v>-0.36830188679245285</v>
      </c>
      <c r="I104" s="49">
        <f>VLOOKUP($A104,'Data shares'!$C:$FB,66)</f>
        <v>30356550</v>
      </c>
      <c r="J104" s="49">
        <f>VLOOKUP($A104,'Data shares'!$C:$FB,67)</f>
        <v>18585150</v>
      </c>
      <c r="K104" s="50">
        <f t="shared" si="5"/>
        <v>38.777133765200588</v>
      </c>
      <c r="L104" s="50">
        <f>VLOOKUP($A104,'Data shares'!$C:$FB,118)</f>
        <v>0.66</v>
      </c>
      <c r="M104" s="50">
        <f>VLOOKUP($A104,'Data shares'!$C:$FB,119)</f>
        <v>0.67</v>
      </c>
      <c r="N104" s="50">
        <f>VLOOKUP($A104,'Data shares'!$C:$FB,121)*100</f>
        <v>-1.49</v>
      </c>
      <c r="O104" s="50">
        <f>VLOOKUP($A104,'Data shares'!$C:$FB,124)</f>
        <v>0.22</v>
      </c>
      <c r="P104" s="50">
        <f>VLOOKUP($A104,'Data shares'!$C:$FB,125)</f>
        <v>0.27</v>
      </c>
      <c r="Q104" s="50">
        <f>VLOOKUP($A104,'Data shares'!$C:$FB,127)*100</f>
        <v>-18.52</v>
      </c>
    </row>
    <row r="105" spans="1:17" x14ac:dyDescent="0.25">
      <c r="A105" s="97" t="str">
        <f>'Snapshot (Value)'!A109</f>
        <v>IRFC</v>
      </c>
      <c r="B105" s="140">
        <f>VLOOKUP($A105,'Data shares'!$C:$FB,7)</f>
        <v>99.92</v>
      </c>
      <c r="C105" s="140">
        <f>VLOOKUP($A105,'Data shares'!$C:$FB,3)</f>
        <v>98.87</v>
      </c>
      <c r="D105" s="140">
        <f>VLOOKUP($A105,'Data shares'!$C:$FB,4)</f>
        <v>97.72</v>
      </c>
      <c r="E105" s="50">
        <f t="shared" si="3"/>
        <v>1.1768317642243202</v>
      </c>
      <c r="F105" s="49">
        <f>VLOOKUP($A105,'Data shares'!$C:$FB,98)</f>
        <v>203779000</v>
      </c>
      <c r="G105" s="49">
        <f>VLOOKUP($A105,'Data shares'!$C:$FB,99)</f>
        <v>204403750</v>
      </c>
      <c r="H105" s="50">
        <f t="shared" si="4"/>
        <v>-0.30564507745087849</v>
      </c>
      <c r="I105" s="49">
        <f>VLOOKUP($A105,'Data shares'!$C:$FB,66)</f>
        <v>72968250</v>
      </c>
      <c r="J105" s="49">
        <f>VLOOKUP($A105,'Data shares'!$C:$FB,67)</f>
        <v>60061000</v>
      </c>
      <c r="K105" s="50">
        <f t="shared" si="5"/>
        <v>17.688857825149977</v>
      </c>
      <c r="L105" s="50">
        <f>VLOOKUP($A105,'Data shares'!$C:$FB,118)</f>
        <v>0.57999999999999996</v>
      </c>
      <c r="M105" s="50">
        <f>VLOOKUP($A105,'Data shares'!$C:$FB,119)</f>
        <v>0.56999999999999995</v>
      </c>
      <c r="N105" s="50">
        <f>VLOOKUP($A105,'Data shares'!$C:$FB,121)*100</f>
        <v>1.7500000000000002</v>
      </c>
      <c r="O105" s="50">
        <f>VLOOKUP($A105,'Data shares'!$C:$FB,124)</f>
        <v>0.34</v>
      </c>
      <c r="P105" s="50">
        <f>VLOOKUP($A105,'Data shares'!$C:$FB,125)</f>
        <v>0.35</v>
      </c>
      <c r="Q105" s="50">
        <f>VLOOKUP($A105,'Data shares'!$C:$FB,127)*100</f>
        <v>-2.86</v>
      </c>
    </row>
    <row r="106" spans="1:17" x14ac:dyDescent="0.25">
      <c r="A106" s="97" t="str">
        <f>'Snapshot (Value)'!A110</f>
        <v>ITC</v>
      </c>
      <c r="B106" s="140">
        <f>VLOOKUP($A106,'Data shares'!$C:$FB,7)</f>
        <v>304.10000000000002</v>
      </c>
      <c r="C106" s="140">
        <f>VLOOKUP($A106,'Data shares'!$C:$FB,3)</f>
        <v>304.95</v>
      </c>
      <c r="D106" s="140">
        <f>VLOOKUP($A106,'Data shares'!$C:$FB,4)</f>
        <v>309.35000000000002</v>
      </c>
      <c r="E106" s="50">
        <f t="shared" si="3"/>
        <v>-1.4223371585582782</v>
      </c>
      <c r="F106" s="49">
        <f>VLOOKUP($A106,'Data shares'!$C:$FB,98)</f>
        <v>345281600</v>
      </c>
      <c r="G106" s="49">
        <f>VLOOKUP($A106,'Data shares'!$C:$FB,99)</f>
        <v>342256000</v>
      </c>
      <c r="H106" s="50">
        <f t="shared" si="4"/>
        <v>0.88401664251320655</v>
      </c>
      <c r="I106" s="49">
        <f>VLOOKUP($A106,'Data shares'!$C:$FB,66)</f>
        <v>110051200</v>
      </c>
      <c r="J106" s="49">
        <f>VLOOKUP($A106,'Data shares'!$C:$FB,67)</f>
        <v>72800000</v>
      </c>
      <c r="K106" s="50">
        <f t="shared" si="5"/>
        <v>33.848972114797476</v>
      </c>
      <c r="L106" s="50">
        <f>VLOOKUP($A106,'Data shares'!$C:$FB,118)</f>
        <v>0.45</v>
      </c>
      <c r="M106" s="50">
        <f>VLOOKUP($A106,'Data shares'!$C:$FB,119)</f>
        <v>0.44</v>
      </c>
      <c r="N106" s="50">
        <f>VLOOKUP($A106,'Data shares'!$C:$FB,121)*100</f>
        <v>2.27</v>
      </c>
      <c r="O106" s="50">
        <f>VLOOKUP($A106,'Data shares'!$C:$FB,124)</f>
        <v>0.35</v>
      </c>
      <c r="P106" s="50">
        <f>VLOOKUP($A106,'Data shares'!$C:$FB,125)</f>
        <v>0.42</v>
      </c>
      <c r="Q106" s="50">
        <f>VLOOKUP($A106,'Data shares'!$C:$FB,127)*100</f>
        <v>-16.669999999999998</v>
      </c>
    </row>
    <row r="107" spans="1:17" x14ac:dyDescent="0.25">
      <c r="A107" s="97" t="str">
        <f>'Snapshot (Value)'!A111</f>
        <v>JINDALSTEL</v>
      </c>
      <c r="B107" s="140">
        <f>VLOOKUP($A107,'Data shares'!$C:$FB,7)</f>
        <v>1225</v>
      </c>
      <c r="C107" s="140">
        <f>VLOOKUP($A107,'Data shares'!$C:$FB,3)</f>
        <v>1227.9000000000001</v>
      </c>
      <c r="D107" s="140">
        <f>VLOOKUP($A107,'Data shares'!$C:$FB,4)</f>
        <v>1187.9000000000001</v>
      </c>
      <c r="E107" s="50">
        <f t="shared" si="3"/>
        <v>3.3672868086539269</v>
      </c>
      <c r="F107" s="49">
        <f>VLOOKUP($A107,'Data shares'!$C:$FB,98)</f>
        <v>17154375</v>
      </c>
      <c r="G107" s="49">
        <f>VLOOKUP($A107,'Data shares'!$C:$FB,99)</f>
        <v>17281250</v>
      </c>
      <c r="H107" s="50">
        <f t="shared" si="4"/>
        <v>-0.73417721518987344</v>
      </c>
      <c r="I107" s="49">
        <f>VLOOKUP($A107,'Data shares'!$C:$FB,66)</f>
        <v>14536250</v>
      </c>
      <c r="J107" s="49">
        <f>VLOOKUP($A107,'Data shares'!$C:$FB,67)</f>
        <v>9065000</v>
      </c>
      <c r="K107" s="50">
        <f t="shared" si="5"/>
        <v>37.638661965775214</v>
      </c>
      <c r="L107" s="50">
        <f>VLOOKUP($A107,'Data shares'!$C:$FB,118)</f>
        <v>1.1299999999999999</v>
      </c>
      <c r="M107" s="50">
        <f>VLOOKUP($A107,'Data shares'!$C:$FB,119)</f>
        <v>1.03</v>
      </c>
      <c r="N107" s="50">
        <f>VLOOKUP($A107,'Data shares'!$C:$FB,121)*100</f>
        <v>9.7100000000000009</v>
      </c>
      <c r="O107" s="50">
        <f>VLOOKUP($A107,'Data shares'!$C:$FB,124)</f>
        <v>0.61</v>
      </c>
      <c r="P107" s="50">
        <f>VLOOKUP($A107,'Data shares'!$C:$FB,125)</f>
        <v>0.64</v>
      </c>
      <c r="Q107" s="50">
        <f>VLOOKUP($A107,'Data shares'!$C:$FB,127)*100</f>
        <v>-4.6899999999999995</v>
      </c>
    </row>
    <row r="108" spans="1:17" x14ac:dyDescent="0.25">
      <c r="A108" s="97" t="str">
        <f>'Snapshot (Value)'!A112</f>
        <v>JIOFIN</v>
      </c>
      <c r="B108" s="140">
        <f>VLOOKUP($A108,'Data shares'!$C:$FB,7)</f>
        <v>242.2</v>
      </c>
      <c r="C108" s="140">
        <f>VLOOKUP($A108,'Data shares'!$C:$FB,3)</f>
        <v>242.65</v>
      </c>
      <c r="D108" s="140">
        <f>VLOOKUP($A108,'Data shares'!$C:$FB,4)</f>
        <v>238.9</v>
      </c>
      <c r="E108" s="50">
        <f t="shared" si="3"/>
        <v>1.5696944328170783</v>
      </c>
      <c r="F108" s="49">
        <f>VLOOKUP($A108,'Data shares'!$C:$FB,98)</f>
        <v>269389900</v>
      </c>
      <c r="G108" s="49">
        <f>VLOOKUP($A108,'Data shares'!$C:$FB,99)</f>
        <v>269761200</v>
      </c>
      <c r="H108" s="50">
        <f t="shared" si="4"/>
        <v>-0.13764025367621438</v>
      </c>
      <c r="I108" s="49">
        <f>VLOOKUP($A108,'Data shares'!$C:$FB,66)</f>
        <v>101033550</v>
      </c>
      <c r="J108" s="49">
        <f>VLOOKUP($A108,'Data shares'!$C:$FB,67)</f>
        <v>117937100</v>
      </c>
      <c r="K108" s="50">
        <f t="shared" si="5"/>
        <v>-16.730630567766845</v>
      </c>
      <c r="L108" s="50">
        <f>VLOOKUP($A108,'Data shares'!$C:$FB,118)</f>
        <v>0.81</v>
      </c>
      <c r="M108" s="50">
        <f>VLOOKUP($A108,'Data shares'!$C:$FB,119)</f>
        <v>0.8</v>
      </c>
      <c r="N108" s="50">
        <f>VLOOKUP($A108,'Data shares'!$C:$FB,121)*100</f>
        <v>1.25</v>
      </c>
      <c r="O108" s="50">
        <f>VLOOKUP($A108,'Data shares'!$C:$FB,124)</f>
        <v>0.33</v>
      </c>
      <c r="P108" s="50">
        <f>VLOOKUP($A108,'Data shares'!$C:$FB,125)</f>
        <v>0.35</v>
      </c>
      <c r="Q108" s="50">
        <f>VLOOKUP($A108,'Data shares'!$C:$FB,127)*100</f>
        <v>-5.71</v>
      </c>
    </row>
    <row r="109" spans="1:17" x14ac:dyDescent="0.25">
      <c r="A109" s="97" t="str">
        <f>'Snapshot (Value)'!A113</f>
        <v>JSWENERGY</v>
      </c>
      <c r="B109" s="140">
        <f>VLOOKUP($A109,'Data shares'!$C:$FB,7)</f>
        <v>518.29999999999995</v>
      </c>
      <c r="C109" s="140">
        <f>VLOOKUP($A109,'Data shares'!$C:$FB,3)</f>
        <v>520</v>
      </c>
      <c r="D109" s="140">
        <f>VLOOKUP($A109,'Data shares'!$C:$FB,4)</f>
        <v>488.45</v>
      </c>
      <c r="E109" s="50">
        <f t="shared" si="3"/>
        <v>6.459207697819636</v>
      </c>
      <c r="F109" s="49">
        <f>VLOOKUP($A109,'Data shares'!$C:$FB,98)</f>
        <v>40134000</v>
      </c>
      <c r="G109" s="49">
        <f>VLOOKUP($A109,'Data shares'!$C:$FB,99)</f>
        <v>39169000</v>
      </c>
      <c r="H109" s="50">
        <f t="shared" si="4"/>
        <v>2.4636830146289155</v>
      </c>
      <c r="I109" s="49">
        <f>VLOOKUP($A109,'Data shares'!$C:$FB,66)</f>
        <v>111300000</v>
      </c>
      <c r="J109" s="49">
        <f>VLOOKUP($A109,'Data shares'!$C:$FB,67)</f>
        <v>8414000</v>
      </c>
      <c r="K109" s="50">
        <f t="shared" si="5"/>
        <v>92.440251572327043</v>
      </c>
      <c r="L109" s="50">
        <f>VLOOKUP($A109,'Data shares'!$C:$FB,118)</f>
        <v>0.81</v>
      </c>
      <c r="M109" s="50">
        <f>VLOOKUP($A109,'Data shares'!$C:$FB,119)</f>
        <v>0.75</v>
      </c>
      <c r="N109" s="50">
        <f>VLOOKUP($A109,'Data shares'!$C:$FB,121)*100</f>
        <v>8</v>
      </c>
      <c r="O109" s="50">
        <f>VLOOKUP($A109,'Data shares'!$C:$FB,124)</f>
        <v>0.27</v>
      </c>
      <c r="P109" s="50">
        <f>VLOOKUP($A109,'Data shares'!$C:$FB,125)</f>
        <v>0.38</v>
      </c>
      <c r="Q109" s="50">
        <f>VLOOKUP($A109,'Data shares'!$C:$FB,127)*100</f>
        <v>-28.95</v>
      </c>
    </row>
    <row r="110" spans="1:17" x14ac:dyDescent="0.25">
      <c r="A110" s="97" t="str">
        <f>'Snapshot (Value)'!A114</f>
        <v>JSWSTEEL</v>
      </c>
      <c r="B110" s="140">
        <f>VLOOKUP($A110,'Data shares'!$C:$FB,7)</f>
        <v>1172.5999999999999</v>
      </c>
      <c r="C110" s="140">
        <f>VLOOKUP($A110,'Data shares'!$C:$FB,3)</f>
        <v>1174.4000000000001</v>
      </c>
      <c r="D110" s="140">
        <f>VLOOKUP($A110,'Data shares'!$C:$FB,4)</f>
        <v>1179.2</v>
      </c>
      <c r="E110" s="50">
        <f t="shared" si="3"/>
        <v>-0.4070556309362241</v>
      </c>
      <c r="F110" s="49">
        <f>VLOOKUP($A110,'Data shares'!$C:$FB,98)</f>
        <v>63227925</v>
      </c>
      <c r="G110" s="49">
        <f>VLOOKUP($A110,'Data shares'!$C:$FB,99)</f>
        <v>62809425</v>
      </c>
      <c r="H110" s="50">
        <f t="shared" si="4"/>
        <v>0.666301275644539</v>
      </c>
      <c r="I110" s="49">
        <f>VLOOKUP($A110,'Data shares'!$C:$FB,66)</f>
        <v>13065975</v>
      </c>
      <c r="J110" s="49">
        <f>VLOOKUP($A110,'Data shares'!$C:$FB,67)</f>
        <v>15662700</v>
      </c>
      <c r="K110" s="50">
        <f t="shared" si="5"/>
        <v>-19.873947409205972</v>
      </c>
      <c r="L110" s="50">
        <f>VLOOKUP($A110,'Data shares'!$C:$FB,118)</f>
        <v>0.52</v>
      </c>
      <c r="M110" s="50">
        <f>VLOOKUP($A110,'Data shares'!$C:$FB,119)</f>
        <v>0.52</v>
      </c>
      <c r="N110" s="50">
        <f>VLOOKUP($A110,'Data shares'!$C:$FB,121)*100</f>
        <v>0</v>
      </c>
      <c r="O110" s="50">
        <f>VLOOKUP($A110,'Data shares'!$C:$FB,124)</f>
        <v>0.56000000000000005</v>
      </c>
      <c r="P110" s="50">
        <f>VLOOKUP($A110,'Data shares'!$C:$FB,125)</f>
        <v>0.78</v>
      </c>
      <c r="Q110" s="50">
        <f>VLOOKUP($A110,'Data shares'!$C:$FB,127)*100</f>
        <v>-28.21</v>
      </c>
    </row>
    <row r="111" spans="1:17" x14ac:dyDescent="0.25">
      <c r="A111" s="97" t="str">
        <f>'Snapshot (Value)'!A115</f>
        <v>JUBLFOOD</v>
      </c>
      <c r="B111" s="140">
        <f>VLOOKUP($A111,'Data shares'!$C:$FB,7)</f>
        <v>461.75</v>
      </c>
      <c r="C111" s="140">
        <f>VLOOKUP($A111,'Data shares'!$C:$FB,3)</f>
        <v>462.05</v>
      </c>
      <c r="D111" s="140">
        <f>VLOOKUP($A111,'Data shares'!$C:$FB,4)</f>
        <v>473.65</v>
      </c>
      <c r="E111" s="50">
        <f t="shared" si="3"/>
        <v>-2.4490657658608606</v>
      </c>
      <c r="F111" s="49">
        <f>VLOOKUP($A111,'Data shares'!$C:$FB,98)</f>
        <v>45052500</v>
      </c>
      <c r="G111" s="49">
        <f>VLOOKUP($A111,'Data shares'!$C:$FB,99)</f>
        <v>42395000</v>
      </c>
      <c r="H111" s="50">
        <f t="shared" si="4"/>
        <v>6.2684278806463034</v>
      </c>
      <c r="I111" s="49">
        <f>VLOOKUP($A111,'Data shares'!$C:$FB,66)</f>
        <v>38280000</v>
      </c>
      <c r="J111" s="49">
        <f>VLOOKUP($A111,'Data shares'!$C:$FB,67)</f>
        <v>21872500</v>
      </c>
      <c r="K111" s="50">
        <f t="shared" si="5"/>
        <v>42.86180773249739</v>
      </c>
      <c r="L111" s="50">
        <f>VLOOKUP($A111,'Data shares'!$C:$FB,118)</f>
        <v>0.73</v>
      </c>
      <c r="M111" s="50">
        <f>VLOOKUP($A111,'Data shares'!$C:$FB,119)</f>
        <v>0.72</v>
      </c>
      <c r="N111" s="50">
        <f>VLOOKUP($A111,'Data shares'!$C:$FB,121)*100</f>
        <v>1.39</v>
      </c>
      <c r="O111" s="50">
        <f>VLOOKUP($A111,'Data shares'!$C:$FB,124)</f>
        <v>1.29</v>
      </c>
      <c r="P111" s="50">
        <f>VLOOKUP($A111,'Data shares'!$C:$FB,125)</f>
        <v>1.1599999999999999</v>
      </c>
      <c r="Q111" s="50">
        <f>VLOOKUP($A111,'Data shares'!$C:$FB,127)*100</f>
        <v>11.21</v>
      </c>
    </row>
    <row r="112" spans="1:17" x14ac:dyDescent="0.25">
      <c r="A112" s="97" t="str">
        <f>'Snapshot (Value)'!A116</f>
        <v>KALYANKJIL</v>
      </c>
      <c r="B112" s="140">
        <f>VLOOKUP($A112,'Data shares'!$C:$FB,7)</f>
        <v>389.95</v>
      </c>
      <c r="C112" s="140">
        <f>VLOOKUP($A112,'Data shares'!$C:$FB,3)</f>
        <v>390.4</v>
      </c>
      <c r="D112" s="140">
        <f>VLOOKUP($A112,'Data shares'!$C:$FB,4)</f>
        <v>391.1</v>
      </c>
      <c r="E112" s="50">
        <f t="shared" si="3"/>
        <v>-0.17898235745334837</v>
      </c>
      <c r="F112" s="49">
        <f>VLOOKUP($A112,'Data shares'!$C:$FB,98)</f>
        <v>38953600</v>
      </c>
      <c r="G112" s="49">
        <f>VLOOKUP($A112,'Data shares'!$C:$FB,99)</f>
        <v>39212100</v>
      </c>
      <c r="H112" s="50">
        <f t="shared" si="4"/>
        <v>-0.6592352870670023</v>
      </c>
      <c r="I112" s="49">
        <f>VLOOKUP($A112,'Data shares'!$C:$FB,66)</f>
        <v>15135175</v>
      </c>
      <c r="J112" s="49">
        <f>VLOOKUP($A112,'Data shares'!$C:$FB,67)</f>
        <v>16619200</v>
      </c>
      <c r="K112" s="50">
        <f t="shared" si="5"/>
        <v>-9.8051393525347397</v>
      </c>
      <c r="L112" s="50">
        <f>VLOOKUP($A112,'Data shares'!$C:$FB,118)</f>
        <v>0.59</v>
      </c>
      <c r="M112" s="50">
        <f>VLOOKUP($A112,'Data shares'!$C:$FB,119)</f>
        <v>0.57999999999999996</v>
      </c>
      <c r="N112" s="50">
        <f>VLOOKUP($A112,'Data shares'!$C:$FB,121)*100</f>
        <v>1.72</v>
      </c>
      <c r="O112" s="50">
        <f>VLOOKUP($A112,'Data shares'!$C:$FB,124)</f>
        <v>0.56000000000000005</v>
      </c>
      <c r="P112" s="50">
        <f>VLOOKUP($A112,'Data shares'!$C:$FB,125)</f>
        <v>0.39</v>
      </c>
      <c r="Q112" s="50">
        <f>VLOOKUP($A112,'Data shares'!$C:$FB,127)*100</f>
        <v>43.59</v>
      </c>
    </row>
    <row r="113" spans="1:17" x14ac:dyDescent="0.25">
      <c r="A113" s="97" t="str">
        <f>'Snapshot (Value)'!A117</f>
        <v>KAYNES</v>
      </c>
      <c r="B113" s="140">
        <f>VLOOKUP($A113,'Data shares'!$C:$FB,7)</f>
        <v>3700.3</v>
      </c>
      <c r="C113" s="140">
        <f>VLOOKUP($A113,'Data shares'!$C:$FB,3)</f>
        <v>3711.1</v>
      </c>
      <c r="D113" s="140">
        <f>VLOOKUP($A113,'Data shares'!$C:$FB,4)</f>
        <v>3731.4</v>
      </c>
      <c r="E113" s="50">
        <f t="shared" si="3"/>
        <v>-0.54403173071769795</v>
      </c>
      <c r="F113" s="49">
        <f>VLOOKUP($A113,'Data shares'!$C:$FB,98)</f>
        <v>7035300</v>
      </c>
      <c r="G113" s="49">
        <f>VLOOKUP($A113,'Data shares'!$C:$FB,99)</f>
        <v>6805000</v>
      </c>
      <c r="H113" s="50">
        <f t="shared" si="4"/>
        <v>3.3842762674504043</v>
      </c>
      <c r="I113" s="49">
        <f>VLOOKUP($A113,'Data shares'!$C:$FB,66)</f>
        <v>5244500</v>
      </c>
      <c r="J113" s="49">
        <f>VLOOKUP($A113,'Data shares'!$C:$FB,67)</f>
        <v>6351400</v>
      </c>
      <c r="K113" s="50">
        <f t="shared" si="5"/>
        <v>-21.105920488130423</v>
      </c>
      <c r="L113" s="50">
        <f>VLOOKUP($A113,'Data shares'!$C:$FB,118)</f>
        <v>0.77</v>
      </c>
      <c r="M113" s="50">
        <f>VLOOKUP($A113,'Data shares'!$C:$FB,119)</f>
        <v>0.82</v>
      </c>
      <c r="N113" s="50">
        <f>VLOOKUP($A113,'Data shares'!$C:$FB,121)*100</f>
        <v>-6.1</v>
      </c>
      <c r="O113" s="50">
        <f>VLOOKUP($A113,'Data shares'!$C:$FB,124)</f>
        <v>0.34</v>
      </c>
      <c r="P113" s="50">
        <f>VLOOKUP($A113,'Data shares'!$C:$FB,125)</f>
        <v>0.25</v>
      </c>
      <c r="Q113" s="50">
        <f>VLOOKUP($A113,'Data shares'!$C:$FB,127)*100</f>
        <v>36</v>
      </c>
    </row>
    <row r="114" spans="1:17" x14ac:dyDescent="0.25">
      <c r="A114" s="97" t="str">
        <f>'Snapshot (Value)'!A118</f>
        <v>KEI</v>
      </c>
      <c r="B114" s="140">
        <f>VLOOKUP($A114,'Data shares'!$C:$FB,7)</f>
        <v>4330</v>
      </c>
      <c r="C114" s="140">
        <f>VLOOKUP($A114,'Data shares'!$C:$FB,3)</f>
        <v>4335.5</v>
      </c>
      <c r="D114" s="140">
        <f>VLOOKUP($A114,'Data shares'!$C:$FB,4)</f>
        <v>4336.5</v>
      </c>
      <c r="E114" s="50">
        <f t="shared" si="3"/>
        <v>-2.3060071486221606E-2</v>
      </c>
      <c r="F114" s="49">
        <f>VLOOKUP($A114,'Data shares'!$C:$FB,98)</f>
        <v>3715425</v>
      </c>
      <c r="G114" s="49">
        <f>VLOOKUP($A114,'Data shares'!$C:$FB,99)</f>
        <v>3680600</v>
      </c>
      <c r="H114" s="50">
        <f t="shared" si="4"/>
        <v>0.94617725370863448</v>
      </c>
      <c r="I114" s="49">
        <f>VLOOKUP($A114,'Data shares'!$C:$FB,66)</f>
        <v>3704575</v>
      </c>
      <c r="J114" s="49">
        <f>VLOOKUP($A114,'Data shares'!$C:$FB,67)</f>
        <v>5779200</v>
      </c>
      <c r="K114" s="50">
        <f t="shared" si="5"/>
        <v>-56.001700599933869</v>
      </c>
      <c r="L114" s="50">
        <f>VLOOKUP($A114,'Data shares'!$C:$FB,118)</f>
        <v>0.79</v>
      </c>
      <c r="M114" s="50">
        <f>VLOOKUP($A114,'Data shares'!$C:$FB,119)</f>
        <v>0.83</v>
      </c>
      <c r="N114" s="50">
        <f>VLOOKUP($A114,'Data shares'!$C:$FB,121)*100</f>
        <v>-4.82</v>
      </c>
      <c r="O114" s="50">
        <f>VLOOKUP($A114,'Data shares'!$C:$FB,124)</f>
        <v>0.48</v>
      </c>
      <c r="P114" s="50">
        <f>VLOOKUP($A114,'Data shares'!$C:$FB,125)</f>
        <v>1.68</v>
      </c>
      <c r="Q114" s="50">
        <f>VLOOKUP($A114,'Data shares'!$C:$FB,127)*100</f>
        <v>-71.430000000000007</v>
      </c>
    </row>
    <row r="115" spans="1:17" x14ac:dyDescent="0.25">
      <c r="A115" s="97" t="str">
        <f>'Snapshot (Value)'!A119</f>
        <v>KFINTECH</v>
      </c>
      <c r="B115" s="140">
        <f>VLOOKUP($A115,'Data shares'!$C:$FB,7)</f>
        <v>907.6</v>
      </c>
      <c r="C115" s="140">
        <f>VLOOKUP($A115,'Data shares'!$C:$FB,3)</f>
        <v>910.6</v>
      </c>
      <c r="D115" s="140">
        <f>VLOOKUP($A115,'Data shares'!$C:$FB,4)</f>
        <v>928.7</v>
      </c>
      <c r="E115" s="50">
        <f t="shared" si="3"/>
        <v>-1.9489609131043417</v>
      </c>
      <c r="F115" s="49">
        <f>VLOOKUP($A115,'Data shares'!$C:$FB,98)</f>
        <v>5436000</v>
      </c>
      <c r="G115" s="49">
        <f>VLOOKUP($A115,'Data shares'!$C:$FB,99)</f>
        <v>5504000</v>
      </c>
      <c r="H115" s="50">
        <f t="shared" si="4"/>
        <v>-1.2354651162790697</v>
      </c>
      <c r="I115" s="49">
        <f>VLOOKUP($A115,'Data shares'!$C:$FB,66)</f>
        <v>2547000</v>
      </c>
      <c r="J115" s="49">
        <f>VLOOKUP($A115,'Data shares'!$C:$FB,67)</f>
        <v>1446500</v>
      </c>
      <c r="K115" s="50">
        <f t="shared" si="5"/>
        <v>43.207695327836667</v>
      </c>
      <c r="L115" s="50">
        <f>VLOOKUP($A115,'Data shares'!$C:$FB,118)</f>
        <v>0.6</v>
      </c>
      <c r="M115" s="50">
        <f>VLOOKUP($A115,'Data shares'!$C:$FB,119)</f>
        <v>0.57999999999999996</v>
      </c>
      <c r="N115" s="50">
        <f>VLOOKUP($A115,'Data shares'!$C:$FB,121)*100</f>
        <v>3.45</v>
      </c>
      <c r="O115" s="50">
        <f>VLOOKUP($A115,'Data shares'!$C:$FB,124)</f>
        <v>0.64</v>
      </c>
      <c r="P115" s="50">
        <f>VLOOKUP($A115,'Data shares'!$C:$FB,125)</f>
        <v>0.48</v>
      </c>
      <c r="Q115" s="50">
        <f>VLOOKUP($A115,'Data shares'!$C:$FB,127)*100</f>
        <v>33.33</v>
      </c>
    </row>
    <row r="116" spans="1:17" x14ac:dyDescent="0.25">
      <c r="A116" s="97" t="str">
        <f>'Snapshot (Value)'!A120</f>
        <v>KOTAKBANK</v>
      </c>
      <c r="B116" s="140">
        <f>VLOOKUP($A116,'Data shares'!$C:$FB,7)</f>
        <v>375.3</v>
      </c>
      <c r="C116" s="140">
        <f>VLOOKUP($A116,'Data shares'!$C:$FB,3)</f>
        <v>376.75</v>
      </c>
      <c r="D116" s="140">
        <f>VLOOKUP($A116,'Data shares'!$C:$FB,4)</f>
        <v>384.2</v>
      </c>
      <c r="E116" s="50">
        <f t="shared" si="3"/>
        <v>-1.9390942217594975</v>
      </c>
      <c r="F116" s="49">
        <f>VLOOKUP($A116,'Data shares'!$C:$FB,98)</f>
        <v>289916000</v>
      </c>
      <c r="G116" s="49">
        <f>VLOOKUP($A116,'Data shares'!$C:$FB,99)</f>
        <v>281094000</v>
      </c>
      <c r="H116" s="50">
        <f t="shared" si="4"/>
        <v>3.1384519057681768</v>
      </c>
      <c r="I116" s="49">
        <f>VLOOKUP($A116,'Data shares'!$C:$FB,66)</f>
        <v>75882000</v>
      </c>
      <c r="J116" s="49">
        <f>VLOOKUP($A116,'Data shares'!$C:$FB,67)</f>
        <v>77326000</v>
      </c>
      <c r="K116" s="50">
        <f t="shared" si="5"/>
        <v>-1.9029545873856777</v>
      </c>
      <c r="L116" s="50">
        <f>VLOOKUP($A116,'Data shares'!$C:$FB,118)</f>
        <v>0.64</v>
      </c>
      <c r="M116" s="50">
        <f>VLOOKUP($A116,'Data shares'!$C:$FB,119)</f>
        <v>0.67</v>
      </c>
      <c r="N116" s="50">
        <f>VLOOKUP($A116,'Data shares'!$C:$FB,121)*100</f>
        <v>-4.4799999999999995</v>
      </c>
      <c r="O116" s="50">
        <f>VLOOKUP($A116,'Data shares'!$C:$FB,124)</f>
        <v>0.62</v>
      </c>
      <c r="P116" s="50">
        <f>VLOOKUP($A116,'Data shares'!$C:$FB,125)</f>
        <v>0.84</v>
      </c>
      <c r="Q116" s="50">
        <f>VLOOKUP($A116,'Data shares'!$C:$FB,127)*100</f>
        <v>-26.19</v>
      </c>
    </row>
    <row r="117" spans="1:17" x14ac:dyDescent="0.25">
      <c r="A117" s="97" t="str">
        <f>'Snapshot (Value)'!A121</f>
        <v>KPITTECH</v>
      </c>
      <c r="B117" s="140">
        <f>VLOOKUP($A117,'Data shares'!$C:$FB,7)</f>
        <v>671.25</v>
      </c>
      <c r="C117" s="140">
        <f>VLOOKUP($A117,'Data shares'!$C:$FB,3)</f>
        <v>671.85</v>
      </c>
      <c r="D117" s="140">
        <f>VLOOKUP($A117,'Data shares'!$C:$FB,4)</f>
        <v>684.35</v>
      </c>
      <c r="E117" s="50">
        <f t="shared" si="3"/>
        <v>-1.826550741579601</v>
      </c>
      <c r="F117" s="49">
        <f>VLOOKUP($A117,'Data shares'!$C:$FB,98)</f>
        <v>16935400</v>
      </c>
      <c r="G117" s="49">
        <f>VLOOKUP($A117,'Data shares'!$C:$FB,99)</f>
        <v>16175500</v>
      </c>
      <c r="H117" s="50">
        <f t="shared" si="4"/>
        <v>4.6978455070940619</v>
      </c>
      <c r="I117" s="49">
        <f>VLOOKUP($A117,'Data shares'!$C:$FB,66)</f>
        <v>7044800</v>
      </c>
      <c r="J117" s="49">
        <f>VLOOKUP($A117,'Data shares'!$C:$FB,67)</f>
        <v>9978150</v>
      </c>
      <c r="K117" s="50">
        <f t="shared" si="5"/>
        <v>-41.638513513513516</v>
      </c>
      <c r="L117" s="50">
        <f>VLOOKUP($A117,'Data shares'!$C:$FB,118)</f>
        <v>0.5</v>
      </c>
      <c r="M117" s="50">
        <f>VLOOKUP($A117,'Data shares'!$C:$FB,119)</f>
        <v>0.55000000000000004</v>
      </c>
      <c r="N117" s="50">
        <f>VLOOKUP($A117,'Data shares'!$C:$FB,121)*100</f>
        <v>-9.09</v>
      </c>
      <c r="O117" s="50">
        <f>VLOOKUP($A117,'Data shares'!$C:$FB,124)</f>
        <v>0.24</v>
      </c>
      <c r="P117" s="50">
        <f>VLOOKUP($A117,'Data shares'!$C:$FB,125)</f>
        <v>0.31</v>
      </c>
      <c r="Q117" s="50">
        <f>VLOOKUP($A117,'Data shares'!$C:$FB,127)*100</f>
        <v>-22.58</v>
      </c>
    </row>
    <row r="118" spans="1:17" x14ac:dyDescent="0.25">
      <c r="A118" s="97" t="str">
        <f>'Snapshot (Value)'!A122</f>
        <v>LAURUSLABS</v>
      </c>
      <c r="B118" s="140">
        <f>VLOOKUP($A118,'Data shares'!$C:$FB,7)</f>
        <v>1046.8</v>
      </c>
      <c r="C118" s="140">
        <f>VLOOKUP($A118,'Data shares'!$C:$FB,3)</f>
        <v>1048.5</v>
      </c>
      <c r="D118" s="140">
        <f>VLOOKUP($A118,'Data shares'!$C:$FB,4)</f>
        <v>1041.3</v>
      </c>
      <c r="E118" s="50">
        <f t="shared" si="3"/>
        <v>0.69144338807260586</v>
      </c>
      <c r="F118" s="49">
        <f>VLOOKUP($A118,'Data shares'!$C:$FB,98)</f>
        <v>34129200</v>
      </c>
      <c r="G118" s="49">
        <f>VLOOKUP($A118,'Data shares'!$C:$FB,99)</f>
        <v>33663400</v>
      </c>
      <c r="H118" s="50">
        <f t="shared" si="4"/>
        <v>1.3836986163013838</v>
      </c>
      <c r="I118" s="49">
        <f>VLOOKUP($A118,'Data shares'!$C:$FB,66)</f>
        <v>15013550</v>
      </c>
      <c r="J118" s="49">
        <f>VLOOKUP($A118,'Data shares'!$C:$FB,67)</f>
        <v>30836300</v>
      </c>
      <c r="K118" s="50">
        <f t="shared" si="5"/>
        <v>-105.3897978825794</v>
      </c>
      <c r="L118" s="50">
        <f>VLOOKUP($A118,'Data shares'!$C:$FB,118)</f>
        <v>0.53</v>
      </c>
      <c r="M118" s="50">
        <f>VLOOKUP($A118,'Data shares'!$C:$FB,119)</f>
        <v>0.51</v>
      </c>
      <c r="N118" s="50">
        <f>VLOOKUP($A118,'Data shares'!$C:$FB,121)*100</f>
        <v>3.92</v>
      </c>
      <c r="O118" s="50">
        <f>VLOOKUP($A118,'Data shares'!$C:$FB,124)</f>
        <v>0.36</v>
      </c>
      <c r="P118" s="50">
        <f>VLOOKUP($A118,'Data shares'!$C:$FB,125)</f>
        <v>0.35</v>
      </c>
      <c r="Q118" s="50">
        <f>VLOOKUP($A118,'Data shares'!$C:$FB,127)*100</f>
        <v>2.86</v>
      </c>
    </row>
    <row r="119" spans="1:17" x14ac:dyDescent="0.25">
      <c r="A119" s="97" t="str">
        <f>'Snapshot (Value)'!A123</f>
        <v>LICHSGFIN</v>
      </c>
      <c r="B119" s="140">
        <f>VLOOKUP($A119,'Data shares'!$C:$FB,7)</f>
        <v>498.5</v>
      </c>
      <c r="C119" s="140">
        <f>VLOOKUP($A119,'Data shares'!$C:$FB,3)</f>
        <v>500.65</v>
      </c>
      <c r="D119" s="140">
        <f>VLOOKUP($A119,'Data shares'!$C:$FB,4)</f>
        <v>506.25</v>
      </c>
      <c r="E119" s="50">
        <f t="shared" si="3"/>
        <v>-1.1061728395061774</v>
      </c>
      <c r="F119" s="49">
        <f>VLOOKUP($A119,'Data shares'!$C:$FB,98)</f>
        <v>46828000</v>
      </c>
      <c r="G119" s="49">
        <f>VLOOKUP($A119,'Data shares'!$C:$FB,99)</f>
        <v>45380000</v>
      </c>
      <c r="H119" s="50">
        <f t="shared" si="4"/>
        <v>3.1908329660643457</v>
      </c>
      <c r="I119" s="49">
        <f>VLOOKUP($A119,'Data shares'!$C:$FB,66)</f>
        <v>10485000</v>
      </c>
      <c r="J119" s="49">
        <f>VLOOKUP($A119,'Data shares'!$C:$FB,67)</f>
        <v>10168000</v>
      </c>
      <c r="K119" s="50">
        <f t="shared" si="5"/>
        <v>3.023366714353839</v>
      </c>
      <c r="L119" s="50">
        <f>VLOOKUP($A119,'Data shares'!$C:$FB,118)</f>
        <v>0.97</v>
      </c>
      <c r="M119" s="50">
        <f>VLOOKUP($A119,'Data shares'!$C:$FB,119)</f>
        <v>0.91</v>
      </c>
      <c r="N119" s="50">
        <f>VLOOKUP($A119,'Data shares'!$C:$FB,121)*100</f>
        <v>6.59</v>
      </c>
      <c r="O119" s="50">
        <f>VLOOKUP($A119,'Data shares'!$C:$FB,124)</f>
        <v>0.81</v>
      </c>
      <c r="P119" s="50">
        <f>VLOOKUP($A119,'Data shares'!$C:$FB,125)</f>
        <v>0.95</v>
      </c>
      <c r="Q119" s="50">
        <f>VLOOKUP($A119,'Data shares'!$C:$FB,127)*100</f>
        <v>-14.74</v>
      </c>
    </row>
    <row r="120" spans="1:17" x14ac:dyDescent="0.25">
      <c r="A120" s="97" t="str">
        <f>'Snapshot (Value)'!A124</f>
        <v>LICI</v>
      </c>
      <c r="B120" s="140">
        <f>VLOOKUP($A120,'Data shares'!$C:$FB,7)</f>
        <v>796.65</v>
      </c>
      <c r="C120" s="140">
        <f>VLOOKUP($A120,'Data shares'!$C:$FB,3)</f>
        <v>798.2</v>
      </c>
      <c r="D120" s="140">
        <f>VLOOKUP($A120,'Data shares'!$C:$FB,4)</f>
        <v>801.5</v>
      </c>
      <c r="E120" s="50">
        <f t="shared" si="3"/>
        <v>-0.41172800998127945</v>
      </c>
      <c r="F120" s="49">
        <f>VLOOKUP($A120,'Data shares'!$C:$FB,98)</f>
        <v>19142200</v>
      </c>
      <c r="G120" s="49">
        <f>VLOOKUP($A120,'Data shares'!$C:$FB,99)</f>
        <v>18594800</v>
      </c>
      <c r="H120" s="50">
        <f t="shared" si="4"/>
        <v>2.9438337599759072</v>
      </c>
      <c r="I120" s="49">
        <f>VLOOKUP($A120,'Data shares'!$C:$FB,66)</f>
        <v>4568200</v>
      </c>
      <c r="J120" s="49">
        <f>VLOOKUP($A120,'Data shares'!$C:$FB,67)</f>
        <v>4269300</v>
      </c>
      <c r="K120" s="50">
        <f t="shared" si="5"/>
        <v>6.5430585350904069</v>
      </c>
      <c r="L120" s="50">
        <f>VLOOKUP($A120,'Data shares'!$C:$FB,118)</f>
        <v>0.49</v>
      </c>
      <c r="M120" s="50">
        <f>VLOOKUP($A120,'Data shares'!$C:$FB,119)</f>
        <v>0.48</v>
      </c>
      <c r="N120" s="50">
        <f>VLOOKUP($A120,'Data shares'!$C:$FB,121)*100</f>
        <v>2.08</v>
      </c>
      <c r="O120" s="50">
        <f>VLOOKUP($A120,'Data shares'!$C:$FB,124)</f>
        <v>0.51</v>
      </c>
      <c r="P120" s="50">
        <f>VLOOKUP($A120,'Data shares'!$C:$FB,125)</f>
        <v>0.56999999999999995</v>
      </c>
      <c r="Q120" s="50">
        <f>VLOOKUP($A120,'Data shares'!$C:$FB,127)*100</f>
        <v>-10.530000000000001</v>
      </c>
    </row>
    <row r="121" spans="1:17" x14ac:dyDescent="0.25">
      <c r="A121" s="97" t="str">
        <f>'Snapshot (Value)'!A125</f>
        <v>LODHA</v>
      </c>
      <c r="B121" s="140">
        <f>VLOOKUP($A121,'Data shares'!$C:$FB,7)</f>
        <v>869.05</v>
      </c>
      <c r="C121" s="140">
        <f>VLOOKUP($A121,'Data shares'!$C:$FB,3)</f>
        <v>871.3</v>
      </c>
      <c r="D121" s="140">
        <f>VLOOKUP($A121,'Data shares'!$C:$FB,4)</f>
        <v>881.35</v>
      </c>
      <c r="E121" s="50">
        <f t="shared" si="3"/>
        <v>-1.1402961366086195</v>
      </c>
      <c r="F121" s="49">
        <f>VLOOKUP($A121,'Data shares'!$C:$FB,98)</f>
        <v>15189300</v>
      </c>
      <c r="G121" s="49">
        <f>VLOOKUP($A121,'Data shares'!$C:$FB,99)</f>
        <v>14616000</v>
      </c>
      <c r="H121" s="50">
        <f t="shared" si="4"/>
        <v>3.9224137931034484</v>
      </c>
      <c r="I121" s="49">
        <f>VLOOKUP($A121,'Data shares'!$C:$FB,66)</f>
        <v>3447900</v>
      </c>
      <c r="J121" s="49">
        <f>VLOOKUP($A121,'Data shares'!$C:$FB,67)</f>
        <v>3735000</v>
      </c>
      <c r="K121" s="50">
        <f t="shared" si="5"/>
        <v>-8.3268076220308025</v>
      </c>
      <c r="L121" s="50">
        <f>VLOOKUP($A121,'Data shares'!$C:$FB,118)</f>
        <v>0.89</v>
      </c>
      <c r="M121" s="50">
        <f>VLOOKUP($A121,'Data shares'!$C:$FB,119)</f>
        <v>0.95</v>
      </c>
      <c r="N121" s="50">
        <f>VLOOKUP($A121,'Data shares'!$C:$FB,121)*100</f>
        <v>-6.32</v>
      </c>
      <c r="O121" s="50">
        <f>VLOOKUP($A121,'Data shares'!$C:$FB,124)</f>
        <v>0.55000000000000004</v>
      </c>
      <c r="P121" s="50">
        <f>VLOOKUP($A121,'Data shares'!$C:$FB,125)</f>
        <v>0.46</v>
      </c>
      <c r="Q121" s="50">
        <f>VLOOKUP($A121,'Data shares'!$C:$FB,127)*100</f>
        <v>19.57</v>
      </c>
    </row>
    <row r="122" spans="1:17" x14ac:dyDescent="0.25">
      <c r="A122" s="97" t="str">
        <f>'Snapshot (Value)'!A126</f>
        <v>LT</v>
      </c>
      <c r="B122" s="140">
        <f>VLOOKUP($A122,'Data shares'!$C:$FB,7)</f>
        <v>3719.5</v>
      </c>
      <c r="C122" s="140">
        <f>VLOOKUP($A122,'Data shares'!$C:$FB,3)</f>
        <v>3730.9</v>
      </c>
      <c r="D122" s="140">
        <f>VLOOKUP($A122,'Data shares'!$C:$FB,4)</f>
        <v>3843.2</v>
      </c>
      <c r="E122" s="50">
        <f t="shared" si="3"/>
        <v>-2.9220441298917499</v>
      </c>
      <c r="F122" s="49">
        <f>VLOOKUP($A122,'Data shares'!$C:$FB,98)</f>
        <v>33486600</v>
      </c>
      <c r="G122" s="49">
        <f>VLOOKUP($A122,'Data shares'!$C:$FB,99)</f>
        <v>31346350</v>
      </c>
      <c r="H122" s="50">
        <f t="shared" si="4"/>
        <v>6.827748685253626</v>
      </c>
      <c r="I122" s="49">
        <f>VLOOKUP($A122,'Data shares'!$C:$FB,66)</f>
        <v>21964075</v>
      </c>
      <c r="J122" s="49">
        <f>VLOOKUP($A122,'Data shares'!$C:$FB,67)</f>
        <v>11861675</v>
      </c>
      <c r="K122" s="50">
        <f t="shared" si="5"/>
        <v>45.995107920547525</v>
      </c>
      <c r="L122" s="50">
        <f>VLOOKUP($A122,'Data shares'!$C:$FB,118)</f>
        <v>0.52</v>
      </c>
      <c r="M122" s="50">
        <f>VLOOKUP($A122,'Data shares'!$C:$FB,119)</f>
        <v>0.52</v>
      </c>
      <c r="N122" s="50">
        <f>VLOOKUP($A122,'Data shares'!$C:$FB,121)*100</f>
        <v>0</v>
      </c>
      <c r="O122" s="50">
        <f>VLOOKUP($A122,'Data shares'!$C:$FB,124)</f>
        <v>0.61</v>
      </c>
      <c r="P122" s="50">
        <f>VLOOKUP($A122,'Data shares'!$C:$FB,125)</f>
        <v>0.64</v>
      </c>
      <c r="Q122" s="50">
        <f>VLOOKUP($A122,'Data shares'!$C:$FB,127)*100</f>
        <v>-4.6899999999999995</v>
      </c>
    </row>
    <row r="123" spans="1:17" x14ac:dyDescent="0.25">
      <c r="A123" s="97" t="str">
        <f>'Snapshot (Value)'!A127</f>
        <v>LTF</v>
      </c>
      <c r="B123" s="140">
        <f>VLOOKUP($A123,'Data shares'!$C:$FB,7)</f>
        <v>265.5</v>
      </c>
      <c r="C123" s="140">
        <f>VLOOKUP($A123,'Data shares'!$C:$FB,3)</f>
        <v>265.45</v>
      </c>
      <c r="D123" s="140">
        <f>VLOOKUP($A123,'Data shares'!$C:$FB,4)</f>
        <v>265.55</v>
      </c>
      <c r="E123" s="50">
        <f t="shared" si="3"/>
        <v>-3.7657691583514494E-2</v>
      </c>
      <c r="F123" s="49">
        <f>VLOOKUP($A123,'Data shares'!$C:$FB,98)</f>
        <v>120525750</v>
      </c>
      <c r="G123" s="49">
        <f>VLOOKUP($A123,'Data shares'!$C:$FB,99)</f>
        <v>121745250</v>
      </c>
      <c r="H123" s="50">
        <f t="shared" si="4"/>
        <v>-1.0016817904599973</v>
      </c>
      <c r="I123" s="49">
        <f>VLOOKUP($A123,'Data shares'!$C:$FB,66)</f>
        <v>42684750</v>
      </c>
      <c r="J123" s="49">
        <f>VLOOKUP($A123,'Data shares'!$C:$FB,67)</f>
        <v>38355750</v>
      </c>
      <c r="K123" s="50">
        <f t="shared" si="5"/>
        <v>10.141795371883401</v>
      </c>
      <c r="L123" s="50">
        <f>VLOOKUP($A123,'Data shares'!$C:$FB,118)</f>
        <v>0.51</v>
      </c>
      <c r="M123" s="50">
        <f>VLOOKUP($A123,'Data shares'!$C:$FB,119)</f>
        <v>0.5</v>
      </c>
      <c r="N123" s="50">
        <f>VLOOKUP($A123,'Data shares'!$C:$FB,121)*100</f>
        <v>2</v>
      </c>
      <c r="O123" s="50">
        <f>VLOOKUP($A123,'Data shares'!$C:$FB,124)</f>
        <v>0.35</v>
      </c>
      <c r="P123" s="50">
        <f>VLOOKUP($A123,'Data shares'!$C:$FB,125)</f>
        <v>0.31</v>
      </c>
      <c r="Q123" s="50">
        <f>VLOOKUP($A123,'Data shares'!$C:$FB,127)*100</f>
        <v>12.9</v>
      </c>
    </row>
    <row r="124" spans="1:17" x14ac:dyDescent="0.25">
      <c r="A124" s="97" t="str">
        <f>'Snapshot (Value)'!A128</f>
        <v>LTM</v>
      </c>
      <c r="B124" s="140">
        <f>VLOOKUP($A124,'Data shares'!$C:$FB,7)</f>
        <v>4323.6000000000004</v>
      </c>
      <c r="C124" s="140">
        <f>VLOOKUP($A124,'Data shares'!$C:$FB,3)</f>
        <v>4287.6000000000004</v>
      </c>
      <c r="D124" s="140">
        <f>VLOOKUP($A124,'Data shares'!$C:$FB,4)</f>
        <v>4239</v>
      </c>
      <c r="E124" s="50">
        <f t="shared" si="3"/>
        <v>1.1464968152866328</v>
      </c>
      <c r="F124" s="49">
        <f>VLOOKUP($A124,'Data shares'!$C:$FB,98)</f>
        <v>5791050</v>
      </c>
      <c r="G124" s="49">
        <f>VLOOKUP($A124,'Data shares'!$C:$FB,99)</f>
        <v>5687700</v>
      </c>
      <c r="H124" s="50">
        <f t="shared" si="4"/>
        <v>1.8170789598607522</v>
      </c>
      <c r="I124" s="49">
        <f>VLOOKUP($A124,'Data shares'!$C:$FB,66)</f>
        <v>1952550</v>
      </c>
      <c r="J124" s="49">
        <f>VLOOKUP($A124,'Data shares'!$C:$FB,67)</f>
        <v>1630350</v>
      </c>
      <c r="K124" s="50">
        <f t="shared" si="5"/>
        <v>16.501498041023275</v>
      </c>
      <c r="L124" s="50">
        <f>VLOOKUP($A124,'Data shares'!$C:$FB,118)</f>
        <v>0.66</v>
      </c>
      <c r="M124" s="50">
        <f>VLOOKUP($A124,'Data shares'!$C:$FB,119)</f>
        <v>0.62</v>
      </c>
      <c r="N124" s="50">
        <f>VLOOKUP($A124,'Data shares'!$C:$FB,121)*100</f>
        <v>6.45</v>
      </c>
      <c r="O124" s="50">
        <f>VLOOKUP($A124,'Data shares'!$C:$FB,124)</f>
        <v>0.41</v>
      </c>
      <c r="P124" s="50">
        <f>VLOOKUP($A124,'Data shares'!$C:$FB,125)</f>
        <v>0.41</v>
      </c>
      <c r="Q124" s="50">
        <f>VLOOKUP($A124,'Data shares'!$C:$FB,127)*100</f>
        <v>0</v>
      </c>
    </row>
    <row r="125" spans="1:17" x14ac:dyDescent="0.25">
      <c r="A125" s="97" t="str">
        <f>'Snapshot (Value)'!A129</f>
        <v>LUPIN</v>
      </c>
      <c r="B125" s="140">
        <f>VLOOKUP($A125,'Data shares'!$C:$FB,7)</f>
        <v>2357.3000000000002</v>
      </c>
      <c r="C125" s="140">
        <f>VLOOKUP($A125,'Data shares'!$C:$FB,3)</f>
        <v>2359</v>
      </c>
      <c r="D125" s="140">
        <f>VLOOKUP($A125,'Data shares'!$C:$FB,4)</f>
        <v>2348.8000000000002</v>
      </c>
      <c r="E125" s="50">
        <f t="shared" si="3"/>
        <v>0.4342643051771039</v>
      </c>
      <c r="F125" s="49">
        <f>VLOOKUP($A125,'Data shares'!$C:$FB,98)</f>
        <v>13235350</v>
      </c>
      <c r="G125" s="49">
        <f>VLOOKUP($A125,'Data shares'!$C:$FB,99)</f>
        <v>12898325</v>
      </c>
      <c r="H125" s="50">
        <f t="shared" si="4"/>
        <v>2.6129361758212792</v>
      </c>
      <c r="I125" s="49">
        <f>VLOOKUP($A125,'Data shares'!$C:$FB,66)</f>
        <v>7991275</v>
      </c>
      <c r="J125" s="49">
        <f>VLOOKUP($A125,'Data shares'!$C:$FB,67)</f>
        <v>13580875</v>
      </c>
      <c r="K125" s="50">
        <f t="shared" si="5"/>
        <v>-69.946285167260541</v>
      </c>
      <c r="L125" s="50">
        <f>VLOOKUP($A125,'Data shares'!$C:$FB,118)</f>
        <v>0.6</v>
      </c>
      <c r="M125" s="50">
        <f>VLOOKUP($A125,'Data shares'!$C:$FB,119)</f>
        <v>0.56999999999999995</v>
      </c>
      <c r="N125" s="50">
        <f>VLOOKUP($A125,'Data shares'!$C:$FB,121)*100</f>
        <v>5.26</v>
      </c>
      <c r="O125" s="50">
        <f>VLOOKUP($A125,'Data shares'!$C:$FB,124)</f>
        <v>0.53</v>
      </c>
      <c r="P125" s="50">
        <f>VLOOKUP($A125,'Data shares'!$C:$FB,125)</f>
        <v>0.31</v>
      </c>
      <c r="Q125" s="50">
        <f>VLOOKUP($A125,'Data shares'!$C:$FB,127)*100</f>
        <v>70.97</v>
      </c>
    </row>
    <row r="126" spans="1:17" x14ac:dyDescent="0.25">
      <c r="A126" s="97" t="str">
        <f>'Snapshot (Value)'!A130</f>
        <v>M&amp;M</v>
      </c>
      <c r="B126" s="140">
        <f>VLOOKUP($A126,'Data shares'!$C:$FB,7)</f>
        <v>3031.2</v>
      </c>
      <c r="C126" s="140">
        <f>VLOOKUP($A126,'Data shares'!$C:$FB,3)</f>
        <v>3043.3</v>
      </c>
      <c r="D126" s="140">
        <f>VLOOKUP($A126,'Data shares'!$C:$FB,4)</f>
        <v>3174.6</v>
      </c>
      <c r="E126" s="50">
        <f t="shared" si="3"/>
        <v>-4.135954135954127</v>
      </c>
      <c r="F126" s="49">
        <f>VLOOKUP($A126,'Data shares'!$C:$FB,98)</f>
        <v>28936200</v>
      </c>
      <c r="G126" s="49">
        <f>VLOOKUP($A126,'Data shares'!$C:$FB,99)</f>
        <v>26917200</v>
      </c>
      <c r="H126" s="50">
        <f t="shared" si="4"/>
        <v>7.5007801703000307</v>
      </c>
      <c r="I126" s="49">
        <f>VLOOKUP($A126,'Data shares'!$C:$FB,66)</f>
        <v>23287600</v>
      </c>
      <c r="J126" s="49">
        <f>VLOOKUP($A126,'Data shares'!$C:$FB,67)</f>
        <v>14470400</v>
      </c>
      <c r="K126" s="50">
        <f t="shared" si="5"/>
        <v>37.862209931465671</v>
      </c>
      <c r="L126" s="50">
        <f>VLOOKUP($A126,'Data shares'!$C:$FB,118)</f>
        <v>0.56999999999999995</v>
      </c>
      <c r="M126" s="50">
        <f>VLOOKUP($A126,'Data shares'!$C:$FB,119)</f>
        <v>0.63</v>
      </c>
      <c r="N126" s="50">
        <f>VLOOKUP($A126,'Data shares'!$C:$FB,121)*100</f>
        <v>-9.5200000000000014</v>
      </c>
      <c r="O126" s="50">
        <f>VLOOKUP($A126,'Data shares'!$C:$FB,124)</f>
        <v>0.82</v>
      </c>
      <c r="P126" s="50">
        <f>VLOOKUP($A126,'Data shares'!$C:$FB,125)</f>
        <v>0.83</v>
      </c>
      <c r="Q126" s="50">
        <f>VLOOKUP($A126,'Data shares'!$C:$FB,127)*100</f>
        <v>-1.2</v>
      </c>
    </row>
    <row r="127" spans="1:17" x14ac:dyDescent="0.25">
      <c r="A127" s="97" t="str">
        <f>'Snapshot (Value)'!A131</f>
        <v>MANAPPURAM</v>
      </c>
      <c r="B127" s="140">
        <f>VLOOKUP($A127,'Data shares'!$C:$FB,7)</f>
        <v>255.55</v>
      </c>
      <c r="C127" s="140">
        <f>VLOOKUP($A127,'Data shares'!$C:$FB,3)</f>
        <v>256.39999999999998</v>
      </c>
      <c r="D127" s="140">
        <f>VLOOKUP($A127,'Data shares'!$C:$FB,4)</f>
        <v>258.2</v>
      </c>
      <c r="E127" s="50">
        <f t="shared" si="3"/>
        <v>-0.69713400464756448</v>
      </c>
      <c r="F127" s="49">
        <f>VLOOKUP($A127,'Data shares'!$C:$FB,98)</f>
        <v>102237000</v>
      </c>
      <c r="G127" s="49">
        <f>VLOOKUP($A127,'Data shares'!$C:$FB,99)</f>
        <v>99033000</v>
      </c>
      <c r="H127" s="50">
        <f t="shared" si="4"/>
        <v>3.2352852079609828</v>
      </c>
      <c r="I127" s="49">
        <f>VLOOKUP($A127,'Data shares'!$C:$FB,66)</f>
        <v>19485000</v>
      </c>
      <c r="J127" s="49">
        <f>VLOOKUP($A127,'Data shares'!$C:$FB,67)</f>
        <v>27576000</v>
      </c>
      <c r="K127" s="50">
        <f t="shared" si="5"/>
        <v>-41.524249422632792</v>
      </c>
      <c r="L127" s="50">
        <f>VLOOKUP($A127,'Data shares'!$C:$FB,118)</f>
        <v>0.87</v>
      </c>
      <c r="M127" s="50">
        <f>VLOOKUP($A127,'Data shares'!$C:$FB,119)</f>
        <v>0.89</v>
      </c>
      <c r="N127" s="50">
        <f>VLOOKUP($A127,'Data shares'!$C:$FB,121)*100</f>
        <v>-2.25</v>
      </c>
      <c r="O127" s="50">
        <f>VLOOKUP($A127,'Data shares'!$C:$FB,124)</f>
        <v>0.47</v>
      </c>
      <c r="P127" s="50">
        <f>VLOOKUP($A127,'Data shares'!$C:$FB,125)</f>
        <v>0.59</v>
      </c>
      <c r="Q127" s="50">
        <f>VLOOKUP($A127,'Data shares'!$C:$FB,127)*100</f>
        <v>-20.34</v>
      </c>
    </row>
    <row r="128" spans="1:17" x14ac:dyDescent="0.25">
      <c r="A128" s="97" t="str">
        <f>'Snapshot (Value)'!A132</f>
        <v>MANKIND</v>
      </c>
      <c r="B128" s="140">
        <f>VLOOKUP($A128,'Data shares'!$C:$FB,7)</f>
        <v>2207.9</v>
      </c>
      <c r="C128" s="140">
        <f>VLOOKUP($A128,'Data shares'!$C:$FB,3)</f>
        <v>2216.9</v>
      </c>
      <c r="D128" s="140">
        <f>VLOOKUP($A128,'Data shares'!$C:$FB,4)</f>
        <v>2243.1999999999998</v>
      </c>
      <c r="E128" s="50">
        <f t="shared" si="3"/>
        <v>-1.1724322396576199</v>
      </c>
      <c r="F128" s="49">
        <f>VLOOKUP($A128,'Data shares'!$C:$FB,98)</f>
        <v>4400775</v>
      </c>
      <c r="G128" s="49">
        <f>VLOOKUP($A128,'Data shares'!$C:$FB,99)</f>
        <v>4400325</v>
      </c>
      <c r="H128" s="50">
        <f t="shared" si="4"/>
        <v>1.0226517359513217E-2</v>
      </c>
      <c r="I128" s="49">
        <f>VLOOKUP($A128,'Data shares'!$C:$FB,66)</f>
        <v>1458000</v>
      </c>
      <c r="J128" s="49">
        <f>VLOOKUP($A128,'Data shares'!$C:$FB,67)</f>
        <v>2179350</v>
      </c>
      <c r="K128" s="50">
        <f t="shared" si="5"/>
        <v>-49.47530864197531</v>
      </c>
      <c r="L128" s="50">
        <f>VLOOKUP($A128,'Data shares'!$C:$FB,118)</f>
        <v>0.49</v>
      </c>
      <c r="M128" s="50">
        <f>VLOOKUP($A128,'Data shares'!$C:$FB,119)</f>
        <v>0.52</v>
      </c>
      <c r="N128" s="50">
        <f>VLOOKUP($A128,'Data shares'!$C:$FB,121)*100</f>
        <v>-5.7700000000000005</v>
      </c>
      <c r="O128" s="50">
        <f>VLOOKUP($A128,'Data shares'!$C:$FB,124)</f>
        <v>0.28000000000000003</v>
      </c>
      <c r="P128" s="50">
        <f>VLOOKUP($A128,'Data shares'!$C:$FB,125)</f>
        <v>0.18</v>
      </c>
      <c r="Q128" s="50">
        <f>VLOOKUP($A128,'Data shares'!$C:$FB,127)*100</f>
        <v>55.559999999999995</v>
      </c>
    </row>
    <row r="129" spans="1:17" x14ac:dyDescent="0.25">
      <c r="A129" s="97" t="str">
        <f>'Snapshot (Value)'!A133</f>
        <v>MARICO</v>
      </c>
      <c r="B129" s="140">
        <f>VLOOKUP($A129,'Data shares'!$C:$FB,7)</f>
        <v>757.15</v>
      </c>
      <c r="C129" s="140">
        <f>VLOOKUP($A129,'Data shares'!$C:$FB,3)</f>
        <v>756</v>
      </c>
      <c r="D129" s="140">
        <f>VLOOKUP($A129,'Data shares'!$C:$FB,4)</f>
        <v>764.1</v>
      </c>
      <c r="E129" s="50">
        <f t="shared" si="3"/>
        <v>-1.060070671378095</v>
      </c>
      <c r="F129" s="49">
        <f>VLOOKUP($A129,'Data shares'!$C:$FB,98)</f>
        <v>34574400</v>
      </c>
      <c r="G129" s="49">
        <f>VLOOKUP($A129,'Data shares'!$C:$FB,99)</f>
        <v>34275600</v>
      </c>
      <c r="H129" s="50">
        <f t="shared" si="4"/>
        <v>0.87175716836466766</v>
      </c>
      <c r="I129" s="49">
        <f>VLOOKUP($A129,'Data shares'!$C:$FB,66)</f>
        <v>44691600</v>
      </c>
      <c r="J129" s="49">
        <f>VLOOKUP($A129,'Data shares'!$C:$FB,67)</f>
        <v>14521200</v>
      </c>
      <c r="K129" s="50">
        <f t="shared" si="5"/>
        <v>67.507988078296592</v>
      </c>
      <c r="L129" s="50">
        <f>VLOOKUP($A129,'Data shares'!$C:$FB,118)</f>
        <v>0.59</v>
      </c>
      <c r="M129" s="50">
        <f>VLOOKUP($A129,'Data shares'!$C:$FB,119)</f>
        <v>0.57999999999999996</v>
      </c>
      <c r="N129" s="50">
        <f>VLOOKUP($A129,'Data shares'!$C:$FB,121)*100</f>
        <v>1.72</v>
      </c>
      <c r="O129" s="50">
        <f>VLOOKUP($A129,'Data shares'!$C:$FB,124)</f>
        <v>0.99</v>
      </c>
      <c r="P129" s="50">
        <f>VLOOKUP($A129,'Data shares'!$C:$FB,125)</f>
        <v>1.1100000000000001</v>
      </c>
      <c r="Q129" s="50">
        <f>VLOOKUP($A129,'Data shares'!$C:$FB,127)*100</f>
        <v>-10.81</v>
      </c>
    </row>
    <row r="130" spans="1:17" x14ac:dyDescent="0.25">
      <c r="A130" s="97" t="str">
        <f>'Snapshot (Value)'!A134</f>
        <v>MARUTI</v>
      </c>
      <c r="B130" s="140">
        <f>VLOOKUP($A130,'Data shares'!$C:$FB,7)</f>
        <v>13011</v>
      </c>
      <c r="C130" s="140">
        <f>VLOOKUP($A130,'Data shares'!$C:$FB,3)</f>
        <v>13059</v>
      </c>
      <c r="D130" s="140">
        <f>VLOOKUP($A130,'Data shares'!$C:$FB,4)</f>
        <v>13509</v>
      </c>
      <c r="E130" s="50">
        <f t="shared" si="3"/>
        <v>-3.3311125916055966</v>
      </c>
      <c r="F130" s="49">
        <f>VLOOKUP($A130,'Data shares'!$C:$FB,98)</f>
        <v>6659350</v>
      </c>
      <c r="G130" s="49">
        <f>VLOOKUP($A130,'Data shares'!$C:$FB,99)</f>
        <v>6159850</v>
      </c>
      <c r="H130" s="50">
        <f t="shared" si="4"/>
        <v>8.1089636922977029</v>
      </c>
      <c r="I130" s="49">
        <f>VLOOKUP($A130,'Data shares'!$C:$FB,66)</f>
        <v>7348000</v>
      </c>
      <c r="J130" s="49">
        <f>VLOOKUP($A130,'Data shares'!$C:$FB,67)</f>
        <v>5411850</v>
      </c>
      <c r="K130" s="50">
        <f t="shared" si="5"/>
        <v>26.349346761023405</v>
      </c>
      <c r="L130" s="50">
        <f>VLOOKUP($A130,'Data shares'!$C:$FB,118)</f>
        <v>0.39</v>
      </c>
      <c r="M130" s="50">
        <f>VLOOKUP($A130,'Data shares'!$C:$FB,119)</f>
        <v>0.42</v>
      </c>
      <c r="N130" s="50">
        <f>VLOOKUP($A130,'Data shares'!$C:$FB,121)*100</f>
        <v>-7.1400000000000006</v>
      </c>
      <c r="O130" s="50">
        <f>VLOOKUP($A130,'Data shares'!$C:$FB,124)</f>
        <v>0.71</v>
      </c>
      <c r="P130" s="50">
        <f>VLOOKUP($A130,'Data shares'!$C:$FB,125)</f>
        <v>0.79</v>
      </c>
      <c r="Q130" s="50">
        <f>VLOOKUP($A130,'Data shares'!$C:$FB,127)*100</f>
        <v>-10.130000000000001</v>
      </c>
    </row>
    <row r="131" spans="1:17" x14ac:dyDescent="0.25">
      <c r="A131" s="97" t="str">
        <f>'Snapshot (Value)'!A135</f>
        <v>MAXHEALTH</v>
      </c>
      <c r="B131" s="140">
        <f>VLOOKUP($A131,'Data shares'!$C:$FB,7)</f>
        <v>1020.4</v>
      </c>
      <c r="C131" s="140">
        <f>VLOOKUP($A131,'Data shares'!$C:$FB,3)</f>
        <v>1022.7</v>
      </c>
      <c r="D131" s="140">
        <f>VLOOKUP($A131,'Data shares'!$C:$FB,4)</f>
        <v>1033.2</v>
      </c>
      <c r="E131" s="50">
        <f t="shared" si="3"/>
        <v>-1.0162601626016259</v>
      </c>
      <c r="F131" s="49">
        <f>VLOOKUP($A131,'Data shares'!$C:$FB,98)</f>
        <v>18439050</v>
      </c>
      <c r="G131" s="49">
        <f>VLOOKUP($A131,'Data shares'!$C:$FB,99)</f>
        <v>18394425</v>
      </c>
      <c r="H131" s="50">
        <f t="shared" si="4"/>
        <v>0.24260067928190196</v>
      </c>
      <c r="I131" s="49">
        <f>VLOOKUP($A131,'Data shares'!$C:$FB,66)</f>
        <v>6460125</v>
      </c>
      <c r="J131" s="49">
        <f>VLOOKUP($A131,'Data shares'!$C:$FB,67)</f>
        <v>6564600</v>
      </c>
      <c r="K131" s="50">
        <f t="shared" si="5"/>
        <v>-1.6172287687931737</v>
      </c>
      <c r="L131" s="50">
        <f>VLOOKUP($A131,'Data shares'!$C:$FB,118)</f>
        <v>0.86</v>
      </c>
      <c r="M131" s="50">
        <f>VLOOKUP($A131,'Data shares'!$C:$FB,119)</f>
        <v>0.87</v>
      </c>
      <c r="N131" s="50">
        <f>VLOOKUP($A131,'Data shares'!$C:$FB,121)*100</f>
        <v>-1.1499999999999999</v>
      </c>
      <c r="O131" s="50">
        <f>VLOOKUP($A131,'Data shares'!$C:$FB,124)</f>
        <v>0.73</v>
      </c>
      <c r="P131" s="50">
        <f>VLOOKUP($A131,'Data shares'!$C:$FB,125)</f>
        <v>0.82</v>
      </c>
      <c r="Q131" s="50">
        <f>VLOOKUP($A131,'Data shares'!$C:$FB,127)*100</f>
        <v>-10.979999999999999</v>
      </c>
    </row>
    <row r="132" spans="1:17" x14ac:dyDescent="0.25">
      <c r="A132" s="97" t="str">
        <f>'Snapshot (Value)'!A136</f>
        <v>MAZDOCK</v>
      </c>
      <c r="B132" s="140">
        <f>VLOOKUP($A132,'Data shares'!$C:$FB,7)</f>
        <v>2443.3000000000002</v>
      </c>
      <c r="C132" s="140">
        <f>VLOOKUP($A132,'Data shares'!$C:$FB,3)</f>
        <v>2460.1999999999998</v>
      </c>
      <c r="D132" s="140">
        <f>VLOOKUP($A132,'Data shares'!$C:$FB,4)</f>
        <v>2437.8000000000002</v>
      </c>
      <c r="E132" s="50">
        <f t="shared" si="3"/>
        <v>0.91886126835670001</v>
      </c>
      <c r="F132" s="49">
        <f>VLOOKUP($A132,'Data shares'!$C:$FB,98)</f>
        <v>12564800</v>
      </c>
      <c r="G132" s="49">
        <f>VLOOKUP($A132,'Data shares'!$C:$FB,99)</f>
        <v>12211400</v>
      </c>
      <c r="H132" s="50">
        <f t="shared" si="4"/>
        <v>2.8940170660202762</v>
      </c>
      <c r="I132" s="49">
        <f>VLOOKUP($A132,'Data shares'!$C:$FB,66)</f>
        <v>12380800</v>
      </c>
      <c r="J132" s="49">
        <f>VLOOKUP($A132,'Data shares'!$C:$FB,67)</f>
        <v>14599200</v>
      </c>
      <c r="K132" s="50">
        <f t="shared" si="5"/>
        <v>-17.918066683897649</v>
      </c>
      <c r="L132" s="50">
        <f>VLOOKUP($A132,'Data shares'!$C:$FB,118)</f>
        <v>0.61</v>
      </c>
      <c r="M132" s="50">
        <f>VLOOKUP($A132,'Data shares'!$C:$FB,119)</f>
        <v>0.56999999999999995</v>
      </c>
      <c r="N132" s="50">
        <f>VLOOKUP($A132,'Data shares'!$C:$FB,121)*100</f>
        <v>7.02</v>
      </c>
      <c r="O132" s="50">
        <f>VLOOKUP($A132,'Data shares'!$C:$FB,124)</f>
        <v>0.43</v>
      </c>
      <c r="P132" s="50">
        <f>VLOOKUP($A132,'Data shares'!$C:$FB,125)</f>
        <v>0.36</v>
      </c>
      <c r="Q132" s="50">
        <f>VLOOKUP($A132,'Data shares'!$C:$FB,127)*100</f>
        <v>19.439999999999998</v>
      </c>
    </row>
    <row r="133" spans="1:17" x14ac:dyDescent="0.25">
      <c r="A133" s="97" t="str">
        <f>'Snapshot (Value)'!A137</f>
        <v>MCX</v>
      </c>
      <c r="B133" s="140">
        <f>VLOOKUP($A133,'Data shares'!$C:$FB,7)</f>
        <v>2526.1</v>
      </c>
      <c r="C133" s="140">
        <f>VLOOKUP($A133,'Data shares'!$C:$FB,3)</f>
        <v>2534.6999999999998</v>
      </c>
      <c r="D133" s="140">
        <f>VLOOKUP($A133,'Data shares'!$C:$FB,4)</f>
        <v>2537.9</v>
      </c>
      <c r="E133" s="50">
        <f t="shared" si="3"/>
        <v>-0.12608849836480054</v>
      </c>
      <c r="F133" s="49">
        <f>VLOOKUP($A133,'Data shares'!$C:$FB,98)</f>
        <v>27298125</v>
      </c>
      <c r="G133" s="49">
        <f>VLOOKUP($A133,'Data shares'!$C:$FB,99)</f>
        <v>27295625</v>
      </c>
      <c r="H133" s="50">
        <f t="shared" si="4"/>
        <v>9.1589769422755485E-3</v>
      </c>
      <c r="I133" s="49">
        <f>VLOOKUP($A133,'Data shares'!$C:$FB,66)</f>
        <v>16658125</v>
      </c>
      <c r="J133" s="49">
        <f>VLOOKUP($A133,'Data shares'!$C:$FB,67)</f>
        <v>17020625</v>
      </c>
      <c r="K133" s="50">
        <f t="shared" si="5"/>
        <v>-2.1761152590702735</v>
      </c>
      <c r="L133" s="50">
        <f>VLOOKUP($A133,'Data shares'!$C:$FB,118)</f>
        <v>0.73</v>
      </c>
      <c r="M133" s="50">
        <f>VLOOKUP($A133,'Data shares'!$C:$FB,119)</f>
        <v>0.74</v>
      </c>
      <c r="N133" s="50">
        <f>VLOOKUP($A133,'Data shares'!$C:$FB,121)*100</f>
        <v>-1.35</v>
      </c>
      <c r="O133" s="50">
        <f>VLOOKUP($A133,'Data shares'!$C:$FB,124)</f>
        <v>0.64</v>
      </c>
      <c r="P133" s="50">
        <f>VLOOKUP($A133,'Data shares'!$C:$FB,125)</f>
        <v>0.67</v>
      </c>
      <c r="Q133" s="50">
        <f>VLOOKUP($A133,'Data shares'!$C:$FB,127)*100</f>
        <v>-4.4799999999999995</v>
      </c>
    </row>
    <row r="134" spans="1:17" x14ac:dyDescent="0.25">
      <c r="A134" s="97" t="str">
        <f>'Snapshot (Value)'!A138</f>
        <v>MFSL</v>
      </c>
      <c r="B134" s="140">
        <f>VLOOKUP($A134,'Data shares'!$C:$FB,7)</f>
        <v>1696.2</v>
      </c>
      <c r="C134" s="140">
        <f>VLOOKUP($A134,'Data shares'!$C:$FB,3)</f>
        <v>1699.1</v>
      </c>
      <c r="D134" s="140">
        <f>VLOOKUP($A134,'Data shares'!$C:$FB,4)</f>
        <v>1730.8</v>
      </c>
      <c r="E134" s="50">
        <f t="shared" si="3"/>
        <v>-1.8315229951467555</v>
      </c>
      <c r="F134" s="49">
        <f>VLOOKUP($A134,'Data shares'!$C:$FB,98)</f>
        <v>11172800</v>
      </c>
      <c r="G134" s="49">
        <f>VLOOKUP($A134,'Data shares'!$C:$FB,99)</f>
        <v>11036000</v>
      </c>
      <c r="H134" s="50">
        <f t="shared" si="4"/>
        <v>1.2395795578108011</v>
      </c>
      <c r="I134" s="49">
        <f>VLOOKUP($A134,'Data shares'!$C:$FB,66)</f>
        <v>2114800</v>
      </c>
      <c r="J134" s="49">
        <f>VLOOKUP($A134,'Data shares'!$C:$FB,67)</f>
        <v>2383600</v>
      </c>
      <c r="K134" s="50">
        <f t="shared" si="5"/>
        <v>-12.710421789294497</v>
      </c>
      <c r="L134" s="50">
        <f>VLOOKUP($A134,'Data shares'!$C:$FB,118)</f>
        <v>0.92</v>
      </c>
      <c r="M134" s="50">
        <f>VLOOKUP($A134,'Data shares'!$C:$FB,119)</f>
        <v>0.85</v>
      </c>
      <c r="N134" s="50">
        <f>VLOOKUP($A134,'Data shares'!$C:$FB,121)*100</f>
        <v>8.24</v>
      </c>
      <c r="O134" s="50">
        <f>VLOOKUP($A134,'Data shares'!$C:$FB,124)</f>
        <v>0.71</v>
      </c>
      <c r="P134" s="50">
        <f>VLOOKUP($A134,'Data shares'!$C:$FB,125)</f>
        <v>0.52</v>
      </c>
      <c r="Q134" s="50">
        <f>VLOOKUP($A134,'Data shares'!$C:$FB,127)*100</f>
        <v>36.54</v>
      </c>
    </row>
    <row r="135" spans="1:17" x14ac:dyDescent="0.25">
      <c r="A135" s="97" t="str">
        <f>'Snapshot (Value)'!A139</f>
        <v>MIDCPNIFTY</v>
      </c>
      <c r="B135" s="140">
        <f>VLOOKUP($A135,'Data shares'!$C:$FB,7)</f>
        <v>12961.15</v>
      </c>
      <c r="C135" s="140">
        <f>VLOOKUP($A135,'Data shares'!$C:$FB,3)</f>
        <v>12962.8</v>
      </c>
      <c r="D135" s="140">
        <f>VLOOKUP($A135,'Data shares'!$C:$FB,4)</f>
        <v>12963.2</v>
      </c>
      <c r="E135" s="50">
        <f t="shared" si="3"/>
        <v>-3.0856578622674587E-3</v>
      </c>
      <c r="F135" s="49">
        <f>VLOOKUP($A135,'Data shares'!$C:$FB,98)</f>
        <v>15640440</v>
      </c>
      <c r="G135" s="49">
        <f>VLOOKUP($A135,'Data shares'!$C:$FB,99)</f>
        <v>15286800</v>
      </c>
      <c r="H135" s="50">
        <f t="shared" si="4"/>
        <v>2.313368396263443</v>
      </c>
      <c r="I135" s="49">
        <f>VLOOKUP($A135,'Data shares'!$C:$FB,66)</f>
        <v>25557120</v>
      </c>
      <c r="J135" s="49">
        <f>VLOOKUP($A135,'Data shares'!$C:$FB,67)</f>
        <v>25501560</v>
      </c>
      <c r="K135" s="50">
        <f t="shared" si="5"/>
        <v>0.21739538727368343</v>
      </c>
      <c r="L135" s="50">
        <f>VLOOKUP($A135,'Data shares'!$C:$FB,118)</f>
        <v>0.95</v>
      </c>
      <c r="M135" s="50">
        <f>VLOOKUP($A135,'Data shares'!$C:$FB,119)</f>
        <v>0.93</v>
      </c>
      <c r="N135" s="50">
        <f>VLOOKUP($A135,'Data shares'!$C:$FB,121)*100</f>
        <v>2.15</v>
      </c>
      <c r="O135" s="50">
        <f>VLOOKUP($A135,'Data shares'!$C:$FB,124)</f>
        <v>1.05</v>
      </c>
      <c r="P135" s="50">
        <f>VLOOKUP($A135,'Data shares'!$C:$FB,125)</f>
        <v>1.04</v>
      </c>
      <c r="Q135" s="50">
        <f>VLOOKUP($A135,'Data shares'!$C:$FB,127)*100</f>
        <v>0.96</v>
      </c>
    </row>
    <row r="136" spans="1:17" x14ac:dyDescent="0.25">
      <c r="A136" s="97" t="str">
        <f>'Snapshot (Value)'!A140</f>
        <v>MOTHERSON</v>
      </c>
      <c r="B136" s="140">
        <f>VLOOKUP($A136,'Data shares'!$C:$FB,7)</f>
        <v>120.17</v>
      </c>
      <c r="C136" s="140">
        <f>VLOOKUP($A136,'Data shares'!$C:$FB,3)</f>
        <v>119.63</v>
      </c>
      <c r="D136" s="140">
        <f>VLOOKUP($A136,'Data shares'!$C:$FB,4)</f>
        <v>121</v>
      </c>
      <c r="E136" s="50">
        <f t="shared" ref="E136:E172" si="6">(C136-D136)/D136*100</f>
        <v>-1.1322314049586815</v>
      </c>
      <c r="F136" s="49">
        <f>VLOOKUP($A136,'Data shares'!$C:$FB,98)</f>
        <v>209905650</v>
      </c>
      <c r="G136" s="49">
        <f>VLOOKUP($A136,'Data shares'!$C:$FB,99)</f>
        <v>208854000</v>
      </c>
      <c r="H136" s="50">
        <f t="shared" ref="H136:H172" si="7">(F136-G136)/G136*100</f>
        <v>0.50353356890459366</v>
      </c>
      <c r="I136" s="49">
        <f>VLOOKUP($A136,'Data shares'!$C:$FB,66)</f>
        <v>101290500</v>
      </c>
      <c r="J136" s="49">
        <f>VLOOKUP($A136,'Data shares'!$C:$FB,67)</f>
        <v>84802350</v>
      </c>
      <c r="K136" s="50">
        <f t="shared" ref="K136:K172" si="8">(I136-J136)/I136*100</f>
        <v>16.278081360048574</v>
      </c>
      <c r="L136" s="50">
        <f>VLOOKUP($A136,'Data shares'!$C:$FB,118)</f>
        <v>0.67</v>
      </c>
      <c r="M136" s="50">
        <f>VLOOKUP($A136,'Data shares'!$C:$FB,119)</f>
        <v>0.72</v>
      </c>
      <c r="N136" s="50">
        <f>VLOOKUP($A136,'Data shares'!$C:$FB,121)*100</f>
        <v>-6.94</v>
      </c>
      <c r="O136" s="50">
        <f>VLOOKUP($A136,'Data shares'!$C:$FB,124)</f>
        <v>0.67</v>
      </c>
      <c r="P136" s="50">
        <f>VLOOKUP($A136,'Data shares'!$C:$FB,125)</f>
        <v>0.53</v>
      </c>
      <c r="Q136" s="50">
        <f>VLOOKUP($A136,'Data shares'!$C:$FB,127)*100</f>
        <v>26.419999999999998</v>
      </c>
    </row>
    <row r="137" spans="1:17" x14ac:dyDescent="0.25">
      <c r="A137" s="97" t="str">
        <f>'Snapshot (Value)'!A141</f>
        <v>MPHASIS</v>
      </c>
      <c r="B137" s="140">
        <f>VLOOKUP($A137,'Data shares'!$C:$FB,7)</f>
        <v>2185.1999999999998</v>
      </c>
      <c r="C137" s="140">
        <f>VLOOKUP($A137,'Data shares'!$C:$FB,3)</f>
        <v>2194</v>
      </c>
      <c r="D137" s="140">
        <f>VLOOKUP($A137,'Data shares'!$C:$FB,4)</f>
        <v>2186.6999999999998</v>
      </c>
      <c r="E137" s="50">
        <f t="shared" si="6"/>
        <v>0.33383637444551983</v>
      </c>
      <c r="F137" s="49">
        <f>VLOOKUP($A137,'Data shares'!$C:$FB,98)</f>
        <v>7737125</v>
      </c>
      <c r="G137" s="49">
        <f>VLOOKUP($A137,'Data shares'!$C:$FB,99)</f>
        <v>7625200</v>
      </c>
      <c r="H137" s="50">
        <f t="shared" si="7"/>
        <v>1.4678303519907674</v>
      </c>
      <c r="I137" s="49">
        <f>VLOOKUP($A137,'Data shares'!$C:$FB,66)</f>
        <v>2484350</v>
      </c>
      <c r="J137" s="49">
        <f>VLOOKUP($A137,'Data shares'!$C:$FB,67)</f>
        <v>1574100</v>
      </c>
      <c r="K137" s="50">
        <f t="shared" si="8"/>
        <v>36.63936240867833</v>
      </c>
      <c r="L137" s="50">
        <f>VLOOKUP($A137,'Data shares'!$C:$FB,118)</f>
        <v>0.55000000000000004</v>
      </c>
      <c r="M137" s="50">
        <f>VLOOKUP($A137,'Data shares'!$C:$FB,119)</f>
        <v>0.63</v>
      </c>
      <c r="N137" s="50">
        <f>VLOOKUP($A137,'Data shares'!$C:$FB,121)*100</f>
        <v>-12.7</v>
      </c>
      <c r="O137" s="50">
        <f>VLOOKUP($A137,'Data shares'!$C:$FB,124)</f>
        <v>0.55000000000000004</v>
      </c>
      <c r="P137" s="50">
        <f>VLOOKUP($A137,'Data shares'!$C:$FB,125)</f>
        <v>0.96</v>
      </c>
      <c r="Q137" s="50">
        <f>VLOOKUP($A137,'Data shares'!$C:$FB,127)*100</f>
        <v>-42.71</v>
      </c>
    </row>
    <row r="138" spans="1:17" x14ac:dyDescent="0.25">
      <c r="A138" s="97" t="str">
        <f>'Snapshot (Value)'!A142</f>
        <v>MUTHOOTFIN</v>
      </c>
      <c r="B138" s="140">
        <f>VLOOKUP($A138,'Data shares'!$C:$FB,7)</f>
        <v>3244</v>
      </c>
      <c r="C138" s="140">
        <f>VLOOKUP($A138,'Data shares'!$C:$FB,3)</f>
        <v>3255.7</v>
      </c>
      <c r="D138" s="140">
        <f>VLOOKUP($A138,'Data shares'!$C:$FB,4)</f>
        <v>3171.1</v>
      </c>
      <c r="E138" s="50">
        <f t="shared" si="6"/>
        <v>2.6678439658162754</v>
      </c>
      <c r="F138" s="49">
        <f>VLOOKUP($A138,'Data shares'!$C:$FB,98)</f>
        <v>9778175</v>
      </c>
      <c r="G138" s="49">
        <f>VLOOKUP($A138,'Data shares'!$C:$FB,99)</f>
        <v>9846100</v>
      </c>
      <c r="H138" s="50">
        <f t="shared" si="7"/>
        <v>-0.68986705396045134</v>
      </c>
      <c r="I138" s="49">
        <f>VLOOKUP($A138,'Data shares'!$C:$FB,66)</f>
        <v>6390450</v>
      </c>
      <c r="J138" s="49">
        <f>VLOOKUP($A138,'Data shares'!$C:$FB,67)</f>
        <v>6197675</v>
      </c>
      <c r="K138" s="50">
        <f t="shared" si="8"/>
        <v>3.0166107238144417</v>
      </c>
      <c r="L138" s="50">
        <f>VLOOKUP($A138,'Data shares'!$C:$FB,118)</f>
        <v>0.43</v>
      </c>
      <c r="M138" s="50">
        <f>VLOOKUP($A138,'Data shares'!$C:$FB,119)</f>
        <v>0.41</v>
      </c>
      <c r="N138" s="50">
        <f>VLOOKUP($A138,'Data shares'!$C:$FB,121)*100</f>
        <v>4.88</v>
      </c>
      <c r="O138" s="50">
        <f>VLOOKUP($A138,'Data shares'!$C:$FB,124)</f>
        <v>0.41</v>
      </c>
      <c r="P138" s="50">
        <f>VLOOKUP($A138,'Data shares'!$C:$FB,125)</f>
        <v>0.56000000000000005</v>
      </c>
      <c r="Q138" s="50">
        <f>VLOOKUP($A138,'Data shares'!$C:$FB,127)*100</f>
        <v>-26.790000000000003</v>
      </c>
    </row>
    <row r="139" spans="1:17" x14ac:dyDescent="0.25">
      <c r="A139" s="97" t="str">
        <f>'Snapshot (Value)'!A143</f>
        <v>NATIONALUM</v>
      </c>
      <c r="B139" s="140">
        <f>VLOOKUP($A139,'Data shares'!$C:$FB,7)</f>
        <v>409.15</v>
      </c>
      <c r="C139" s="140">
        <f>VLOOKUP($A139,'Data shares'!$C:$FB,3)</f>
        <v>409.35</v>
      </c>
      <c r="D139" s="140">
        <f>VLOOKUP($A139,'Data shares'!$C:$FB,4)</f>
        <v>398.25</v>
      </c>
      <c r="E139" s="50">
        <f t="shared" si="6"/>
        <v>2.7871939736346572</v>
      </c>
      <c r="F139" s="49">
        <f>VLOOKUP($A139,'Data shares'!$C:$FB,98)</f>
        <v>131141250</v>
      </c>
      <c r="G139" s="49">
        <f>VLOOKUP($A139,'Data shares'!$C:$FB,99)</f>
        <v>129577500</v>
      </c>
      <c r="H139" s="50">
        <f t="shared" si="7"/>
        <v>1.206806737280778</v>
      </c>
      <c r="I139" s="49">
        <f>VLOOKUP($A139,'Data shares'!$C:$FB,66)</f>
        <v>168558750</v>
      </c>
      <c r="J139" s="49">
        <f>VLOOKUP($A139,'Data shares'!$C:$FB,67)</f>
        <v>158400000</v>
      </c>
      <c r="K139" s="50">
        <f t="shared" si="8"/>
        <v>6.0268304077955017</v>
      </c>
      <c r="L139" s="50">
        <f>VLOOKUP($A139,'Data shares'!$C:$FB,118)</f>
        <v>0.88</v>
      </c>
      <c r="M139" s="50">
        <f>VLOOKUP($A139,'Data shares'!$C:$FB,119)</f>
        <v>0.8</v>
      </c>
      <c r="N139" s="50">
        <f>VLOOKUP($A139,'Data shares'!$C:$FB,121)*100</f>
        <v>10</v>
      </c>
      <c r="O139" s="50">
        <f>VLOOKUP($A139,'Data shares'!$C:$FB,124)</f>
        <v>0.47</v>
      </c>
      <c r="P139" s="50">
        <f>VLOOKUP($A139,'Data shares'!$C:$FB,125)</f>
        <v>0.44</v>
      </c>
      <c r="Q139" s="50">
        <f>VLOOKUP($A139,'Data shares'!$C:$FB,127)*100</f>
        <v>6.8199999999999994</v>
      </c>
    </row>
    <row r="140" spans="1:17" x14ac:dyDescent="0.25">
      <c r="A140" s="97" t="str">
        <f>'Snapshot (Value)'!A144</f>
        <v>NAUKRI</v>
      </c>
      <c r="B140" s="140">
        <f>VLOOKUP($A140,'Data shares'!$C:$FB,7)</f>
        <v>955.4</v>
      </c>
      <c r="C140" s="140">
        <f>VLOOKUP($A140,'Data shares'!$C:$FB,3)</f>
        <v>956.9</v>
      </c>
      <c r="D140" s="140">
        <f>VLOOKUP($A140,'Data shares'!$C:$FB,4)</f>
        <v>958.1</v>
      </c>
      <c r="E140" s="50">
        <f t="shared" si="6"/>
        <v>-0.12524788644192103</v>
      </c>
      <c r="F140" s="49">
        <f>VLOOKUP($A140,'Data shares'!$C:$FB,98)</f>
        <v>16894875</v>
      </c>
      <c r="G140" s="49">
        <f>VLOOKUP($A140,'Data shares'!$C:$FB,99)</f>
        <v>16654500</v>
      </c>
      <c r="H140" s="50">
        <f t="shared" si="7"/>
        <v>1.4433036116364948</v>
      </c>
      <c r="I140" s="49">
        <f>VLOOKUP($A140,'Data shares'!$C:$FB,66)</f>
        <v>5082750</v>
      </c>
      <c r="J140" s="49">
        <f>VLOOKUP($A140,'Data shares'!$C:$FB,67)</f>
        <v>4880625</v>
      </c>
      <c r="K140" s="50">
        <f t="shared" si="8"/>
        <v>3.9766858491958095</v>
      </c>
      <c r="L140" s="50">
        <f>VLOOKUP($A140,'Data shares'!$C:$FB,118)</f>
        <v>0.48</v>
      </c>
      <c r="M140" s="50">
        <f>VLOOKUP($A140,'Data shares'!$C:$FB,119)</f>
        <v>0.5</v>
      </c>
      <c r="N140" s="50">
        <f>VLOOKUP($A140,'Data shares'!$C:$FB,121)*100</f>
        <v>-4</v>
      </c>
      <c r="O140" s="50">
        <f>VLOOKUP($A140,'Data shares'!$C:$FB,124)</f>
        <v>0.37</v>
      </c>
      <c r="P140" s="50">
        <f>VLOOKUP($A140,'Data shares'!$C:$FB,125)</f>
        <v>0.56999999999999995</v>
      </c>
      <c r="Q140" s="50">
        <f>VLOOKUP($A140,'Data shares'!$C:$FB,127)*100</f>
        <v>-35.089999999999996</v>
      </c>
    </row>
    <row r="141" spans="1:17" x14ac:dyDescent="0.25">
      <c r="A141" s="97" t="str">
        <f>'Snapshot (Value)'!A145</f>
        <v>NBCC</v>
      </c>
      <c r="B141" s="140">
        <f>VLOOKUP($A141,'Data shares'!$C:$FB,7)</f>
        <v>86.58</v>
      </c>
      <c r="C141" s="140">
        <f>VLOOKUP($A141,'Data shares'!$C:$FB,3)</f>
        <v>86.79</v>
      </c>
      <c r="D141" s="140">
        <f>VLOOKUP($A141,'Data shares'!$C:$FB,4)</f>
        <v>86.44</v>
      </c>
      <c r="E141" s="50">
        <f t="shared" si="6"/>
        <v>0.4049051365108845</v>
      </c>
      <c r="F141" s="49">
        <f>VLOOKUP($A141,'Data shares'!$C:$FB,98)</f>
        <v>141583000</v>
      </c>
      <c r="G141" s="49">
        <f>VLOOKUP($A141,'Data shares'!$C:$FB,99)</f>
        <v>140003500</v>
      </c>
      <c r="H141" s="50">
        <f t="shared" si="7"/>
        <v>1.128186081062259</v>
      </c>
      <c r="I141" s="49">
        <f>VLOOKUP($A141,'Data shares'!$C:$FB,66)</f>
        <v>30420000</v>
      </c>
      <c r="J141" s="49">
        <f>VLOOKUP($A141,'Data shares'!$C:$FB,67)</f>
        <v>25109500</v>
      </c>
      <c r="K141" s="50">
        <f t="shared" si="8"/>
        <v>17.457264957264957</v>
      </c>
      <c r="L141" s="50">
        <f>VLOOKUP($A141,'Data shares'!$C:$FB,118)</f>
        <v>0.65</v>
      </c>
      <c r="M141" s="50">
        <f>VLOOKUP($A141,'Data shares'!$C:$FB,119)</f>
        <v>0.65</v>
      </c>
      <c r="N141" s="50">
        <f>VLOOKUP($A141,'Data shares'!$C:$FB,121)*100</f>
        <v>0</v>
      </c>
      <c r="O141" s="50">
        <f>VLOOKUP($A141,'Data shares'!$C:$FB,124)</f>
        <v>0.52</v>
      </c>
      <c r="P141" s="50">
        <f>VLOOKUP($A141,'Data shares'!$C:$FB,125)</f>
        <v>0.59</v>
      </c>
      <c r="Q141" s="50">
        <f>VLOOKUP($A141,'Data shares'!$C:$FB,127)*100</f>
        <v>-11.86</v>
      </c>
    </row>
    <row r="142" spans="1:17" x14ac:dyDescent="0.25">
      <c r="A142" s="97" t="str">
        <f>'Snapshot (Value)'!A146</f>
        <v>NESTLEIND</v>
      </c>
      <c r="B142" s="140">
        <f>VLOOKUP($A142,'Data shares'!$C:$FB,7)</f>
        <v>1220.8</v>
      </c>
      <c r="C142" s="140">
        <f>VLOOKUP($A142,'Data shares'!$C:$FB,3)</f>
        <v>1223.0999999999999</v>
      </c>
      <c r="D142" s="140">
        <f>VLOOKUP($A142,'Data shares'!$C:$FB,4)</f>
        <v>1234</v>
      </c>
      <c r="E142" s="50">
        <f t="shared" si="6"/>
        <v>-0.88330632090762484</v>
      </c>
      <c r="F142" s="49">
        <f>VLOOKUP($A142,'Data shares'!$C:$FB,98)</f>
        <v>21872000</v>
      </c>
      <c r="G142" s="49">
        <f>VLOOKUP($A142,'Data shares'!$C:$FB,99)</f>
        <v>21819000</v>
      </c>
      <c r="H142" s="50">
        <f t="shared" si="7"/>
        <v>0.24290755763325544</v>
      </c>
      <c r="I142" s="49">
        <f>VLOOKUP($A142,'Data shares'!$C:$FB,66)</f>
        <v>4508000</v>
      </c>
      <c r="J142" s="49">
        <f>VLOOKUP($A142,'Data shares'!$C:$FB,67)</f>
        <v>4098500</v>
      </c>
      <c r="K142" s="50">
        <f t="shared" si="8"/>
        <v>9.08385093167702</v>
      </c>
      <c r="L142" s="50">
        <f>VLOOKUP($A142,'Data shares'!$C:$FB,118)</f>
        <v>0.47</v>
      </c>
      <c r="M142" s="50">
        <f>VLOOKUP($A142,'Data shares'!$C:$FB,119)</f>
        <v>0.43</v>
      </c>
      <c r="N142" s="50">
        <f>VLOOKUP($A142,'Data shares'!$C:$FB,121)*100</f>
        <v>9.3000000000000007</v>
      </c>
      <c r="O142" s="50">
        <f>VLOOKUP($A142,'Data shares'!$C:$FB,124)</f>
        <v>0.79</v>
      </c>
      <c r="P142" s="50">
        <f>VLOOKUP($A142,'Data shares'!$C:$FB,125)</f>
        <v>0.67</v>
      </c>
      <c r="Q142" s="50">
        <f>VLOOKUP($A142,'Data shares'!$C:$FB,127)*100</f>
        <v>17.91</v>
      </c>
    </row>
    <row r="143" spans="1:17" x14ac:dyDescent="0.25">
      <c r="A143" s="97" t="str">
        <f>'Snapshot (Value)'!A147</f>
        <v>NHPC</v>
      </c>
      <c r="B143" s="140">
        <f>VLOOKUP($A143,'Data shares'!$C:$FB,7)</f>
        <v>74.78</v>
      </c>
      <c r="C143" s="140">
        <f>VLOOKUP($A143,'Data shares'!$C:$FB,3)</f>
        <v>75.010000000000005</v>
      </c>
      <c r="D143" s="140">
        <f>VLOOKUP($A143,'Data shares'!$C:$FB,4)</f>
        <v>73.680000000000007</v>
      </c>
      <c r="E143" s="50">
        <f t="shared" si="6"/>
        <v>1.8051031487513549</v>
      </c>
      <c r="F143" s="49">
        <f>VLOOKUP($A143,'Data shares'!$C:$FB,98)</f>
        <v>135507200</v>
      </c>
      <c r="G143" s="49">
        <f>VLOOKUP($A143,'Data shares'!$C:$FB,99)</f>
        <v>139264000</v>
      </c>
      <c r="H143" s="50">
        <f t="shared" si="7"/>
        <v>-2.6976102941176472</v>
      </c>
      <c r="I143" s="49">
        <f>VLOOKUP($A143,'Data shares'!$C:$FB,66)</f>
        <v>111955200</v>
      </c>
      <c r="J143" s="49">
        <f>VLOOKUP($A143,'Data shares'!$C:$FB,67)</f>
        <v>73414400</v>
      </c>
      <c r="K143" s="50">
        <f t="shared" si="8"/>
        <v>34.42519865088893</v>
      </c>
      <c r="L143" s="50">
        <f>VLOOKUP($A143,'Data shares'!$C:$FB,118)</f>
        <v>0.54</v>
      </c>
      <c r="M143" s="50">
        <f>VLOOKUP($A143,'Data shares'!$C:$FB,119)</f>
        <v>0.5</v>
      </c>
      <c r="N143" s="50">
        <f>VLOOKUP($A143,'Data shares'!$C:$FB,121)*100</f>
        <v>8</v>
      </c>
      <c r="O143" s="50">
        <f>VLOOKUP($A143,'Data shares'!$C:$FB,124)</f>
        <v>0.31</v>
      </c>
      <c r="P143" s="50">
        <f>VLOOKUP($A143,'Data shares'!$C:$FB,125)</f>
        <v>0.36</v>
      </c>
      <c r="Q143" s="50">
        <f>VLOOKUP($A143,'Data shares'!$C:$FB,127)*100</f>
        <v>-13.889999999999999</v>
      </c>
    </row>
    <row r="144" spans="1:17" x14ac:dyDescent="0.25">
      <c r="A144" s="97" t="str">
        <f>'Snapshot (Value)'!A148</f>
        <v>NIFTY</v>
      </c>
      <c r="B144" s="140">
        <f>VLOOKUP($A144,'Data shares'!$C:$FB,7)</f>
        <v>23639.15</v>
      </c>
      <c r="C144" s="140">
        <f>VLOOKUP($A144,'Data shares'!$C:$FB,3)</f>
        <v>23728.5</v>
      </c>
      <c r="D144" s="140">
        <f>VLOOKUP($A144,'Data shares'!$C:$FB,4)</f>
        <v>23939.1</v>
      </c>
      <c r="E144" s="50">
        <f t="shared" si="6"/>
        <v>-0.87973232076393248</v>
      </c>
      <c r="F144" s="49">
        <f>VLOOKUP($A144,'Data shares'!$C:$FB,98)</f>
        <v>469361895</v>
      </c>
      <c r="G144" s="49">
        <f>VLOOKUP($A144,'Data shares'!$C:$FB,99)</f>
        <v>430676035</v>
      </c>
      <c r="H144" s="50">
        <f t="shared" si="7"/>
        <v>8.9825894305913732</v>
      </c>
      <c r="I144" s="49">
        <f>VLOOKUP($A144,'Data shares'!$C:$FB,66)</f>
        <v>3201855020</v>
      </c>
      <c r="J144" s="49">
        <f>VLOOKUP($A144,'Data shares'!$C:$FB,67)</f>
        <v>3203394155</v>
      </c>
      <c r="K144" s="50">
        <f t="shared" si="8"/>
        <v>-4.8070102811838121E-2</v>
      </c>
      <c r="L144" s="50">
        <f>VLOOKUP($A144,'Data shares'!$C:$FB,118)</f>
        <v>0.86</v>
      </c>
      <c r="M144" s="50">
        <f>VLOOKUP($A144,'Data shares'!$C:$FB,119)</f>
        <v>0.83</v>
      </c>
      <c r="N144" s="50">
        <f>VLOOKUP($A144,'Data shares'!$C:$FB,121)*100</f>
        <v>3.61</v>
      </c>
      <c r="O144" s="50">
        <f>VLOOKUP($A144,'Data shares'!$C:$FB,124)</f>
        <v>0.84</v>
      </c>
      <c r="P144" s="50">
        <f>VLOOKUP($A144,'Data shares'!$C:$FB,125)</f>
        <v>1.1299999999999999</v>
      </c>
      <c r="Q144" s="50">
        <f>VLOOKUP($A144,'Data shares'!$C:$FB,127)*100</f>
        <v>-25.66</v>
      </c>
    </row>
    <row r="145" spans="1:17" x14ac:dyDescent="0.25">
      <c r="A145" s="97" t="str">
        <f>'Snapshot (Value)'!A149</f>
        <v>NIFTYNXT50</v>
      </c>
      <c r="B145" s="140">
        <f>VLOOKUP($A145,'Data shares'!$C:$FB,7)</f>
        <v>66424.55</v>
      </c>
      <c r="C145" s="140">
        <f>VLOOKUP($A145,'Data shares'!$C:$FB,3)</f>
        <v>66510.2</v>
      </c>
      <c r="D145" s="140">
        <f>VLOOKUP($A145,'Data shares'!$C:$FB,4)</f>
        <v>66507.8</v>
      </c>
      <c r="E145" s="50">
        <f t="shared" si="6"/>
        <v>3.6085992921043534E-3</v>
      </c>
      <c r="F145" s="49">
        <f>VLOOKUP($A145,'Data shares'!$C:$FB,98)</f>
        <v>34975</v>
      </c>
      <c r="G145" s="49">
        <f>VLOOKUP($A145,'Data shares'!$C:$FB,99)</f>
        <v>33375</v>
      </c>
      <c r="H145" s="50">
        <f t="shared" si="7"/>
        <v>4.7940074906367043</v>
      </c>
      <c r="I145" s="49">
        <f>VLOOKUP($A145,'Data shares'!$C:$FB,66)</f>
        <v>13325</v>
      </c>
      <c r="J145" s="49">
        <f>VLOOKUP($A145,'Data shares'!$C:$FB,67)</f>
        <v>24625</v>
      </c>
      <c r="K145" s="50">
        <f t="shared" si="8"/>
        <v>-84.803001876172615</v>
      </c>
      <c r="L145" s="50">
        <f>VLOOKUP($A145,'Data shares'!$C:$FB,118)</f>
        <v>0.42</v>
      </c>
      <c r="M145" s="50">
        <f>VLOOKUP($A145,'Data shares'!$C:$FB,119)</f>
        <v>0.42</v>
      </c>
      <c r="N145" s="50">
        <f>VLOOKUP($A145,'Data shares'!$C:$FB,121)*100</f>
        <v>0</v>
      </c>
      <c r="O145" s="50">
        <f>VLOOKUP($A145,'Data shares'!$C:$FB,124)</f>
        <v>0.55000000000000004</v>
      </c>
      <c r="P145" s="50">
        <f>VLOOKUP($A145,'Data shares'!$C:$FB,125)</f>
        <v>0.61</v>
      </c>
      <c r="Q145" s="50">
        <f>VLOOKUP($A145,'Data shares'!$C:$FB,127)*100</f>
        <v>-9.84</v>
      </c>
    </row>
    <row r="146" spans="1:17" x14ac:dyDescent="0.25">
      <c r="A146" s="97" t="str">
        <f>'Snapshot (Value)'!A150</f>
        <v>NMDC</v>
      </c>
      <c r="B146" s="140">
        <f>VLOOKUP($A146,'Data shares'!$C:$FB,7)</f>
        <v>80.87</v>
      </c>
      <c r="C146" s="140">
        <f>VLOOKUP($A146,'Data shares'!$C:$FB,3)</f>
        <v>81.2</v>
      </c>
      <c r="D146" s="140">
        <f>VLOOKUP($A146,'Data shares'!$C:$FB,4)</f>
        <v>79.83</v>
      </c>
      <c r="E146" s="50">
        <f t="shared" si="6"/>
        <v>1.7161468119754535</v>
      </c>
      <c r="F146" s="49">
        <f>VLOOKUP($A146,'Data shares'!$C:$FB,98)</f>
        <v>472743000</v>
      </c>
      <c r="G146" s="49">
        <f>VLOOKUP($A146,'Data shares'!$C:$FB,99)</f>
        <v>470549250</v>
      </c>
      <c r="H146" s="50">
        <f t="shared" si="7"/>
        <v>0.46621049762591266</v>
      </c>
      <c r="I146" s="49">
        <f>VLOOKUP($A146,'Data shares'!$C:$FB,66)</f>
        <v>125590500</v>
      </c>
      <c r="J146" s="49">
        <f>VLOOKUP($A146,'Data shares'!$C:$FB,67)</f>
        <v>90949500</v>
      </c>
      <c r="K146" s="50">
        <f t="shared" si="8"/>
        <v>27.582500268730513</v>
      </c>
      <c r="L146" s="50">
        <f>VLOOKUP($A146,'Data shares'!$C:$FB,118)</f>
        <v>0.56000000000000005</v>
      </c>
      <c r="M146" s="50">
        <f>VLOOKUP($A146,'Data shares'!$C:$FB,119)</f>
        <v>0.56999999999999995</v>
      </c>
      <c r="N146" s="50">
        <f>VLOOKUP($A146,'Data shares'!$C:$FB,121)*100</f>
        <v>-1.7500000000000002</v>
      </c>
      <c r="O146" s="50">
        <f>VLOOKUP($A146,'Data shares'!$C:$FB,124)</f>
        <v>0.35</v>
      </c>
      <c r="P146" s="50">
        <f>VLOOKUP($A146,'Data shares'!$C:$FB,125)</f>
        <v>0.39</v>
      </c>
      <c r="Q146" s="50">
        <f>VLOOKUP($A146,'Data shares'!$C:$FB,127)*100</f>
        <v>-10.26</v>
      </c>
    </row>
    <row r="147" spans="1:17" x14ac:dyDescent="0.25">
      <c r="A147" s="97" t="str">
        <f>'Snapshot (Value)'!A151</f>
        <v>NTPC</v>
      </c>
      <c r="B147" s="140">
        <f>VLOOKUP($A147,'Data shares'!$C:$FB,7)</f>
        <v>390.55</v>
      </c>
      <c r="C147" s="140">
        <f>VLOOKUP($A147,'Data shares'!$C:$FB,3)</f>
        <v>390.9</v>
      </c>
      <c r="D147" s="140">
        <f>VLOOKUP($A147,'Data shares'!$C:$FB,4)</f>
        <v>380.25</v>
      </c>
      <c r="E147" s="50">
        <f t="shared" si="6"/>
        <v>2.8007889546351024</v>
      </c>
      <c r="F147" s="49">
        <f>VLOOKUP($A147,'Data shares'!$C:$FB,98)</f>
        <v>228325500</v>
      </c>
      <c r="G147" s="49">
        <f>VLOOKUP($A147,'Data shares'!$C:$FB,99)</f>
        <v>198072000</v>
      </c>
      <c r="H147" s="50">
        <f t="shared" si="7"/>
        <v>15.273991275899673</v>
      </c>
      <c r="I147" s="49">
        <f>VLOOKUP($A147,'Data shares'!$C:$FB,66)</f>
        <v>344547000</v>
      </c>
      <c r="J147" s="49">
        <f>VLOOKUP($A147,'Data shares'!$C:$FB,67)</f>
        <v>105799500</v>
      </c>
      <c r="K147" s="50">
        <f t="shared" si="8"/>
        <v>69.293158843350838</v>
      </c>
      <c r="L147" s="50">
        <f>VLOOKUP($A147,'Data shares'!$C:$FB,118)</f>
        <v>0.44</v>
      </c>
      <c r="M147" s="50">
        <f>VLOOKUP($A147,'Data shares'!$C:$FB,119)</f>
        <v>0.39</v>
      </c>
      <c r="N147" s="50">
        <f>VLOOKUP($A147,'Data shares'!$C:$FB,121)*100</f>
        <v>12.82</v>
      </c>
      <c r="O147" s="50">
        <f>VLOOKUP($A147,'Data shares'!$C:$FB,124)</f>
        <v>0.24</v>
      </c>
      <c r="P147" s="50">
        <f>VLOOKUP($A147,'Data shares'!$C:$FB,125)</f>
        <v>0.36</v>
      </c>
      <c r="Q147" s="50">
        <f>VLOOKUP($A147,'Data shares'!$C:$FB,127)*100</f>
        <v>-33.33</v>
      </c>
    </row>
    <row r="148" spans="1:17" x14ac:dyDescent="0.25">
      <c r="A148" s="97" t="str">
        <f>'Snapshot (Value)'!A152</f>
        <v>NUVAMA</v>
      </c>
      <c r="B148" s="140">
        <f>VLOOKUP($A148,'Data shares'!$C:$FB,7)</f>
        <v>1183.8</v>
      </c>
      <c r="C148" s="140">
        <f>VLOOKUP($A148,'Data shares'!$C:$FB,3)</f>
        <v>1188.4000000000001</v>
      </c>
      <c r="D148" s="140">
        <f>VLOOKUP($A148,'Data shares'!$C:$FB,4)</f>
        <v>1211.0999999999999</v>
      </c>
      <c r="E148" s="50">
        <f t="shared" si="6"/>
        <v>-1.8743291222855107</v>
      </c>
      <c r="F148" s="49">
        <f>VLOOKUP($A148,'Data shares'!$C:$FB,98)</f>
        <v>3660500</v>
      </c>
      <c r="G148" s="49">
        <f>VLOOKUP($A148,'Data shares'!$C:$FB,99)</f>
        <v>3640000</v>
      </c>
      <c r="H148" s="50">
        <f t="shared" si="7"/>
        <v>0.56318681318681318</v>
      </c>
      <c r="I148" s="49">
        <f>VLOOKUP($A148,'Data shares'!$C:$FB,66)</f>
        <v>1370000</v>
      </c>
      <c r="J148" s="49">
        <f>VLOOKUP($A148,'Data shares'!$C:$FB,67)</f>
        <v>1382500</v>
      </c>
      <c r="K148" s="50">
        <f t="shared" si="8"/>
        <v>-0.91240875912408748</v>
      </c>
      <c r="L148" s="50">
        <f>VLOOKUP($A148,'Data shares'!$C:$FB,118)</f>
        <v>0.66</v>
      </c>
      <c r="M148" s="50">
        <f>VLOOKUP($A148,'Data shares'!$C:$FB,119)</f>
        <v>0.67</v>
      </c>
      <c r="N148" s="50">
        <f>VLOOKUP($A148,'Data shares'!$C:$FB,121)*100</f>
        <v>-1.49</v>
      </c>
      <c r="O148" s="50">
        <f>VLOOKUP($A148,'Data shares'!$C:$FB,124)</f>
        <v>0.28999999999999998</v>
      </c>
      <c r="P148" s="50">
        <f>VLOOKUP($A148,'Data shares'!$C:$FB,125)</f>
        <v>0.25</v>
      </c>
      <c r="Q148" s="50">
        <f>VLOOKUP($A148,'Data shares'!$C:$FB,127)*100</f>
        <v>16</v>
      </c>
    </row>
    <row r="149" spans="1:17" x14ac:dyDescent="0.25">
      <c r="A149" s="97" t="str">
        <f>'Snapshot (Value)'!A153</f>
        <v>NYKAA</v>
      </c>
      <c r="B149" s="140">
        <f>VLOOKUP($A149,'Data shares'!$C:$FB,7)</f>
        <v>244.95</v>
      </c>
      <c r="C149" s="140">
        <f>VLOOKUP($A149,'Data shares'!$C:$FB,3)</f>
        <v>245.85</v>
      </c>
      <c r="D149" s="140">
        <f>VLOOKUP($A149,'Data shares'!$C:$FB,4)</f>
        <v>252.85</v>
      </c>
      <c r="E149" s="50">
        <f t="shared" si="6"/>
        <v>-2.7684397864346453</v>
      </c>
      <c r="F149" s="49">
        <f>VLOOKUP($A149,'Data shares'!$C:$FB,98)</f>
        <v>57068750</v>
      </c>
      <c r="G149" s="49">
        <f>VLOOKUP($A149,'Data shares'!$C:$FB,99)</f>
        <v>56765625</v>
      </c>
      <c r="H149" s="50">
        <f t="shared" si="7"/>
        <v>0.53399394439856873</v>
      </c>
      <c r="I149" s="49">
        <f>VLOOKUP($A149,'Data shares'!$C:$FB,66)</f>
        <v>11453125</v>
      </c>
      <c r="J149" s="49">
        <f>VLOOKUP($A149,'Data shares'!$C:$FB,67)</f>
        <v>11790625</v>
      </c>
      <c r="K149" s="50">
        <f t="shared" si="8"/>
        <v>-2.9467939972714867</v>
      </c>
      <c r="L149" s="50">
        <f>VLOOKUP($A149,'Data shares'!$C:$FB,118)</f>
        <v>0.52</v>
      </c>
      <c r="M149" s="50">
        <f>VLOOKUP($A149,'Data shares'!$C:$FB,119)</f>
        <v>0.56000000000000005</v>
      </c>
      <c r="N149" s="50">
        <f>VLOOKUP($A149,'Data shares'!$C:$FB,121)*100</f>
        <v>-7.1400000000000006</v>
      </c>
      <c r="O149" s="50">
        <f>VLOOKUP($A149,'Data shares'!$C:$FB,124)</f>
        <v>0.48</v>
      </c>
      <c r="P149" s="50">
        <f>VLOOKUP($A149,'Data shares'!$C:$FB,125)</f>
        <v>0.54</v>
      </c>
      <c r="Q149" s="50">
        <f>VLOOKUP($A149,'Data shares'!$C:$FB,127)*100</f>
        <v>-11.110000000000001</v>
      </c>
    </row>
    <row r="150" spans="1:17" x14ac:dyDescent="0.25">
      <c r="A150" s="97" t="str">
        <f>'Snapshot (Value)'!A154</f>
        <v>OBEROIRLTY</v>
      </c>
      <c r="B150" s="140">
        <f>VLOOKUP($A150,'Data shares'!$C:$FB,7)</f>
        <v>1470.3</v>
      </c>
      <c r="C150" s="140">
        <f>VLOOKUP($A150,'Data shares'!$C:$FB,3)</f>
        <v>1456.6</v>
      </c>
      <c r="D150" s="140">
        <f>VLOOKUP($A150,'Data shares'!$C:$FB,4)</f>
        <v>1474.3</v>
      </c>
      <c r="E150" s="50">
        <f t="shared" si="6"/>
        <v>-1.2005697619209146</v>
      </c>
      <c r="F150" s="49">
        <f>VLOOKUP($A150,'Data shares'!$C:$FB,98)</f>
        <v>9873500</v>
      </c>
      <c r="G150" s="49">
        <f>VLOOKUP($A150,'Data shares'!$C:$FB,99)</f>
        <v>9891350</v>
      </c>
      <c r="H150" s="50">
        <f t="shared" si="7"/>
        <v>-0.18046070556597429</v>
      </c>
      <c r="I150" s="49">
        <f>VLOOKUP($A150,'Data shares'!$C:$FB,66)</f>
        <v>2295650</v>
      </c>
      <c r="J150" s="49">
        <f>VLOOKUP($A150,'Data shares'!$C:$FB,67)</f>
        <v>3090850</v>
      </c>
      <c r="K150" s="50">
        <f t="shared" si="8"/>
        <v>-34.639426741881387</v>
      </c>
      <c r="L150" s="50">
        <f>VLOOKUP($A150,'Data shares'!$C:$FB,118)</f>
        <v>0.93</v>
      </c>
      <c r="M150" s="50">
        <f>VLOOKUP($A150,'Data shares'!$C:$FB,119)</f>
        <v>0.9</v>
      </c>
      <c r="N150" s="50">
        <f>VLOOKUP($A150,'Data shares'!$C:$FB,121)*100</f>
        <v>3.3300000000000005</v>
      </c>
      <c r="O150" s="50">
        <f>VLOOKUP($A150,'Data shares'!$C:$FB,124)</f>
        <v>0.65</v>
      </c>
      <c r="P150" s="50">
        <f>VLOOKUP($A150,'Data shares'!$C:$FB,125)</f>
        <v>0.99</v>
      </c>
      <c r="Q150" s="50">
        <f>VLOOKUP($A150,'Data shares'!$C:$FB,127)*100</f>
        <v>-34.339999999999996</v>
      </c>
    </row>
    <row r="151" spans="1:17" x14ac:dyDescent="0.25">
      <c r="A151" s="97" t="str">
        <f>'Snapshot (Value)'!A155</f>
        <v>OFSS</v>
      </c>
      <c r="B151" s="140">
        <f>VLOOKUP($A151,'Data shares'!$C:$FB,7)</f>
        <v>6694.5</v>
      </c>
      <c r="C151" s="140">
        <f>VLOOKUP($A151,'Data shares'!$C:$FB,3)</f>
        <v>6679</v>
      </c>
      <c r="D151" s="140">
        <f>VLOOKUP($A151,'Data shares'!$C:$FB,4)</f>
        <v>6769</v>
      </c>
      <c r="E151" s="50">
        <f t="shared" si="6"/>
        <v>-1.329590781503915</v>
      </c>
      <c r="F151" s="49">
        <f>VLOOKUP($A151,'Data shares'!$C:$FB,98)</f>
        <v>2455350</v>
      </c>
      <c r="G151" s="49">
        <f>VLOOKUP($A151,'Data shares'!$C:$FB,99)</f>
        <v>2465550</v>
      </c>
      <c r="H151" s="50">
        <f t="shared" si="7"/>
        <v>-0.41370079698241774</v>
      </c>
      <c r="I151" s="49">
        <f>VLOOKUP($A151,'Data shares'!$C:$FB,66)</f>
        <v>1345125</v>
      </c>
      <c r="J151" s="49">
        <f>VLOOKUP($A151,'Data shares'!$C:$FB,67)</f>
        <v>2686875</v>
      </c>
      <c r="K151" s="50">
        <f t="shared" si="8"/>
        <v>-99.749093950376349</v>
      </c>
      <c r="L151" s="50">
        <f>VLOOKUP($A151,'Data shares'!$C:$FB,118)</f>
        <v>0.62</v>
      </c>
      <c r="M151" s="50">
        <f>VLOOKUP($A151,'Data shares'!$C:$FB,119)</f>
        <v>0.55000000000000004</v>
      </c>
      <c r="N151" s="50">
        <f>VLOOKUP($A151,'Data shares'!$C:$FB,121)*100</f>
        <v>12.73</v>
      </c>
      <c r="O151" s="50">
        <f>VLOOKUP($A151,'Data shares'!$C:$FB,124)</f>
        <v>1.1299999999999999</v>
      </c>
      <c r="P151" s="50">
        <f>VLOOKUP($A151,'Data shares'!$C:$FB,125)</f>
        <v>0.38</v>
      </c>
      <c r="Q151" s="50">
        <f>VLOOKUP($A151,'Data shares'!$C:$FB,127)*100</f>
        <v>197.37</v>
      </c>
    </row>
    <row r="152" spans="1:17" x14ac:dyDescent="0.25">
      <c r="A152" s="97" t="str">
        <f>'Snapshot (Value)'!A156</f>
        <v>OIL</v>
      </c>
      <c r="B152" s="140">
        <f>VLOOKUP($A152,'Data shares'!$C:$FB,7)</f>
        <v>479.3</v>
      </c>
      <c r="C152" s="140">
        <f>VLOOKUP($A152,'Data shares'!$C:$FB,3)</f>
        <v>478.1</v>
      </c>
      <c r="D152" s="140">
        <f>VLOOKUP($A152,'Data shares'!$C:$FB,4)</f>
        <v>481.1</v>
      </c>
      <c r="E152" s="50">
        <f t="shared" si="6"/>
        <v>-0.62357098316358339</v>
      </c>
      <c r="F152" s="49">
        <f>VLOOKUP($A152,'Data shares'!$C:$FB,98)</f>
        <v>55045200</v>
      </c>
      <c r="G152" s="49">
        <f>VLOOKUP($A152,'Data shares'!$C:$FB,99)</f>
        <v>55419000</v>
      </c>
      <c r="H152" s="50">
        <f t="shared" si="7"/>
        <v>-0.6744979158772263</v>
      </c>
      <c r="I152" s="49">
        <f>VLOOKUP($A152,'Data shares'!$C:$FB,66)</f>
        <v>43531600</v>
      </c>
      <c r="J152" s="49">
        <f>VLOOKUP($A152,'Data shares'!$C:$FB,67)</f>
        <v>47114200</v>
      </c>
      <c r="K152" s="50">
        <f t="shared" si="8"/>
        <v>-8.2298835788254969</v>
      </c>
      <c r="L152" s="50">
        <f>VLOOKUP($A152,'Data shares'!$C:$FB,118)</f>
        <v>0.55000000000000004</v>
      </c>
      <c r="M152" s="50">
        <f>VLOOKUP($A152,'Data shares'!$C:$FB,119)</f>
        <v>0.52</v>
      </c>
      <c r="N152" s="50">
        <f>VLOOKUP($A152,'Data shares'!$C:$FB,121)*100</f>
        <v>5.7700000000000005</v>
      </c>
      <c r="O152" s="50">
        <f>VLOOKUP($A152,'Data shares'!$C:$FB,124)</f>
        <v>0.28999999999999998</v>
      </c>
      <c r="P152" s="50">
        <f>VLOOKUP($A152,'Data shares'!$C:$FB,125)</f>
        <v>0.35</v>
      </c>
      <c r="Q152" s="50">
        <f>VLOOKUP($A152,'Data shares'!$C:$FB,127)*100</f>
        <v>-17.14</v>
      </c>
    </row>
    <row r="153" spans="1:17" x14ac:dyDescent="0.25">
      <c r="A153" s="97" t="str">
        <f>'Snapshot (Value)'!A157</f>
        <v>ONGC</v>
      </c>
      <c r="B153" s="140">
        <f>VLOOKUP($A153,'Data shares'!$C:$FB,7)</f>
        <v>270.55</v>
      </c>
      <c r="C153" s="140">
        <f>VLOOKUP($A153,'Data shares'!$C:$FB,3)</f>
        <v>271.5</v>
      </c>
      <c r="D153" s="140">
        <f>VLOOKUP($A153,'Data shares'!$C:$FB,4)</f>
        <v>270.95</v>
      </c>
      <c r="E153" s="50">
        <f t="shared" si="6"/>
        <v>0.20298948145414702</v>
      </c>
      <c r="F153" s="49">
        <f>VLOOKUP($A153,'Data shares'!$C:$FB,98)</f>
        <v>258183000</v>
      </c>
      <c r="G153" s="49">
        <f>VLOOKUP($A153,'Data shares'!$C:$FB,99)</f>
        <v>254997000</v>
      </c>
      <c r="H153" s="50">
        <f t="shared" si="7"/>
        <v>1.2494264638407511</v>
      </c>
      <c r="I153" s="49">
        <f>VLOOKUP($A153,'Data shares'!$C:$FB,66)</f>
        <v>111377250</v>
      </c>
      <c r="J153" s="49">
        <f>VLOOKUP($A153,'Data shares'!$C:$FB,67)</f>
        <v>98291250</v>
      </c>
      <c r="K153" s="50">
        <f t="shared" si="8"/>
        <v>11.749257590755741</v>
      </c>
      <c r="L153" s="50">
        <f>VLOOKUP($A153,'Data shares'!$C:$FB,118)</f>
        <v>0.46</v>
      </c>
      <c r="M153" s="50">
        <f>VLOOKUP($A153,'Data shares'!$C:$FB,119)</f>
        <v>0.44</v>
      </c>
      <c r="N153" s="50">
        <f>VLOOKUP($A153,'Data shares'!$C:$FB,121)*100</f>
        <v>4.55</v>
      </c>
      <c r="O153" s="50">
        <f>VLOOKUP($A153,'Data shares'!$C:$FB,124)</f>
        <v>0.34</v>
      </c>
      <c r="P153" s="50">
        <f>VLOOKUP($A153,'Data shares'!$C:$FB,125)</f>
        <v>0.31</v>
      </c>
      <c r="Q153" s="50">
        <f>VLOOKUP($A153,'Data shares'!$C:$FB,127)*100</f>
        <v>9.68</v>
      </c>
    </row>
    <row r="154" spans="1:17" x14ac:dyDescent="0.25">
      <c r="A154" s="97" t="str">
        <f>'Snapshot (Value)'!A158</f>
        <v>PAGEIND</v>
      </c>
      <c r="B154" s="140">
        <f>VLOOKUP($A154,'Data shares'!$C:$FB,7)</f>
        <v>30860</v>
      </c>
      <c r="C154" s="140">
        <f>VLOOKUP($A154,'Data shares'!$C:$FB,3)</f>
        <v>30915</v>
      </c>
      <c r="D154" s="140">
        <f>VLOOKUP($A154,'Data shares'!$C:$FB,4)</f>
        <v>31750</v>
      </c>
      <c r="E154" s="50">
        <f t="shared" si="6"/>
        <v>-2.6299212598425199</v>
      </c>
      <c r="F154" s="49">
        <f>VLOOKUP($A154,'Data shares'!$C:$FB,98)</f>
        <v>423255</v>
      </c>
      <c r="G154" s="49">
        <f>VLOOKUP($A154,'Data shares'!$C:$FB,99)</f>
        <v>393585</v>
      </c>
      <c r="H154" s="50">
        <f t="shared" si="7"/>
        <v>7.53839704257022</v>
      </c>
      <c r="I154" s="49">
        <f>VLOOKUP($A154,'Data shares'!$C:$FB,66)</f>
        <v>241605</v>
      </c>
      <c r="J154" s="49">
        <f>VLOOKUP($A154,'Data shares'!$C:$FB,67)</f>
        <v>225405</v>
      </c>
      <c r="K154" s="50">
        <f t="shared" si="8"/>
        <v>6.7051592475321291</v>
      </c>
      <c r="L154" s="50">
        <f>VLOOKUP($A154,'Data shares'!$C:$FB,118)</f>
        <v>0.42</v>
      </c>
      <c r="M154" s="50">
        <f>VLOOKUP($A154,'Data shares'!$C:$FB,119)</f>
        <v>0.54</v>
      </c>
      <c r="N154" s="50">
        <f>VLOOKUP($A154,'Data shares'!$C:$FB,121)*100</f>
        <v>-22.220000000000002</v>
      </c>
      <c r="O154" s="50">
        <f>VLOOKUP($A154,'Data shares'!$C:$FB,124)</f>
        <v>0.42</v>
      </c>
      <c r="P154" s="50">
        <f>VLOOKUP($A154,'Data shares'!$C:$FB,125)</f>
        <v>0.42</v>
      </c>
      <c r="Q154" s="50">
        <f>VLOOKUP($A154,'Data shares'!$C:$FB,127)*100</f>
        <v>0</v>
      </c>
    </row>
    <row r="155" spans="1:17" x14ac:dyDescent="0.25">
      <c r="A155" s="97" t="str">
        <f>'Snapshot (Value)'!A159</f>
        <v>PATANJALI</v>
      </c>
      <c r="B155" s="140">
        <f>VLOOKUP($A155,'Data shares'!$C:$FB,7)</f>
        <v>490.6</v>
      </c>
      <c r="C155" s="140">
        <f>VLOOKUP($A155,'Data shares'!$C:$FB,3)</f>
        <v>490.4</v>
      </c>
      <c r="D155" s="140">
        <f>VLOOKUP($A155,'Data shares'!$C:$FB,4)</f>
        <v>497.05</v>
      </c>
      <c r="E155" s="50">
        <f t="shared" si="6"/>
        <v>-1.3378935720752507</v>
      </c>
      <c r="F155" s="49">
        <f>VLOOKUP($A155,'Data shares'!$C:$FB,98)</f>
        <v>43995600</v>
      </c>
      <c r="G155" s="49">
        <f>VLOOKUP($A155,'Data shares'!$C:$FB,99)</f>
        <v>42738300</v>
      </c>
      <c r="H155" s="50">
        <f t="shared" si="7"/>
        <v>2.9418577716006484</v>
      </c>
      <c r="I155" s="49">
        <f>VLOOKUP($A155,'Data shares'!$C:$FB,66)</f>
        <v>9160200</v>
      </c>
      <c r="J155" s="49">
        <f>VLOOKUP($A155,'Data shares'!$C:$FB,67)</f>
        <v>6253200</v>
      </c>
      <c r="K155" s="50">
        <f t="shared" si="8"/>
        <v>31.73511495382197</v>
      </c>
      <c r="L155" s="50">
        <f>VLOOKUP($A155,'Data shares'!$C:$FB,118)</f>
        <v>0.88</v>
      </c>
      <c r="M155" s="50">
        <f>VLOOKUP($A155,'Data shares'!$C:$FB,119)</f>
        <v>0.73</v>
      </c>
      <c r="N155" s="50">
        <f>VLOOKUP($A155,'Data shares'!$C:$FB,121)*100</f>
        <v>20.549999999999997</v>
      </c>
      <c r="O155" s="50">
        <f>VLOOKUP($A155,'Data shares'!$C:$FB,124)</f>
        <v>0.77</v>
      </c>
      <c r="P155" s="50">
        <f>VLOOKUP($A155,'Data shares'!$C:$FB,125)</f>
        <v>0.59</v>
      </c>
      <c r="Q155" s="50">
        <f>VLOOKUP($A155,'Data shares'!$C:$FB,127)*100</f>
        <v>30.509999999999998</v>
      </c>
    </row>
    <row r="156" spans="1:17" x14ac:dyDescent="0.25">
      <c r="A156" s="97" t="str">
        <f>'Snapshot (Value)'!A160</f>
        <v>PAYTM</v>
      </c>
      <c r="B156" s="140">
        <f>VLOOKUP($A156,'Data shares'!$C:$FB,7)</f>
        <v>1009.1</v>
      </c>
      <c r="C156" s="140">
        <f>VLOOKUP($A156,'Data shares'!$C:$FB,3)</f>
        <v>1012.9</v>
      </c>
      <c r="D156" s="140">
        <f>VLOOKUP($A156,'Data shares'!$C:$FB,4)</f>
        <v>1026.3</v>
      </c>
      <c r="E156" s="50">
        <f t="shared" si="6"/>
        <v>-1.3056611127350655</v>
      </c>
      <c r="F156" s="49">
        <f>VLOOKUP($A156,'Data shares'!$C:$FB,98)</f>
        <v>36619750</v>
      </c>
      <c r="G156" s="49">
        <f>VLOOKUP($A156,'Data shares'!$C:$FB,99)</f>
        <v>36344250</v>
      </c>
      <c r="H156" s="50">
        <f t="shared" si="7"/>
        <v>0.75802912427688007</v>
      </c>
      <c r="I156" s="49">
        <f>VLOOKUP($A156,'Data shares'!$C:$FB,66)</f>
        <v>11462250</v>
      </c>
      <c r="J156" s="49">
        <f>VLOOKUP($A156,'Data shares'!$C:$FB,67)</f>
        <v>11366550</v>
      </c>
      <c r="K156" s="50">
        <f t="shared" si="8"/>
        <v>0.83491461100569253</v>
      </c>
      <c r="L156" s="50">
        <f>VLOOKUP($A156,'Data shares'!$C:$FB,118)</f>
        <v>0.67</v>
      </c>
      <c r="M156" s="50">
        <f>VLOOKUP($A156,'Data shares'!$C:$FB,119)</f>
        <v>0.67</v>
      </c>
      <c r="N156" s="50">
        <f>VLOOKUP($A156,'Data shares'!$C:$FB,121)*100</f>
        <v>0</v>
      </c>
      <c r="O156" s="50">
        <f>VLOOKUP($A156,'Data shares'!$C:$FB,124)</f>
        <v>0.62</v>
      </c>
      <c r="P156" s="50">
        <f>VLOOKUP($A156,'Data shares'!$C:$FB,125)</f>
        <v>0.59</v>
      </c>
      <c r="Q156" s="50">
        <f>VLOOKUP($A156,'Data shares'!$C:$FB,127)*100</f>
        <v>5.08</v>
      </c>
    </row>
    <row r="157" spans="1:17" x14ac:dyDescent="0.25">
      <c r="A157" s="97" t="str">
        <f>'Snapshot (Value)'!A161</f>
        <v>PERSISTENT</v>
      </c>
      <c r="B157" s="140">
        <f>VLOOKUP($A157,'Data shares'!$C:$FB,7)</f>
        <v>4714.3999999999996</v>
      </c>
      <c r="C157" s="140">
        <f>VLOOKUP($A157,'Data shares'!$C:$FB,3)</f>
        <v>4691.3</v>
      </c>
      <c r="D157" s="140">
        <f>VLOOKUP($A157,'Data shares'!$C:$FB,4)</f>
        <v>4728</v>
      </c>
      <c r="E157" s="50">
        <f t="shared" si="6"/>
        <v>-0.77622673434855793</v>
      </c>
      <c r="F157" s="49">
        <f>VLOOKUP($A157,'Data shares'!$C:$FB,98)</f>
        <v>7380400</v>
      </c>
      <c r="G157" s="49">
        <f>VLOOKUP($A157,'Data shares'!$C:$FB,99)</f>
        <v>7261400</v>
      </c>
      <c r="H157" s="50">
        <f t="shared" si="7"/>
        <v>1.6388024347921886</v>
      </c>
      <c r="I157" s="49">
        <f>VLOOKUP($A157,'Data shares'!$C:$FB,66)</f>
        <v>3261500</v>
      </c>
      <c r="J157" s="49">
        <f>VLOOKUP($A157,'Data shares'!$C:$FB,67)</f>
        <v>2878300</v>
      </c>
      <c r="K157" s="50">
        <f t="shared" si="8"/>
        <v>11.74919515560325</v>
      </c>
      <c r="L157" s="50">
        <f>VLOOKUP($A157,'Data shares'!$C:$FB,118)</f>
        <v>0.64</v>
      </c>
      <c r="M157" s="50">
        <f>VLOOKUP($A157,'Data shares'!$C:$FB,119)</f>
        <v>0.66</v>
      </c>
      <c r="N157" s="50">
        <f>VLOOKUP($A157,'Data shares'!$C:$FB,121)*100</f>
        <v>-3.0300000000000002</v>
      </c>
      <c r="O157" s="50">
        <f>VLOOKUP($A157,'Data shares'!$C:$FB,124)</f>
        <v>0.52</v>
      </c>
      <c r="P157" s="50">
        <f>VLOOKUP($A157,'Data shares'!$C:$FB,125)</f>
        <v>0.61</v>
      </c>
      <c r="Q157" s="50">
        <f>VLOOKUP($A157,'Data shares'!$C:$FB,127)*100</f>
        <v>-14.75</v>
      </c>
    </row>
    <row r="158" spans="1:17" x14ac:dyDescent="0.25">
      <c r="A158" s="97" t="str">
        <f>'Snapshot (Value)'!A162</f>
        <v>PETRONET</v>
      </c>
      <c r="B158" s="140">
        <f>VLOOKUP($A158,'Data shares'!$C:$FB,7)</f>
        <v>296.7</v>
      </c>
      <c r="C158" s="140">
        <f>VLOOKUP($A158,'Data shares'!$C:$FB,3)</f>
        <v>296.35000000000002</v>
      </c>
      <c r="D158" s="140">
        <f>VLOOKUP($A158,'Data shares'!$C:$FB,4)</f>
        <v>289.75</v>
      </c>
      <c r="E158" s="50">
        <f t="shared" si="6"/>
        <v>2.2778257118205429</v>
      </c>
      <c r="F158" s="49">
        <f>VLOOKUP($A158,'Data shares'!$C:$FB,98)</f>
        <v>65793200</v>
      </c>
      <c r="G158" s="49">
        <f>VLOOKUP($A158,'Data shares'!$C:$FB,99)</f>
        <v>65675400</v>
      </c>
      <c r="H158" s="50">
        <f t="shared" si="7"/>
        <v>0.17936700804258521</v>
      </c>
      <c r="I158" s="49">
        <f>VLOOKUP($A158,'Data shares'!$C:$FB,66)</f>
        <v>70569800</v>
      </c>
      <c r="J158" s="49">
        <f>VLOOKUP($A158,'Data shares'!$C:$FB,67)</f>
        <v>29288500</v>
      </c>
      <c r="K158" s="50">
        <f t="shared" si="8"/>
        <v>58.497119164288399</v>
      </c>
      <c r="L158" s="50">
        <f>VLOOKUP($A158,'Data shares'!$C:$FB,118)</f>
        <v>0.91</v>
      </c>
      <c r="M158" s="50">
        <f>VLOOKUP($A158,'Data shares'!$C:$FB,119)</f>
        <v>0.94</v>
      </c>
      <c r="N158" s="50">
        <f>VLOOKUP($A158,'Data shares'!$C:$FB,121)*100</f>
        <v>-3.19</v>
      </c>
      <c r="O158" s="50">
        <f>VLOOKUP($A158,'Data shares'!$C:$FB,124)</f>
        <v>0.41</v>
      </c>
      <c r="P158" s="50">
        <f>VLOOKUP($A158,'Data shares'!$C:$FB,125)</f>
        <v>0.71</v>
      </c>
      <c r="Q158" s="50">
        <f>VLOOKUP($A158,'Data shares'!$C:$FB,127)*100</f>
        <v>-42.25</v>
      </c>
    </row>
    <row r="159" spans="1:17" x14ac:dyDescent="0.25">
      <c r="A159" s="97" t="str">
        <f>'Snapshot (Value)'!A163</f>
        <v>PFC</v>
      </c>
      <c r="B159" s="140">
        <f>VLOOKUP($A159,'Data shares'!$C:$FB,7)</f>
        <v>415.9</v>
      </c>
      <c r="C159" s="140">
        <f>VLOOKUP($A159,'Data shares'!$C:$FB,3)</f>
        <v>415.1</v>
      </c>
      <c r="D159" s="140">
        <f>VLOOKUP($A159,'Data shares'!$C:$FB,4)</f>
        <v>406.65</v>
      </c>
      <c r="E159" s="50">
        <f t="shared" si="6"/>
        <v>2.0779540145088027</v>
      </c>
      <c r="F159" s="49">
        <f>VLOOKUP($A159,'Data shares'!$C:$FB,98)</f>
        <v>122014100</v>
      </c>
      <c r="G159" s="49">
        <f>VLOOKUP($A159,'Data shares'!$C:$FB,99)</f>
        <v>116793300</v>
      </c>
      <c r="H159" s="50">
        <f t="shared" si="7"/>
        <v>4.4701194332209129</v>
      </c>
      <c r="I159" s="49">
        <f>VLOOKUP($A159,'Data shares'!$C:$FB,66)</f>
        <v>87721400</v>
      </c>
      <c r="J159" s="49">
        <f>VLOOKUP($A159,'Data shares'!$C:$FB,67)</f>
        <v>42261700</v>
      </c>
      <c r="K159" s="50">
        <f t="shared" si="8"/>
        <v>51.822816325320844</v>
      </c>
      <c r="L159" s="50">
        <f>VLOOKUP($A159,'Data shares'!$C:$FB,118)</f>
        <v>0.47</v>
      </c>
      <c r="M159" s="50">
        <f>VLOOKUP($A159,'Data shares'!$C:$FB,119)</f>
        <v>0.47</v>
      </c>
      <c r="N159" s="50">
        <f>VLOOKUP($A159,'Data shares'!$C:$FB,121)*100</f>
        <v>0</v>
      </c>
      <c r="O159" s="50">
        <f>VLOOKUP($A159,'Data shares'!$C:$FB,124)</f>
        <v>0.42</v>
      </c>
      <c r="P159" s="50">
        <f>VLOOKUP($A159,'Data shares'!$C:$FB,125)</f>
        <v>0.54</v>
      </c>
      <c r="Q159" s="50">
        <f>VLOOKUP($A159,'Data shares'!$C:$FB,127)*100</f>
        <v>-22.220000000000002</v>
      </c>
    </row>
    <row r="160" spans="1:17" x14ac:dyDescent="0.25">
      <c r="A160" s="97" t="str">
        <f>'Snapshot (Value)'!A164</f>
        <v>PGEL</v>
      </c>
      <c r="B160" s="140">
        <f>VLOOKUP($A160,'Data shares'!$C:$FB,7)</f>
        <v>532.20000000000005</v>
      </c>
      <c r="C160" s="140">
        <f>VLOOKUP($A160,'Data shares'!$C:$FB,3)</f>
        <v>531.79999999999995</v>
      </c>
      <c r="D160" s="140">
        <f>VLOOKUP($A160,'Data shares'!$C:$FB,4)</f>
        <v>551.35</v>
      </c>
      <c r="E160" s="50">
        <f t="shared" si="6"/>
        <v>-3.5458420241226203</v>
      </c>
      <c r="F160" s="49">
        <f>VLOOKUP($A160,'Data shares'!$C:$FB,98)</f>
        <v>27883450</v>
      </c>
      <c r="G160" s="49">
        <f>VLOOKUP($A160,'Data shares'!$C:$FB,99)</f>
        <v>28633950</v>
      </c>
      <c r="H160" s="50">
        <f t="shared" si="7"/>
        <v>-2.6210145648784047</v>
      </c>
      <c r="I160" s="49">
        <f>VLOOKUP($A160,'Data shares'!$C:$FB,66)</f>
        <v>23010900</v>
      </c>
      <c r="J160" s="49">
        <f>VLOOKUP($A160,'Data shares'!$C:$FB,67)</f>
        <v>35093950</v>
      </c>
      <c r="K160" s="50">
        <f t="shared" si="8"/>
        <v>-52.51011477169515</v>
      </c>
      <c r="L160" s="50">
        <f>VLOOKUP($A160,'Data shares'!$C:$FB,118)</f>
        <v>0.66</v>
      </c>
      <c r="M160" s="50">
        <f>VLOOKUP($A160,'Data shares'!$C:$FB,119)</f>
        <v>0.65</v>
      </c>
      <c r="N160" s="50">
        <f>VLOOKUP($A160,'Data shares'!$C:$FB,121)*100</f>
        <v>1.54</v>
      </c>
      <c r="O160" s="50">
        <f>VLOOKUP($A160,'Data shares'!$C:$FB,124)</f>
        <v>0.74</v>
      </c>
      <c r="P160" s="50">
        <f>VLOOKUP($A160,'Data shares'!$C:$FB,125)</f>
        <v>0.34</v>
      </c>
      <c r="Q160" s="50">
        <f>VLOOKUP($A160,'Data shares'!$C:$FB,127)*100</f>
        <v>117.65</v>
      </c>
    </row>
    <row r="161" spans="1:17" x14ac:dyDescent="0.25">
      <c r="A161" s="97" t="str">
        <f>'Snapshot (Value)'!A165</f>
        <v>PHOENIXLTD</v>
      </c>
      <c r="B161" s="140">
        <f>VLOOKUP($A161,'Data shares'!$C:$FB,7)</f>
        <v>1560.2</v>
      </c>
      <c r="C161" s="140">
        <f>VLOOKUP($A161,'Data shares'!$C:$FB,3)</f>
        <v>1562</v>
      </c>
      <c r="D161" s="140">
        <f>VLOOKUP($A161,'Data shares'!$C:$FB,4)</f>
        <v>1580.2</v>
      </c>
      <c r="E161" s="50">
        <f t="shared" si="6"/>
        <v>-1.1517529426654882</v>
      </c>
      <c r="F161" s="49">
        <f>VLOOKUP($A161,'Data shares'!$C:$FB,98)</f>
        <v>5974850</v>
      </c>
      <c r="G161" s="49">
        <f>VLOOKUP($A161,'Data shares'!$C:$FB,99)</f>
        <v>5940200</v>
      </c>
      <c r="H161" s="50">
        <f t="shared" si="7"/>
        <v>0.58331369314164505</v>
      </c>
      <c r="I161" s="49">
        <f>VLOOKUP($A161,'Data shares'!$C:$FB,66)</f>
        <v>1579200</v>
      </c>
      <c r="J161" s="49">
        <f>VLOOKUP($A161,'Data shares'!$C:$FB,67)</f>
        <v>917350</v>
      </c>
      <c r="K161" s="50">
        <f t="shared" si="8"/>
        <v>41.910460992907801</v>
      </c>
      <c r="L161" s="50">
        <f>VLOOKUP($A161,'Data shares'!$C:$FB,118)</f>
        <v>0.59</v>
      </c>
      <c r="M161" s="50">
        <f>VLOOKUP($A161,'Data shares'!$C:$FB,119)</f>
        <v>0.61</v>
      </c>
      <c r="N161" s="50">
        <f>VLOOKUP($A161,'Data shares'!$C:$FB,121)*100</f>
        <v>-3.2800000000000002</v>
      </c>
      <c r="O161" s="50">
        <f>VLOOKUP($A161,'Data shares'!$C:$FB,124)</f>
        <v>0.17</v>
      </c>
      <c r="P161" s="50">
        <f>VLOOKUP($A161,'Data shares'!$C:$FB,125)</f>
        <v>0.41</v>
      </c>
      <c r="Q161" s="50">
        <f>VLOOKUP($A161,'Data shares'!$C:$FB,127)*100</f>
        <v>-58.540000000000006</v>
      </c>
    </row>
    <row r="162" spans="1:17" x14ac:dyDescent="0.25">
      <c r="A162" s="97" t="str">
        <f>'Snapshot (Value)'!A166</f>
        <v>PIDILITIND</v>
      </c>
      <c r="B162" s="140">
        <f>VLOOKUP($A162,'Data shares'!$C:$FB,7)</f>
        <v>1387.4</v>
      </c>
      <c r="C162" s="140">
        <f>VLOOKUP($A162,'Data shares'!$C:$FB,3)</f>
        <v>1387</v>
      </c>
      <c r="D162" s="140">
        <f>VLOOKUP($A162,'Data shares'!$C:$FB,4)</f>
        <v>1401.4</v>
      </c>
      <c r="E162" s="50">
        <f t="shared" si="6"/>
        <v>-1.0275438846867482</v>
      </c>
      <c r="F162" s="49">
        <f>VLOOKUP($A162,'Data shares'!$C:$FB,98)</f>
        <v>10868000</v>
      </c>
      <c r="G162" s="49">
        <f>VLOOKUP($A162,'Data shares'!$C:$FB,99)</f>
        <v>10829500</v>
      </c>
      <c r="H162" s="50">
        <f t="shared" si="7"/>
        <v>0.35551041137633316</v>
      </c>
      <c r="I162" s="49">
        <f>VLOOKUP($A162,'Data shares'!$C:$FB,66)</f>
        <v>2125000</v>
      </c>
      <c r="J162" s="49">
        <f>VLOOKUP($A162,'Data shares'!$C:$FB,67)</f>
        <v>2408500</v>
      </c>
      <c r="K162" s="50">
        <f t="shared" si="8"/>
        <v>-13.341176470588234</v>
      </c>
      <c r="L162" s="50">
        <f>VLOOKUP($A162,'Data shares'!$C:$FB,118)</f>
        <v>0.57999999999999996</v>
      </c>
      <c r="M162" s="50">
        <f>VLOOKUP($A162,'Data shares'!$C:$FB,119)</f>
        <v>0.56999999999999995</v>
      </c>
      <c r="N162" s="50">
        <f>VLOOKUP($A162,'Data shares'!$C:$FB,121)*100</f>
        <v>1.7500000000000002</v>
      </c>
      <c r="O162" s="50">
        <f>VLOOKUP($A162,'Data shares'!$C:$FB,124)</f>
        <v>0.89</v>
      </c>
      <c r="P162" s="50">
        <f>VLOOKUP($A162,'Data shares'!$C:$FB,125)</f>
        <v>0.75</v>
      </c>
      <c r="Q162" s="50">
        <f>VLOOKUP($A162,'Data shares'!$C:$FB,127)*100</f>
        <v>18.670000000000002</v>
      </c>
    </row>
    <row r="163" spans="1:17" x14ac:dyDescent="0.25">
      <c r="A163" s="97" t="str">
        <f>'Snapshot (Value)'!A167</f>
        <v>PIIND</v>
      </c>
      <c r="B163" s="140">
        <f>VLOOKUP($A163,'Data shares'!$C:$FB,7)</f>
        <v>2952.4</v>
      </c>
      <c r="C163" s="140">
        <f>VLOOKUP($A163,'Data shares'!$C:$FB,3)</f>
        <v>2958.8</v>
      </c>
      <c r="D163" s="140">
        <f>VLOOKUP($A163,'Data shares'!$C:$FB,4)</f>
        <v>3009.8</v>
      </c>
      <c r="E163" s="50">
        <f t="shared" si="6"/>
        <v>-1.6944647484882713</v>
      </c>
      <c r="F163" s="49">
        <f>VLOOKUP($A163,'Data shares'!$C:$FB,98)</f>
        <v>4610375</v>
      </c>
      <c r="G163" s="49">
        <f>VLOOKUP($A163,'Data shares'!$C:$FB,99)</f>
        <v>4575200</v>
      </c>
      <c r="H163" s="50">
        <f t="shared" si="7"/>
        <v>0.76881884944920442</v>
      </c>
      <c r="I163" s="49">
        <f>VLOOKUP($A163,'Data shares'!$C:$FB,66)</f>
        <v>1409450</v>
      </c>
      <c r="J163" s="49">
        <f>VLOOKUP($A163,'Data shares'!$C:$FB,67)</f>
        <v>1471400</v>
      </c>
      <c r="K163" s="50">
        <f t="shared" si="8"/>
        <v>-4.3953315122920289</v>
      </c>
      <c r="L163" s="50">
        <f>VLOOKUP($A163,'Data shares'!$C:$FB,118)</f>
        <v>0.59</v>
      </c>
      <c r="M163" s="50">
        <f>VLOOKUP($A163,'Data shares'!$C:$FB,119)</f>
        <v>0.63</v>
      </c>
      <c r="N163" s="50">
        <f>VLOOKUP($A163,'Data shares'!$C:$FB,121)*100</f>
        <v>-6.35</v>
      </c>
      <c r="O163" s="50">
        <f>VLOOKUP($A163,'Data shares'!$C:$FB,124)</f>
        <v>0.51</v>
      </c>
      <c r="P163" s="50">
        <f>VLOOKUP($A163,'Data shares'!$C:$FB,125)</f>
        <v>0.91</v>
      </c>
      <c r="Q163" s="50">
        <f>VLOOKUP($A163,'Data shares'!$C:$FB,127)*100</f>
        <v>-43.96</v>
      </c>
    </row>
    <row r="164" spans="1:17" x14ac:dyDescent="0.25">
      <c r="A164" s="97" t="str">
        <f>'Snapshot (Value)'!A168</f>
        <v>PNB</v>
      </c>
      <c r="B164" s="140">
        <f>VLOOKUP($A164,'Data shares'!$C:$FB,7)</f>
        <v>116.61</v>
      </c>
      <c r="C164" s="140">
        <f>VLOOKUP($A164,'Data shares'!$C:$FB,3)</f>
        <v>116.96</v>
      </c>
      <c r="D164" s="140">
        <f>VLOOKUP($A164,'Data shares'!$C:$FB,4)</f>
        <v>116.01</v>
      </c>
      <c r="E164" s="50">
        <f t="shared" si="6"/>
        <v>0.81889492285146859</v>
      </c>
      <c r="F164" s="49">
        <f>VLOOKUP($A164,'Data shares'!$C:$FB,98)</f>
        <v>478160000</v>
      </c>
      <c r="G164" s="49">
        <f>VLOOKUP($A164,'Data shares'!$C:$FB,99)</f>
        <v>481384000</v>
      </c>
      <c r="H164" s="50">
        <f t="shared" si="7"/>
        <v>-0.66973559569906771</v>
      </c>
      <c r="I164" s="49">
        <f>VLOOKUP($A164,'Data shares'!$C:$FB,66)</f>
        <v>171288000</v>
      </c>
      <c r="J164" s="49">
        <f>VLOOKUP($A164,'Data shares'!$C:$FB,67)</f>
        <v>141984000</v>
      </c>
      <c r="K164" s="50">
        <f t="shared" si="8"/>
        <v>17.108028583438418</v>
      </c>
      <c r="L164" s="50">
        <f>VLOOKUP($A164,'Data shares'!$C:$FB,118)</f>
        <v>0.69</v>
      </c>
      <c r="M164" s="50">
        <f>VLOOKUP($A164,'Data shares'!$C:$FB,119)</f>
        <v>0.65</v>
      </c>
      <c r="N164" s="50">
        <f>VLOOKUP($A164,'Data shares'!$C:$FB,121)*100</f>
        <v>6.15</v>
      </c>
      <c r="O164" s="50">
        <f>VLOOKUP($A164,'Data shares'!$C:$FB,124)</f>
        <v>0.62</v>
      </c>
      <c r="P164" s="50">
        <f>VLOOKUP($A164,'Data shares'!$C:$FB,125)</f>
        <v>0.69</v>
      </c>
      <c r="Q164" s="50">
        <f>VLOOKUP($A164,'Data shares'!$C:$FB,127)*100</f>
        <v>-10.14</v>
      </c>
    </row>
    <row r="165" spans="1:17" x14ac:dyDescent="0.25">
      <c r="A165" s="97" t="str">
        <f>'Snapshot (Value)'!A169</f>
        <v>PNBHOUSING</v>
      </c>
      <c r="B165" s="140">
        <f>VLOOKUP($A165,'Data shares'!$C:$FB,7)</f>
        <v>780.15</v>
      </c>
      <c r="C165" s="140">
        <f>VLOOKUP($A165,'Data shares'!$C:$FB,3)</f>
        <v>781.2</v>
      </c>
      <c r="D165" s="140">
        <f>VLOOKUP($A165,'Data shares'!$C:$FB,4)</f>
        <v>777.35</v>
      </c>
      <c r="E165" s="50">
        <f t="shared" si="6"/>
        <v>0.49527239981990384</v>
      </c>
      <c r="F165" s="49">
        <f>VLOOKUP($A165,'Data shares'!$C:$FB,98)</f>
        <v>18504850</v>
      </c>
      <c r="G165" s="49">
        <f>VLOOKUP($A165,'Data shares'!$C:$FB,99)</f>
        <v>18454800</v>
      </c>
      <c r="H165" s="50">
        <f t="shared" si="7"/>
        <v>0.27120315581854043</v>
      </c>
      <c r="I165" s="49">
        <f>VLOOKUP($A165,'Data shares'!$C:$FB,66)</f>
        <v>7753200</v>
      </c>
      <c r="J165" s="49">
        <f>VLOOKUP($A165,'Data shares'!$C:$FB,67)</f>
        <v>9530950</v>
      </c>
      <c r="K165" s="50">
        <f t="shared" si="8"/>
        <v>-22.929242119382963</v>
      </c>
      <c r="L165" s="50">
        <f>VLOOKUP($A165,'Data shares'!$C:$FB,118)</f>
        <v>0.85</v>
      </c>
      <c r="M165" s="50">
        <f>VLOOKUP($A165,'Data shares'!$C:$FB,119)</f>
        <v>0.84</v>
      </c>
      <c r="N165" s="50">
        <f>VLOOKUP($A165,'Data shares'!$C:$FB,121)*100</f>
        <v>1.1900000000000002</v>
      </c>
      <c r="O165" s="50">
        <f>VLOOKUP($A165,'Data shares'!$C:$FB,124)</f>
        <v>1.33</v>
      </c>
      <c r="P165" s="50">
        <f>VLOOKUP($A165,'Data shares'!$C:$FB,125)</f>
        <v>0.77</v>
      </c>
      <c r="Q165" s="50">
        <f>VLOOKUP($A165,'Data shares'!$C:$FB,127)*100</f>
        <v>72.72999999999999</v>
      </c>
    </row>
    <row r="166" spans="1:17" x14ac:dyDescent="0.25">
      <c r="A166" s="97" t="str">
        <f>'Snapshot (Value)'!A170</f>
        <v>POLICYBZR</v>
      </c>
      <c r="B166" s="140">
        <f>VLOOKUP($A166,'Data shares'!$C:$FB,7)</f>
        <v>1462.7</v>
      </c>
      <c r="C166" s="140">
        <f>VLOOKUP($A166,'Data shares'!$C:$FB,3)</f>
        <v>1463.9</v>
      </c>
      <c r="D166" s="140">
        <f>VLOOKUP($A166,'Data shares'!$C:$FB,4)</f>
        <v>1465.8</v>
      </c>
      <c r="E166" s="50">
        <f t="shared" si="6"/>
        <v>-0.12962204939281374</v>
      </c>
      <c r="F166" s="49">
        <f>VLOOKUP($A166,'Data shares'!$C:$FB,98)</f>
        <v>11849950</v>
      </c>
      <c r="G166" s="49">
        <f>VLOOKUP($A166,'Data shares'!$C:$FB,99)</f>
        <v>11818100</v>
      </c>
      <c r="H166" s="50">
        <f t="shared" si="7"/>
        <v>0.26950186578214774</v>
      </c>
      <c r="I166" s="49">
        <f>VLOOKUP($A166,'Data shares'!$C:$FB,66)</f>
        <v>2638650</v>
      </c>
      <c r="J166" s="49">
        <f>VLOOKUP($A166,'Data shares'!$C:$FB,67)</f>
        <v>4427150</v>
      </c>
      <c r="K166" s="50">
        <f t="shared" si="8"/>
        <v>-67.780872794800374</v>
      </c>
      <c r="L166" s="50">
        <f>VLOOKUP($A166,'Data shares'!$C:$FB,118)</f>
        <v>0.8</v>
      </c>
      <c r="M166" s="50">
        <f>VLOOKUP($A166,'Data shares'!$C:$FB,119)</f>
        <v>0.81</v>
      </c>
      <c r="N166" s="50">
        <f>VLOOKUP($A166,'Data shares'!$C:$FB,121)*100</f>
        <v>-1.23</v>
      </c>
      <c r="O166" s="50">
        <f>VLOOKUP($A166,'Data shares'!$C:$FB,124)</f>
        <v>1.02</v>
      </c>
      <c r="P166" s="50">
        <f>VLOOKUP($A166,'Data shares'!$C:$FB,125)</f>
        <v>0.6</v>
      </c>
      <c r="Q166" s="50">
        <f>VLOOKUP($A166,'Data shares'!$C:$FB,127)*100</f>
        <v>70</v>
      </c>
    </row>
    <row r="167" spans="1:17" x14ac:dyDescent="0.25">
      <c r="A167" s="97" t="str">
        <f>'Snapshot (Value)'!A171</f>
        <v>POLYCAB</v>
      </c>
      <c r="B167" s="140">
        <f>VLOOKUP($A167,'Data shares'!$C:$FB,7)</f>
        <v>7455</v>
      </c>
      <c r="C167" s="140">
        <f>VLOOKUP($A167,'Data shares'!$C:$FB,3)</f>
        <v>7458</v>
      </c>
      <c r="D167" s="140">
        <f>VLOOKUP($A167,'Data shares'!$C:$FB,4)</f>
        <v>7449.5</v>
      </c>
      <c r="E167" s="50">
        <f t="shared" si="6"/>
        <v>0.1141016175582254</v>
      </c>
      <c r="F167" s="49">
        <f>VLOOKUP($A167,'Data shares'!$C:$FB,98)</f>
        <v>5487250</v>
      </c>
      <c r="G167" s="49">
        <f>VLOOKUP($A167,'Data shares'!$C:$FB,99)</f>
        <v>5389375</v>
      </c>
      <c r="H167" s="50">
        <f t="shared" si="7"/>
        <v>1.8160732923576481</v>
      </c>
      <c r="I167" s="49">
        <f>VLOOKUP($A167,'Data shares'!$C:$FB,66)</f>
        <v>6195875</v>
      </c>
      <c r="J167" s="49">
        <f>VLOOKUP($A167,'Data shares'!$C:$FB,67)</f>
        <v>12379750</v>
      </c>
      <c r="K167" s="50">
        <f t="shared" si="8"/>
        <v>-99.806322755058801</v>
      </c>
      <c r="L167" s="50">
        <f>VLOOKUP($A167,'Data shares'!$C:$FB,118)</f>
        <v>0.75</v>
      </c>
      <c r="M167" s="50">
        <f>VLOOKUP($A167,'Data shares'!$C:$FB,119)</f>
        <v>0.73</v>
      </c>
      <c r="N167" s="50">
        <f>VLOOKUP($A167,'Data shares'!$C:$FB,121)*100</f>
        <v>2.74</v>
      </c>
      <c r="O167" s="50">
        <f>VLOOKUP($A167,'Data shares'!$C:$FB,124)</f>
        <v>0.66</v>
      </c>
      <c r="P167" s="50">
        <f>VLOOKUP($A167,'Data shares'!$C:$FB,125)</f>
        <v>1.1499999999999999</v>
      </c>
      <c r="Q167" s="50">
        <f>VLOOKUP($A167,'Data shares'!$C:$FB,127)*100</f>
        <v>-42.61</v>
      </c>
    </row>
    <row r="168" spans="1:17" x14ac:dyDescent="0.25">
      <c r="A168" s="97" t="str">
        <f>'Snapshot (Value)'!A172</f>
        <v>POWERGRID</v>
      </c>
      <c r="B168" s="140">
        <f>VLOOKUP($A168,'Data shares'!$C:$FB,7)</f>
        <v>303.60000000000002</v>
      </c>
      <c r="C168" s="140">
        <f>VLOOKUP($A168,'Data shares'!$C:$FB,3)</f>
        <v>304.60000000000002</v>
      </c>
      <c r="D168" s="140">
        <f>VLOOKUP($A168,'Data shares'!$C:$FB,4)</f>
        <v>299.2</v>
      </c>
      <c r="E168" s="50">
        <f t="shared" si="6"/>
        <v>1.8048128342246104</v>
      </c>
      <c r="F168" s="49">
        <f>VLOOKUP($A168,'Data shares'!$C:$FB,98)</f>
        <v>138491000</v>
      </c>
      <c r="G168" s="49">
        <f>VLOOKUP($A168,'Data shares'!$C:$FB,99)</f>
        <v>136634700</v>
      </c>
      <c r="H168" s="50">
        <f t="shared" si="7"/>
        <v>1.3585860692781555</v>
      </c>
      <c r="I168" s="49">
        <f>VLOOKUP($A168,'Data shares'!$C:$FB,66)</f>
        <v>100177500</v>
      </c>
      <c r="J168" s="49">
        <f>VLOOKUP($A168,'Data shares'!$C:$FB,67)</f>
        <v>60942500</v>
      </c>
      <c r="K168" s="50">
        <f t="shared" si="8"/>
        <v>39.165481270744429</v>
      </c>
      <c r="L168" s="50">
        <f>VLOOKUP($A168,'Data shares'!$C:$FB,118)</f>
        <v>0.45</v>
      </c>
      <c r="M168" s="50">
        <f>VLOOKUP($A168,'Data shares'!$C:$FB,119)</f>
        <v>0.43</v>
      </c>
      <c r="N168" s="50">
        <f>VLOOKUP($A168,'Data shares'!$C:$FB,121)*100</f>
        <v>4.6500000000000004</v>
      </c>
      <c r="O168" s="50">
        <f>VLOOKUP($A168,'Data shares'!$C:$FB,124)</f>
        <v>0.24</v>
      </c>
      <c r="P168" s="50">
        <f>VLOOKUP($A168,'Data shares'!$C:$FB,125)</f>
        <v>0.38</v>
      </c>
      <c r="Q168" s="50">
        <f>VLOOKUP($A168,'Data shares'!$C:$FB,127)*100</f>
        <v>-36.840000000000003</v>
      </c>
    </row>
    <row r="169" spans="1:17" x14ac:dyDescent="0.25">
      <c r="A169" s="97" t="str">
        <f>'Snapshot (Value)'!A173</f>
        <v>POWERINDIA</v>
      </c>
      <c r="B169" s="140">
        <f>VLOOKUP($A169,'Data shares'!$C:$FB,7)</f>
        <v>24880</v>
      </c>
      <c r="C169" s="140">
        <f>VLOOKUP($A169,'Data shares'!$C:$FB,3)</f>
        <v>24980</v>
      </c>
      <c r="D169" s="140">
        <f>VLOOKUP($A169,'Data shares'!$C:$FB,4)</f>
        <v>25005</v>
      </c>
      <c r="E169" s="50">
        <f t="shared" si="6"/>
        <v>-9.9980003999200165E-2</v>
      </c>
      <c r="F169" s="49">
        <f>VLOOKUP($A169,'Data shares'!$C:$FB,98)</f>
        <v>705350</v>
      </c>
      <c r="G169" s="49">
        <f>VLOOKUP($A169,'Data shares'!$C:$FB,99)</f>
        <v>679700</v>
      </c>
      <c r="H169" s="50">
        <f t="shared" si="7"/>
        <v>3.7737237016330734</v>
      </c>
      <c r="I169" s="49">
        <f>VLOOKUP($A169,'Data shares'!$C:$FB,66)</f>
        <v>547150</v>
      </c>
      <c r="J169" s="49">
        <f>VLOOKUP($A169,'Data shares'!$C:$FB,67)</f>
        <v>422850</v>
      </c>
      <c r="K169" s="50">
        <f t="shared" si="8"/>
        <v>22.717719089829114</v>
      </c>
      <c r="L169" s="50">
        <f>VLOOKUP($A169,'Data shares'!$C:$FB,118)</f>
        <v>0.81</v>
      </c>
      <c r="M169" s="50">
        <f>VLOOKUP($A169,'Data shares'!$C:$FB,119)</f>
        <v>0.83</v>
      </c>
      <c r="N169" s="50">
        <f>VLOOKUP($A169,'Data shares'!$C:$FB,121)*100</f>
        <v>-2.41</v>
      </c>
      <c r="O169" s="50">
        <f>VLOOKUP($A169,'Data shares'!$C:$FB,124)</f>
        <v>0.36</v>
      </c>
      <c r="P169" s="50">
        <f>VLOOKUP($A169,'Data shares'!$C:$FB,125)</f>
        <v>0.48</v>
      </c>
      <c r="Q169" s="50">
        <f>VLOOKUP($A169,'Data shares'!$C:$FB,127)*100</f>
        <v>-25</v>
      </c>
    </row>
    <row r="170" spans="1:17" x14ac:dyDescent="0.25">
      <c r="A170" s="97" t="str">
        <f>'Snapshot (Value)'!A174</f>
        <v>PPLPHARMA</v>
      </c>
      <c r="B170" s="140">
        <f>VLOOKUP($A170,'Data shares'!$C:$FB,7)</f>
        <v>145.54</v>
      </c>
      <c r="C170" s="140">
        <f>VLOOKUP($A170,'Data shares'!$C:$FB,3)</f>
        <v>146.11000000000001</v>
      </c>
      <c r="D170" s="140">
        <f>VLOOKUP($A170,'Data shares'!$C:$FB,4)</f>
        <v>155.91</v>
      </c>
      <c r="E170" s="50">
        <f t="shared" si="6"/>
        <v>-6.2856776345327328</v>
      </c>
      <c r="F170" s="49">
        <f>VLOOKUP($A170,'Data shares'!$C:$FB,98)</f>
        <v>32791500</v>
      </c>
      <c r="G170" s="49">
        <f>VLOOKUP($A170,'Data shares'!$C:$FB,99)</f>
        <v>29137500</v>
      </c>
      <c r="H170" s="50">
        <f t="shared" si="7"/>
        <v>12.54054054054054</v>
      </c>
      <c r="I170" s="49">
        <f>VLOOKUP($A170,'Data shares'!$C:$FB,66)</f>
        <v>34314000</v>
      </c>
      <c r="J170" s="49">
        <f>VLOOKUP($A170,'Data shares'!$C:$FB,67)</f>
        <v>16576875</v>
      </c>
      <c r="K170" s="50">
        <f t="shared" si="8"/>
        <v>51.690636474908203</v>
      </c>
      <c r="L170" s="50">
        <f>VLOOKUP($A170,'Data shares'!$C:$FB,118)</f>
        <v>0.56999999999999995</v>
      </c>
      <c r="M170" s="50">
        <f>VLOOKUP($A170,'Data shares'!$C:$FB,119)</f>
        <v>0.56999999999999995</v>
      </c>
      <c r="N170" s="50">
        <f>VLOOKUP($A170,'Data shares'!$C:$FB,121)*100</f>
        <v>0</v>
      </c>
      <c r="O170" s="50">
        <f>VLOOKUP($A170,'Data shares'!$C:$FB,124)</f>
        <v>1.06</v>
      </c>
      <c r="P170" s="50">
        <f>VLOOKUP($A170,'Data shares'!$C:$FB,125)</f>
        <v>0.2</v>
      </c>
      <c r="Q170" s="50">
        <f>VLOOKUP($A170,'Data shares'!$C:$FB,127)*100</f>
        <v>430</v>
      </c>
    </row>
    <row r="171" spans="1:17" x14ac:dyDescent="0.25">
      <c r="A171" s="97" t="str">
        <f>'Snapshot (Value)'!A175</f>
        <v>PREMIERENE</v>
      </c>
      <c r="B171" s="140">
        <f>VLOOKUP($A171,'Data shares'!$C:$FB,7)</f>
        <v>789.35</v>
      </c>
      <c r="C171" s="140">
        <f>VLOOKUP($A171,'Data shares'!$C:$FB,3)</f>
        <v>776.35</v>
      </c>
      <c r="D171" s="140">
        <f>VLOOKUP($A171,'Data shares'!$C:$FB,4)</f>
        <v>769.4</v>
      </c>
      <c r="E171" s="50">
        <f t="shared" si="6"/>
        <v>0.90330127371978752</v>
      </c>
      <c r="F171" s="49">
        <f>VLOOKUP($A171,'Data shares'!$C:$FB,98)</f>
        <v>14899400</v>
      </c>
      <c r="G171" s="49">
        <f>VLOOKUP($A171,'Data shares'!$C:$FB,99)</f>
        <v>14761975</v>
      </c>
      <c r="H171" s="50">
        <f t="shared" si="7"/>
        <v>0.93093911891870829</v>
      </c>
      <c r="I171" s="49">
        <f>VLOOKUP($A171,'Data shares'!$C:$FB,66)</f>
        <v>10044675</v>
      </c>
      <c r="J171" s="49">
        <f>VLOOKUP($A171,'Data shares'!$C:$FB,67)</f>
        <v>26747275</v>
      </c>
      <c r="K171" s="50">
        <f t="shared" si="8"/>
        <v>-166.28313011620585</v>
      </c>
      <c r="L171" s="50">
        <f>VLOOKUP($A171,'Data shares'!$C:$FB,118)</f>
        <v>0.84</v>
      </c>
      <c r="M171" s="50">
        <f>VLOOKUP($A171,'Data shares'!$C:$FB,119)</f>
        <v>0.83</v>
      </c>
      <c r="N171" s="50">
        <f>VLOOKUP($A171,'Data shares'!$C:$FB,121)*100</f>
        <v>1.2</v>
      </c>
      <c r="O171" s="50">
        <f>VLOOKUP($A171,'Data shares'!$C:$FB,124)</f>
        <v>0.45</v>
      </c>
      <c r="P171" s="50">
        <f>VLOOKUP($A171,'Data shares'!$C:$FB,125)</f>
        <v>0.43</v>
      </c>
      <c r="Q171" s="50">
        <f>VLOOKUP($A171,'Data shares'!$C:$FB,127)*100</f>
        <v>4.6500000000000004</v>
      </c>
    </row>
    <row r="172" spans="1:17" x14ac:dyDescent="0.25">
      <c r="A172" s="97" t="str">
        <f>'Snapshot (Value)'!A176</f>
        <v>PRESTIGE</v>
      </c>
      <c r="B172" s="140">
        <f>VLOOKUP($A172,'Data shares'!$C:$FB,7)</f>
        <v>1252.7</v>
      </c>
      <c r="C172" s="140">
        <f>VLOOKUP($A172,'Data shares'!$C:$FB,3)</f>
        <v>1256.4000000000001</v>
      </c>
      <c r="D172" s="140">
        <f>VLOOKUP($A172,'Data shares'!$C:$FB,4)</f>
        <v>1276</v>
      </c>
      <c r="E172" s="50">
        <f t="shared" si="6"/>
        <v>-1.5360501567398048</v>
      </c>
      <c r="F172" s="49">
        <f>VLOOKUP($A172,'Data shares'!$C:$FB,98)</f>
        <v>8294850</v>
      </c>
      <c r="G172" s="49">
        <f>VLOOKUP($A172,'Data shares'!$C:$FB,99)</f>
        <v>8223300</v>
      </c>
      <c r="H172" s="50">
        <f t="shared" si="7"/>
        <v>0.87008865054175344</v>
      </c>
      <c r="I172" s="49">
        <f>VLOOKUP($A172,'Data shares'!$C:$FB,66)</f>
        <v>3057750</v>
      </c>
      <c r="J172" s="49">
        <f>VLOOKUP($A172,'Data shares'!$C:$FB,67)</f>
        <v>2809350</v>
      </c>
      <c r="K172" s="50">
        <f t="shared" si="8"/>
        <v>8.1236203090507733</v>
      </c>
      <c r="L172" s="50">
        <f>VLOOKUP($A172,'Data shares'!$C:$FB,118)</f>
        <v>0.81</v>
      </c>
      <c r="M172" s="50">
        <f>VLOOKUP($A172,'Data shares'!$C:$FB,119)</f>
        <v>0.77</v>
      </c>
      <c r="N172" s="50">
        <f>VLOOKUP($A172,'Data shares'!$C:$FB,121)*100</f>
        <v>5.19</v>
      </c>
      <c r="O172" s="50">
        <f>VLOOKUP($A172,'Data shares'!$C:$FB,124)</f>
        <v>1.01</v>
      </c>
      <c r="P172" s="50">
        <f>VLOOKUP($A172,'Data shares'!$C:$FB,125)</f>
        <v>0.8</v>
      </c>
      <c r="Q172" s="50">
        <f>VLOOKUP($A172,'Data shares'!$C:$FB,127)*100</f>
        <v>26.25</v>
      </c>
    </row>
    <row r="173" spans="1:17" x14ac:dyDescent="0.25">
      <c r="A173" s="97" t="str">
        <f>'Snapshot (Value)'!A177</f>
        <v>RBLBANK</v>
      </c>
      <c r="B173" s="140">
        <f>VLOOKUP($A173,'Data shares'!$C:$FB,7)</f>
        <v>299.8</v>
      </c>
      <c r="C173" s="140">
        <f>VLOOKUP($A173,'Data shares'!$C:$FB,3)</f>
        <v>300.39999999999998</v>
      </c>
      <c r="D173" s="140">
        <f>VLOOKUP($A173,'Data shares'!$C:$FB,4)</f>
        <v>299.2</v>
      </c>
      <c r="E173" s="50">
        <f t="shared" ref="E173:E182" si="9">(C173-D173)/D173*100</f>
        <v>0.40106951871657376</v>
      </c>
      <c r="F173" s="49">
        <f>VLOOKUP($A173,'Data shares'!$C:$FB,98)</f>
        <v>122847100</v>
      </c>
      <c r="G173" s="49">
        <f>VLOOKUP($A173,'Data shares'!$C:$FB,99)</f>
        <v>119637175</v>
      </c>
      <c r="H173" s="50">
        <f t="shared" ref="H173:H182" si="10">(F173-G173)/G173*100</f>
        <v>2.6830498129030547</v>
      </c>
      <c r="I173" s="49">
        <f>VLOOKUP($A173,'Data shares'!$C:$FB,66)</f>
        <v>49726850</v>
      </c>
      <c r="J173" s="49">
        <f>VLOOKUP($A173,'Data shares'!$C:$FB,67)</f>
        <v>61394975</v>
      </c>
      <c r="K173" s="50">
        <f t="shared" ref="K173:K182" si="11">(I173-J173)/I173*100</f>
        <v>-23.464436215042777</v>
      </c>
      <c r="L173" s="50">
        <f>VLOOKUP($A173,'Data shares'!$C:$FB,118)</f>
        <v>1.17</v>
      </c>
      <c r="M173" s="50">
        <f>VLOOKUP($A173,'Data shares'!$C:$FB,119)</f>
        <v>1.1299999999999999</v>
      </c>
      <c r="N173" s="50">
        <f>VLOOKUP($A173,'Data shares'!$C:$FB,121)*100</f>
        <v>3.54</v>
      </c>
      <c r="O173" s="50">
        <f>VLOOKUP($A173,'Data shares'!$C:$FB,124)</f>
        <v>0.67</v>
      </c>
      <c r="P173" s="50">
        <f>VLOOKUP($A173,'Data shares'!$C:$FB,125)</f>
        <v>0.87</v>
      </c>
      <c r="Q173" s="50">
        <f>VLOOKUP($A173,'Data shares'!$C:$FB,127)*100</f>
        <v>-22.99</v>
      </c>
    </row>
    <row r="174" spans="1:17" x14ac:dyDescent="0.25">
      <c r="A174" s="97" t="str">
        <f>'Snapshot (Value)'!A178</f>
        <v>RECLTD</v>
      </c>
      <c r="B174" s="140">
        <f>VLOOKUP($A174,'Data shares'!$C:$FB,7)</f>
        <v>343.5</v>
      </c>
      <c r="C174" s="140">
        <f>VLOOKUP($A174,'Data shares'!$C:$FB,3)</f>
        <v>341.15</v>
      </c>
      <c r="D174" s="140">
        <f>VLOOKUP($A174,'Data shares'!$C:$FB,4)</f>
        <v>332.2</v>
      </c>
      <c r="E174" s="50">
        <f t="shared" si="9"/>
        <v>2.6941601444912666</v>
      </c>
      <c r="F174" s="49">
        <f>VLOOKUP($A174,'Data shares'!$C:$FB,98)</f>
        <v>138125400</v>
      </c>
      <c r="G174" s="49">
        <f>VLOOKUP($A174,'Data shares'!$C:$FB,99)</f>
        <v>136801000</v>
      </c>
      <c r="H174" s="50">
        <f t="shared" si="10"/>
        <v>0.96812157805863996</v>
      </c>
      <c r="I174" s="49">
        <f>VLOOKUP($A174,'Data shares'!$C:$FB,66)</f>
        <v>83378400</v>
      </c>
      <c r="J174" s="49">
        <f>VLOOKUP($A174,'Data shares'!$C:$FB,67)</f>
        <v>35476000</v>
      </c>
      <c r="K174" s="50">
        <f t="shared" si="11"/>
        <v>57.451810061118948</v>
      </c>
      <c r="L174" s="50">
        <f>VLOOKUP($A174,'Data shares'!$C:$FB,118)</f>
        <v>1.02</v>
      </c>
      <c r="M174" s="50">
        <f>VLOOKUP($A174,'Data shares'!$C:$FB,119)</f>
        <v>1.01</v>
      </c>
      <c r="N174" s="50">
        <f>VLOOKUP($A174,'Data shares'!$C:$FB,121)*100</f>
        <v>0.9900000000000001</v>
      </c>
      <c r="O174" s="50">
        <f>VLOOKUP($A174,'Data shares'!$C:$FB,124)</f>
        <v>0.43</v>
      </c>
      <c r="P174" s="50">
        <f>VLOOKUP($A174,'Data shares'!$C:$FB,125)</f>
        <v>0.51</v>
      </c>
      <c r="Q174" s="50">
        <f>VLOOKUP($A174,'Data shares'!$C:$FB,127)*100</f>
        <v>-15.690000000000001</v>
      </c>
    </row>
    <row r="175" spans="1:17" x14ac:dyDescent="0.25">
      <c r="A175" s="97" t="str">
        <f>'Snapshot (Value)'!A179</f>
        <v>RELIANCE</v>
      </c>
      <c r="B175" s="140">
        <f>VLOOKUP($A175,'Data shares'!$C:$FB,7)</f>
        <v>1392.2</v>
      </c>
      <c r="C175" s="140">
        <f>VLOOKUP($A175,'Data shares'!$C:$FB,3)</f>
        <v>1397</v>
      </c>
      <c r="D175" s="140">
        <f>VLOOKUP($A175,'Data shares'!$C:$FB,4)</f>
        <v>1391.2</v>
      </c>
      <c r="E175" s="50">
        <f t="shared" si="9"/>
        <v>0.4169062679700945</v>
      </c>
      <c r="F175" s="49">
        <f>VLOOKUP($A175,'Data shares'!$C:$FB,98)</f>
        <v>226001000</v>
      </c>
      <c r="G175" s="49">
        <f>VLOOKUP($A175,'Data shares'!$C:$FB,99)</f>
        <v>219268500</v>
      </c>
      <c r="H175" s="50">
        <f t="shared" si="10"/>
        <v>3.0704364740033339</v>
      </c>
      <c r="I175" s="49">
        <f>VLOOKUP($A175,'Data shares'!$C:$FB,66)</f>
        <v>235048500</v>
      </c>
      <c r="J175" s="49">
        <f>VLOOKUP($A175,'Data shares'!$C:$FB,67)</f>
        <v>328499500</v>
      </c>
      <c r="K175" s="50">
        <f t="shared" si="11"/>
        <v>-39.758177567608385</v>
      </c>
      <c r="L175" s="50">
        <f>VLOOKUP($A175,'Data shares'!$C:$FB,118)</f>
        <v>0.42</v>
      </c>
      <c r="M175" s="50">
        <f>VLOOKUP($A175,'Data shares'!$C:$FB,119)</f>
        <v>0.41</v>
      </c>
      <c r="N175" s="50">
        <f>VLOOKUP($A175,'Data shares'!$C:$FB,121)*100</f>
        <v>2.44</v>
      </c>
      <c r="O175" s="50">
        <f>VLOOKUP($A175,'Data shares'!$C:$FB,124)</f>
        <v>0.49</v>
      </c>
      <c r="P175" s="50">
        <f>VLOOKUP($A175,'Data shares'!$C:$FB,125)</f>
        <v>0.41</v>
      </c>
      <c r="Q175" s="50">
        <f>VLOOKUP($A175,'Data shares'!$C:$FB,127)*100</f>
        <v>19.509999999999998</v>
      </c>
    </row>
    <row r="176" spans="1:17" x14ac:dyDescent="0.25">
      <c r="A176" s="97" t="str">
        <f>'Snapshot (Value)'!A180</f>
        <v>RVNL</v>
      </c>
      <c r="B176" s="140">
        <f>VLOOKUP($A176,'Data shares'!$C:$FB,7)</f>
        <v>279.60000000000002</v>
      </c>
      <c r="C176" s="140">
        <f>VLOOKUP($A176,'Data shares'!$C:$FB,3)</f>
        <v>278.7</v>
      </c>
      <c r="D176" s="140">
        <f>VLOOKUP($A176,'Data shares'!$C:$FB,4)</f>
        <v>274.14999999999998</v>
      </c>
      <c r="E176" s="50">
        <f t="shared" si="9"/>
        <v>1.659675360204272</v>
      </c>
      <c r="F176" s="49">
        <f>VLOOKUP($A176,'Data shares'!$C:$FB,98)</f>
        <v>111860275</v>
      </c>
      <c r="G176" s="49">
        <f>VLOOKUP($A176,'Data shares'!$C:$FB,99)</f>
        <v>112683775</v>
      </c>
      <c r="H176" s="50">
        <f t="shared" si="10"/>
        <v>-0.73080618749238746</v>
      </c>
      <c r="I176" s="49">
        <f>VLOOKUP($A176,'Data shares'!$C:$FB,66)</f>
        <v>43296275</v>
      </c>
      <c r="J176" s="49">
        <f>VLOOKUP($A176,'Data shares'!$C:$FB,67)</f>
        <v>32182075</v>
      </c>
      <c r="K176" s="50">
        <f t="shared" si="11"/>
        <v>25.670106723961815</v>
      </c>
      <c r="L176" s="50">
        <f>VLOOKUP($A176,'Data shares'!$C:$FB,118)</f>
        <v>0.51</v>
      </c>
      <c r="M176" s="50">
        <f>VLOOKUP($A176,'Data shares'!$C:$FB,119)</f>
        <v>0.52</v>
      </c>
      <c r="N176" s="50">
        <f>VLOOKUP($A176,'Data shares'!$C:$FB,121)*100</f>
        <v>-1.92</v>
      </c>
      <c r="O176" s="50">
        <f>VLOOKUP($A176,'Data shares'!$C:$FB,124)</f>
        <v>0.39</v>
      </c>
      <c r="P176" s="50">
        <f>VLOOKUP($A176,'Data shares'!$C:$FB,125)</f>
        <v>0.36</v>
      </c>
      <c r="Q176" s="50">
        <f>VLOOKUP($A176,'Data shares'!$C:$FB,127)*100</f>
        <v>8.33</v>
      </c>
    </row>
    <row r="177" spans="1:17" x14ac:dyDescent="0.25">
      <c r="A177" s="97" t="str">
        <f>'Snapshot (Value)'!A181</f>
        <v>SAIL</v>
      </c>
      <c r="B177" s="140">
        <f>VLOOKUP($A177,'Data shares'!$C:$FB,7)</f>
        <v>153.65</v>
      </c>
      <c r="C177" s="140">
        <f>VLOOKUP($A177,'Data shares'!$C:$FB,3)</f>
        <v>153.85</v>
      </c>
      <c r="D177" s="140">
        <f>VLOOKUP($A177,'Data shares'!$C:$FB,4)</f>
        <v>155.05000000000001</v>
      </c>
      <c r="E177" s="50">
        <f t="shared" si="9"/>
        <v>-0.77394388906805345</v>
      </c>
      <c r="F177" s="49">
        <f>VLOOKUP($A177,'Data shares'!$C:$FB,98)</f>
        <v>244447000</v>
      </c>
      <c r="G177" s="49">
        <f>VLOOKUP($A177,'Data shares'!$C:$FB,99)</f>
        <v>245344700</v>
      </c>
      <c r="H177" s="50">
        <f t="shared" si="10"/>
        <v>-0.36589337369015917</v>
      </c>
      <c r="I177" s="49">
        <f>VLOOKUP($A177,'Data shares'!$C:$FB,66)</f>
        <v>2049200</v>
      </c>
      <c r="J177" s="49">
        <f>VLOOKUP($A177,'Data shares'!$C:$FB,67)</f>
        <v>2378200</v>
      </c>
      <c r="K177" s="50">
        <f t="shared" si="11"/>
        <v>-16.055045871559635</v>
      </c>
      <c r="L177" s="50">
        <f>VLOOKUP($A177,'Data shares'!$C:$FB,118)</f>
        <v>0.67</v>
      </c>
      <c r="M177" s="50">
        <f>VLOOKUP($A177,'Data shares'!$C:$FB,119)</f>
        <v>0.67</v>
      </c>
      <c r="N177" s="50">
        <f>VLOOKUP($A177,'Data shares'!$C:$FB,121)*100</f>
        <v>0</v>
      </c>
      <c r="O177" s="50">
        <f>VLOOKUP($A177,'Data shares'!$C:$FB,124)</f>
        <v>1.53</v>
      </c>
      <c r="P177" s="50">
        <f>VLOOKUP($A177,'Data shares'!$C:$FB,125)</f>
        <v>0.53</v>
      </c>
      <c r="Q177" s="50">
        <f>VLOOKUP($A177,'Data shares'!$C:$FB,127)*100</f>
        <v>188.68</v>
      </c>
    </row>
    <row r="178" spans="1:17" x14ac:dyDescent="0.25">
      <c r="A178" s="97" t="str">
        <f>'Snapshot (Value)'!A182</f>
        <v>SAMMAANCAP</v>
      </c>
      <c r="B178" s="140">
        <f>VLOOKUP($A178,'Data shares'!$C:$FB,7)</f>
        <v>142.41999999999999</v>
      </c>
      <c r="C178" s="140">
        <f>VLOOKUP($A178,'Data shares'!$C:$FB,3)</f>
        <v>143.08000000000001</v>
      </c>
      <c r="D178" s="140">
        <f>VLOOKUP($A178,'Data shares'!$C:$FB,4)</f>
        <v>146.03</v>
      </c>
      <c r="E178" s="50">
        <f t="shared" si="9"/>
        <v>-2.0201328494144963</v>
      </c>
      <c r="F178" s="49">
        <f>VLOOKUP($A178,'Data shares'!$C:$FB,98)</f>
        <v>143499600</v>
      </c>
      <c r="G178" s="49">
        <f>VLOOKUP($A178,'Data shares'!$C:$FB,99)</f>
        <v>143933900</v>
      </c>
      <c r="H178" s="50">
        <f t="shared" si="10"/>
        <v>-0.30173572730260212</v>
      </c>
      <c r="I178" s="49">
        <f>VLOOKUP($A178,'Data shares'!$C:$FB,66)</f>
        <v>804100</v>
      </c>
      <c r="J178" s="49">
        <f>VLOOKUP($A178,'Data shares'!$C:$FB,67)</f>
        <v>537500</v>
      </c>
      <c r="K178" s="50">
        <f t="shared" si="11"/>
        <v>33.155080213903744</v>
      </c>
      <c r="L178" s="50">
        <f>VLOOKUP($A178,'Data shares'!$C:$FB,118)</f>
        <v>0.44</v>
      </c>
      <c r="M178" s="50">
        <f>VLOOKUP($A178,'Data shares'!$C:$FB,119)</f>
        <v>0.44</v>
      </c>
      <c r="N178" s="50">
        <f>VLOOKUP($A178,'Data shares'!$C:$FB,121)*100</f>
        <v>0</v>
      </c>
      <c r="O178" s="50">
        <f>VLOOKUP($A178,'Data shares'!$C:$FB,124)</f>
        <v>0.08</v>
      </c>
      <c r="P178" s="50">
        <f>VLOOKUP($A178,'Data shares'!$C:$FB,125)</f>
        <v>0.6</v>
      </c>
      <c r="Q178" s="50">
        <f>VLOOKUP($A178,'Data shares'!$C:$FB,127)*100</f>
        <v>-86.67</v>
      </c>
    </row>
    <row r="179" spans="1:17" x14ac:dyDescent="0.25">
      <c r="A179" s="97" t="str">
        <f>'Snapshot (Value)'!A183</f>
        <v>SBICARD</v>
      </c>
      <c r="B179" s="140">
        <f>VLOOKUP($A179,'Data shares'!$C:$FB,7)</f>
        <v>710.25</v>
      </c>
      <c r="C179" s="140">
        <f>VLOOKUP($A179,'Data shares'!$C:$FB,3)</f>
        <v>685.7</v>
      </c>
      <c r="D179" s="140">
        <f>VLOOKUP($A179,'Data shares'!$C:$FB,4)</f>
        <v>693.2</v>
      </c>
      <c r="E179" s="50">
        <f t="shared" si="9"/>
        <v>-1.0819388343912291</v>
      </c>
      <c r="F179" s="49">
        <f>VLOOKUP($A179,'Data shares'!$C:$FB,98)</f>
        <v>39677600</v>
      </c>
      <c r="G179" s="49">
        <f>VLOOKUP($A179,'Data shares'!$C:$FB,99)</f>
        <v>38785600</v>
      </c>
      <c r="H179" s="50">
        <f t="shared" si="10"/>
        <v>2.2998226145786065</v>
      </c>
      <c r="I179" s="49">
        <f>VLOOKUP($A179,'Data shares'!$C:$FB,66)</f>
        <v>8013600</v>
      </c>
      <c r="J179" s="49">
        <f>VLOOKUP($A179,'Data shares'!$C:$FB,67)</f>
        <v>8737600</v>
      </c>
      <c r="K179" s="50">
        <f t="shared" si="11"/>
        <v>-9.0346411101128083</v>
      </c>
      <c r="L179" s="50">
        <f>VLOOKUP($A179,'Data shares'!$C:$FB,118)</f>
        <v>0.6</v>
      </c>
      <c r="M179" s="50">
        <f>VLOOKUP($A179,'Data shares'!$C:$FB,119)</f>
        <v>0.6</v>
      </c>
      <c r="N179" s="50">
        <f>VLOOKUP($A179,'Data shares'!$C:$FB,121)*100</f>
        <v>0</v>
      </c>
      <c r="O179" s="50">
        <f>VLOOKUP($A179,'Data shares'!$C:$FB,124)</f>
        <v>0.46</v>
      </c>
      <c r="P179" s="50">
        <f>VLOOKUP($A179,'Data shares'!$C:$FB,125)</f>
        <v>0.48</v>
      </c>
      <c r="Q179" s="50">
        <f>VLOOKUP($A179,'Data shares'!$C:$FB,127)*100</f>
        <v>-4.17</v>
      </c>
    </row>
    <row r="180" spans="1:17" x14ac:dyDescent="0.25">
      <c r="A180" s="97" t="str">
        <f>'Snapshot (Value)'!A184</f>
        <v>SBILIFE</v>
      </c>
      <c r="B180" s="140">
        <f>VLOOKUP($A180,'Data shares'!$C:$FB,7)</f>
        <v>1939.4</v>
      </c>
      <c r="C180" s="140">
        <f>VLOOKUP($A180,'Data shares'!$C:$FB,3)</f>
        <v>1941.9</v>
      </c>
      <c r="D180" s="140">
        <f>VLOOKUP($A180,'Data shares'!$C:$FB,4)</f>
        <v>1939.8</v>
      </c>
      <c r="E180" s="50">
        <f t="shared" si="9"/>
        <v>0.10825858335911623</v>
      </c>
      <c r="F180" s="49">
        <f>VLOOKUP($A180,'Data shares'!$C:$FB,98)</f>
        <v>14521875</v>
      </c>
      <c r="G180" s="49">
        <f>VLOOKUP($A180,'Data shares'!$C:$FB,99)</f>
        <v>14495250</v>
      </c>
      <c r="H180" s="50">
        <f t="shared" si="10"/>
        <v>0.18368086097169761</v>
      </c>
      <c r="I180" s="49">
        <f>VLOOKUP($A180,'Data shares'!$C:$FB,66)</f>
        <v>3582750</v>
      </c>
      <c r="J180" s="49">
        <f>VLOOKUP($A180,'Data shares'!$C:$FB,67)</f>
        <v>5625000</v>
      </c>
      <c r="K180" s="50">
        <f t="shared" si="11"/>
        <v>-57.002302700439614</v>
      </c>
      <c r="L180" s="50">
        <f>VLOOKUP($A180,'Data shares'!$C:$FB,118)</f>
        <v>0.45</v>
      </c>
      <c r="M180" s="50">
        <f>VLOOKUP($A180,'Data shares'!$C:$FB,119)</f>
        <v>0.46</v>
      </c>
      <c r="N180" s="50">
        <f>VLOOKUP($A180,'Data shares'!$C:$FB,121)*100</f>
        <v>-2.17</v>
      </c>
      <c r="O180" s="50">
        <f>VLOOKUP($A180,'Data shares'!$C:$FB,124)</f>
        <v>0.49</v>
      </c>
      <c r="P180" s="50">
        <f>VLOOKUP($A180,'Data shares'!$C:$FB,125)</f>
        <v>0.57999999999999996</v>
      </c>
      <c r="Q180" s="50">
        <f>VLOOKUP($A180,'Data shares'!$C:$FB,127)*100</f>
        <v>-15.52</v>
      </c>
    </row>
    <row r="181" spans="1:17" x14ac:dyDescent="0.25">
      <c r="A181" s="97" t="str">
        <f>'Snapshot (Value)'!A185</f>
        <v>SBIN</v>
      </c>
      <c r="B181" s="140">
        <f>VLOOKUP($A181,'Data shares'!$C:$FB,7)</f>
        <v>1085.2</v>
      </c>
      <c r="C181" s="140">
        <f>VLOOKUP($A181,'Data shares'!$C:$FB,3)</f>
        <v>1088.9000000000001</v>
      </c>
      <c r="D181" s="140">
        <f>VLOOKUP($A181,'Data shares'!$C:$FB,4)</f>
        <v>1093.2</v>
      </c>
      <c r="E181" s="50">
        <f t="shared" si="9"/>
        <v>-0.39334065129893475</v>
      </c>
      <c r="F181" s="49">
        <f>VLOOKUP($A181,'Data shares'!$C:$FB,98)</f>
        <v>166989000</v>
      </c>
      <c r="G181" s="49">
        <f>VLOOKUP($A181,'Data shares'!$C:$FB,99)</f>
        <v>160667250</v>
      </c>
      <c r="H181" s="50">
        <f t="shared" si="10"/>
        <v>3.9346848844428468</v>
      </c>
      <c r="I181" s="49">
        <f>VLOOKUP($A181,'Data shares'!$C:$FB,66)</f>
        <v>141850500</v>
      </c>
      <c r="J181" s="49">
        <f>VLOOKUP($A181,'Data shares'!$C:$FB,67)</f>
        <v>116461500</v>
      </c>
      <c r="K181" s="50">
        <f t="shared" si="11"/>
        <v>17.898421225163112</v>
      </c>
      <c r="L181" s="50">
        <f>VLOOKUP($A181,'Data shares'!$C:$FB,118)</f>
        <v>0.62</v>
      </c>
      <c r="M181" s="50">
        <f>VLOOKUP($A181,'Data shares'!$C:$FB,119)</f>
        <v>0.67</v>
      </c>
      <c r="N181" s="50">
        <f>VLOOKUP($A181,'Data shares'!$C:$FB,121)*100</f>
        <v>-7.46</v>
      </c>
      <c r="O181" s="50">
        <f>VLOOKUP($A181,'Data shares'!$C:$FB,124)</f>
        <v>0.69</v>
      </c>
      <c r="P181" s="50">
        <f>VLOOKUP($A181,'Data shares'!$C:$FB,125)</f>
        <v>0.86</v>
      </c>
      <c r="Q181" s="50">
        <f>VLOOKUP($A181,'Data shares'!$C:$FB,127)*100</f>
        <v>-19.77</v>
      </c>
    </row>
    <row r="182" spans="1:17" x14ac:dyDescent="0.25">
      <c r="A182" s="97" t="str">
        <f>'Snapshot (Value)'!A186</f>
        <v>SHREECEM</v>
      </c>
      <c r="B182" s="140">
        <f>VLOOKUP($A182,'Data shares'!$C:$FB,7)</f>
        <v>23500</v>
      </c>
      <c r="C182" s="140">
        <f>VLOOKUP($A182,'Data shares'!$C:$FB,3)</f>
        <v>23515</v>
      </c>
      <c r="D182" s="140">
        <f>VLOOKUP($A182,'Data shares'!$C:$FB,4)</f>
        <v>23660</v>
      </c>
      <c r="E182" s="50">
        <f t="shared" si="9"/>
        <v>-0.61284868977176665</v>
      </c>
      <c r="F182" s="49">
        <f>VLOOKUP($A182,'Data shares'!$C:$FB,98)</f>
        <v>559200</v>
      </c>
      <c r="G182" s="49">
        <f>VLOOKUP($A182,'Data shares'!$C:$FB,99)</f>
        <v>552375</v>
      </c>
      <c r="H182" s="50">
        <f t="shared" si="10"/>
        <v>1.2355736591989137</v>
      </c>
      <c r="I182" s="49">
        <f>VLOOKUP($A182,'Data shares'!$C:$FB,66)</f>
        <v>106750</v>
      </c>
      <c r="J182" s="49">
        <f>VLOOKUP($A182,'Data shares'!$C:$FB,67)</f>
        <v>131575</v>
      </c>
      <c r="K182" s="50">
        <f t="shared" si="11"/>
        <v>-23.255269320843091</v>
      </c>
      <c r="L182" s="50">
        <f>VLOOKUP($A182,'Data shares'!$C:$FB,118)</f>
        <v>0.71</v>
      </c>
      <c r="M182" s="50">
        <f>VLOOKUP($A182,'Data shares'!$C:$FB,119)</f>
        <v>0.67</v>
      </c>
      <c r="N182" s="50">
        <f>VLOOKUP($A182,'Data shares'!$C:$FB,121)*100</f>
        <v>5.9700000000000006</v>
      </c>
      <c r="O182" s="50">
        <f>VLOOKUP($A182,'Data shares'!$C:$FB,124)</f>
        <v>0.77</v>
      </c>
      <c r="P182" s="50">
        <f>VLOOKUP($A182,'Data shares'!$C:$FB,125)</f>
        <v>1.1599999999999999</v>
      </c>
      <c r="Q182" s="50">
        <f>VLOOKUP($A182,'Data shares'!$C:$FB,127)*100</f>
        <v>-33.619999999999997</v>
      </c>
    </row>
    <row r="183" spans="1:17" x14ac:dyDescent="0.25">
      <c r="A183" s="97" t="str">
        <f>'Snapshot (Value)'!A187</f>
        <v>SHRIRAMFIN</v>
      </c>
      <c r="B183" s="140">
        <f>VLOOKUP($A183,'Data shares'!$C:$FB,7)</f>
        <v>1031.7</v>
      </c>
      <c r="C183" s="140">
        <f>VLOOKUP($A183,'Data shares'!$C:$FB,3)</f>
        <v>1035.5</v>
      </c>
      <c r="D183" s="140">
        <f>VLOOKUP($A183,'Data shares'!$C:$FB,4)</f>
        <v>1035.9000000000001</v>
      </c>
      <c r="E183" s="50">
        <f>(C183-D183)/D183*100</f>
        <v>-3.8613765807519157E-2</v>
      </c>
      <c r="F183" s="49">
        <f>VLOOKUP($A183,'Data shares'!$C:$FB,98)</f>
        <v>63414450</v>
      </c>
      <c r="G183" s="49">
        <f>VLOOKUP($A183,'Data shares'!$C:$FB,99)</f>
        <v>61956675</v>
      </c>
      <c r="H183" s="50">
        <f>(F183-G183)/G183*100</f>
        <v>2.3528941796828189</v>
      </c>
      <c r="I183" s="49">
        <f>VLOOKUP($A183,'Data shares'!$C:$FB,66)</f>
        <v>42597225</v>
      </c>
      <c r="J183" s="49">
        <f>VLOOKUP($A183,'Data shares'!$C:$FB,67)</f>
        <v>52531875</v>
      </c>
      <c r="K183" s="50">
        <f>(I183-J183)/I183*100</f>
        <v>-23.322293881819768</v>
      </c>
      <c r="L183" s="50">
        <f>VLOOKUP($A183,'Data shares'!$C:$FB,118)</f>
        <v>0.86</v>
      </c>
      <c r="M183" s="50">
        <f>VLOOKUP($A183,'Data shares'!$C:$FB,119)</f>
        <v>0.85</v>
      </c>
      <c r="N183" s="50">
        <f>VLOOKUP($A183,'Data shares'!$C:$FB,121)*100</f>
        <v>1.18</v>
      </c>
      <c r="O183" s="50">
        <f>VLOOKUP($A183,'Data shares'!$C:$FB,124)</f>
        <v>0.68</v>
      </c>
      <c r="P183" s="50">
        <f>VLOOKUP($A183,'Data shares'!$C:$FB,125)</f>
        <v>0.8</v>
      </c>
      <c r="Q183" s="50">
        <f>VLOOKUP($A183,'Data shares'!$C:$FB,127)*100</f>
        <v>-15</v>
      </c>
    </row>
    <row r="184" spans="1:17" x14ac:dyDescent="0.25">
      <c r="A184" s="97" t="str">
        <f>'Snapshot (Value)'!A188</f>
        <v>SIEMENS</v>
      </c>
      <c r="B184" s="140">
        <f>VLOOKUP($A184,'Data shares'!$C:$FB,7)</f>
        <v>3324.7</v>
      </c>
      <c r="C184" s="140">
        <f>VLOOKUP($A184,'Data shares'!$C:$FB,3)</f>
        <v>3319.3</v>
      </c>
      <c r="D184" s="140">
        <f>VLOOKUP($A184,'Data shares'!$C:$FB,4)</f>
        <v>3271.1</v>
      </c>
      <c r="E184" s="50">
        <f t="shared" ref="E184:E188" si="12">(C184-D184)/D184*100</f>
        <v>1.4735104399131873</v>
      </c>
      <c r="F184" s="49">
        <f>VLOOKUP($A184,'Data shares'!$C:$FB,98)</f>
        <v>4891600</v>
      </c>
      <c r="G184" s="49">
        <f>VLOOKUP($A184,'Data shares'!$C:$FB,99)</f>
        <v>4855025</v>
      </c>
      <c r="H184" s="50">
        <f t="shared" ref="H184:H188" si="13">(F184-G184)/G184*100</f>
        <v>0.75334318566845693</v>
      </c>
      <c r="I184" s="49">
        <f>VLOOKUP($A184,'Data shares'!$C:$FB,66)</f>
        <v>5187175</v>
      </c>
      <c r="J184" s="49">
        <f>VLOOKUP($A184,'Data shares'!$C:$FB,67)</f>
        <v>4311650</v>
      </c>
      <c r="K184" s="50">
        <f t="shared" ref="K184:K188" si="14">(I184-J184)/I184*100</f>
        <v>16.878647818899498</v>
      </c>
      <c r="L184" s="50">
        <f>VLOOKUP($A184,'Data shares'!$C:$FB,118)</f>
        <v>0.51</v>
      </c>
      <c r="M184" s="50">
        <f>VLOOKUP($A184,'Data shares'!$C:$FB,119)</f>
        <v>0.55000000000000004</v>
      </c>
      <c r="N184" s="50">
        <f>VLOOKUP($A184,'Data shares'!$C:$FB,121)*100</f>
        <v>-7.2700000000000005</v>
      </c>
      <c r="O184" s="50">
        <f>VLOOKUP($A184,'Data shares'!$C:$FB,124)</f>
        <v>0.32</v>
      </c>
      <c r="P184" s="50">
        <f>VLOOKUP($A184,'Data shares'!$C:$FB,125)</f>
        <v>0.4</v>
      </c>
      <c r="Q184" s="50">
        <f>VLOOKUP($A184,'Data shares'!$C:$FB,127)*100</f>
        <v>-20</v>
      </c>
    </row>
    <row r="185" spans="1:17" x14ac:dyDescent="0.25">
      <c r="A185" s="97" t="str">
        <f>'Snapshot (Value)'!A189</f>
        <v>SOLARINDS</v>
      </c>
      <c r="B185" s="140">
        <f>VLOOKUP($A185,'Data shares'!$C:$FB,7)</f>
        <v>14525</v>
      </c>
      <c r="C185" s="140">
        <f>VLOOKUP($A185,'Data shares'!$C:$FB,3)</f>
        <v>14547</v>
      </c>
      <c r="D185" s="140">
        <f>VLOOKUP($A185,'Data shares'!$C:$FB,4)</f>
        <v>14563</v>
      </c>
      <c r="E185" s="50">
        <f t="shared" si="12"/>
        <v>-0.10986747236146398</v>
      </c>
      <c r="F185" s="49">
        <f>VLOOKUP($A185,'Data shares'!$C:$FB,98)</f>
        <v>1386650</v>
      </c>
      <c r="G185" s="49">
        <f>VLOOKUP($A185,'Data shares'!$C:$FB,99)</f>
        <v>1397300</v>
      </c>
      <c r="H185" s="50">
        <f t="shared" si="13"/>
        <v>-0.76218421240964718</v>
      </c>
      <c r="I185" s="49">
        <f>VLOOKUP($A185,'Data shares'!$C:$FB,66)</f>
        <v>683750</v>
      </c>
      <c r="J185" s="49">
        <f>VLOOKUP($A185,'Data shares'!$C:$FB,67)</f>
        <v>1020950</v>
      </c>
      <c r="K185" s="50">
        <f t="shared" si="14"/>
        <v>-49.316270566727603</v>
      </c>
      <c r="L185" s="50">
        <f>VLOOKUP($A185,'Data shares'!$C:$FB,118)</f>
        <v>0.73</v>
      </c>
      <c r="M185" s="50">
        <f>VLOOKUP($A185,'Data shares'!$C:$FB,119)</f>
        <v>0.7</v>
      </c>
      <c r="N185" s="50">
        <f>VLOOKUP($A185,'Data shares'!$C:$FB,121)*100</f>
        <v>4.29</v>
      </c>
      <c r="O185" s="50">
        <f>VLOOKUP($A185,'Data shares'!$C:$FB,124)</f>
        <v>0.42</v>
      </c>
      <c r="P185" s="50">
        <f>VLOOKUP($A185,'Data shares'!$C:$FB,125)</f>
        <v>0.86</v>
      </c>
      <c r="Q185" s="50">
        <f>VLOOKUP($A185,'Data shares'!$C:$FB,127)*100</f>
        <v>-51.160000000000004</v>
      </c>
    </row>
    <row r="186" spans="1:17" x14ac:dyDescent="0.25">
      <c r="A186" s="97" t="str">
        <f>'Snapshot (Value)'!A190</f>
        <v>SONACOMS</v>
      </c>
      <c r="B186" s="140">
        <f>VLOOKUP($A186,'Data shares'!$C:$FB,7)</f>
        <v>510.3</v>
      </c>
      <c r="C186" s="140">
        <f>VLOOKUP($A186,'Data shares'!$C:$FB,3)</f>
        <v>511.35</v>
      </c>
      <c r="D186" s="140">
        <f>VLOOKUP($A186,'Data shares'!$C:$FB,4)</f>
        <v>517.4</v>
      </c>
      <c r="E186" s="50">
        <f t="shared" si="12"/>
        <v>-1.1693080788558088</v>
      </c>
      <c r="F186" s="49">
        <f>VLOOKUP($A186,'Data shares'!$C:$FB,98)</f>
        <v>20885025</v>
      </c>
      <c r="G186" s="49">
        <f>VLOOKUP($A186,'Data shares'!$C:$FB,99)</f>
        <v>20809075</v>
      </c>
      <c r="H186" s="50">
        <f t="shared" si="13"/>
        <v>0.36498498852063344</v>
      </c>
      <c r="I186" s="49">
        <f>VLOOKUP($A186,'Data shares'!$C:$FB,66)</f>
        <v>8100925</v>
      </c>
      <c r="J186" s="49">
        <f>VLOOKUP($A186,'Data shares'!$C:$FB,67)</f>
        <v>32872875</v>
      </c>
      <c r="K186" s="50">
        <f t="shared" si="14"/>
        <v>-305.79162256162107</v>
      </c>
      <c r="L186" s="50">
        <f>VLOOKUP($A186,'Data shares'!$C:$FB,118)</f>
        <v>0.69</v>
      </c>
      <c r="M186" s="50">
        <f>VLOOKUP($A186,'Data shares'!$C:$FB,119)</f>
        <v>0.72</v>
      </c>
      <c r="N186" s="50">
        <f>VLOOKUP($A186,'Data shares'!$C:$FB,121)*100</f>
        <v>-4.17</v>
      </c>
      <c r="O186" s="50">
        <f>VLOOKUP($A186,'Data shares'!$C:$FB,124)</f>
        <v>0.67</v>
      </c>
      <c r="P186" s="50">
        <f>VLOOKUP($A186,'Data shares'!$C:$FB,125)</f>
        <v>0.24</v>
      </c>
      <c r="Q186" s="50">
        <f>VLOOKUP($A186,'Data shares'!$C:$FB,127)*100</f>
        <v>179.17000000000002</v>
      </c>
    </row>
    <row r="187" spans="1:17" x14ac:dyDescent="0.25">
      <c r="A187" s="97" t="str">
        <f>'Snapshot (Value)'!A191</f>
        <v>SRF</v>
      </c>
      <c r="B187" s="140">
        <f>VLOOKUP($A187,'Data shares'!$C:$FB,7)</f>
        <v>2626.3</v>
      </c>
      <c r="C187" s="140">
        <f>VLOOKUP($A187,'Data shares'!$C:$FB,3)</f>
        <v>2626.9</v>
      </c>
      <c r="D187" s="140">
        <f>VLOOKUP($A187,'Data shares'!$C:$FB,4)</f>
        <v>2489</v>
      </c>
      <c r="E187" s="50">
        <f t="shared" si="12"/>
        <v>5.5403776617115348</v>
      </c>
      <c r="F187" s="49">
        <f>VLOOKUP($A187,'Data shares'!$C:$FB,98)</f>
        <v>6557800</v>
      </c>
      <c r="G187" s="49">
        <f>VLOOKUP($A187,'Data shares'!$C:$FB,99)</f>
        <v>6607600</v>
      </c>
      <c r="H187" s="50">
        <f t="shared" si="13"/>
        <v>-0.75367758338882496</v>
      </c>
      <c r="I187" s="49">
        <f>VLOOKUP($A187,'Data shares'!$C:$FB,66)</f>
        <v>12516400</v>
      </c>
      <c r="J187" s="49">
        <f>VLOOKUP($A187,'Data shares'!$C:$FB,67)</f>
        <v>5070800</v>
      </c>
      <c r="K187" s="50">
        <f t="shared" si="14"/>
        <v>59.486753379566004</v>
      </c>
      <c r="L187" s="50">
        <f>VLOOKUP($A187,'Data shares'!$C:$FB,118)</f>
        <v>0.83</v>
      </c>
      <c r="M187" s="50">
        <f>VLOOKUP($A187,'Data shares'!$C:$FB,119)</f>
        <v>0.84</v>
      </c>
      <c r="N187" s="50">
        <f>VLOOKUP($A187,'Data shares'!$C:$FB,121)*100</f>
        <v>-1.1900000000000002</v>
      </c>
      <c r="O187" s="50">
        <f>VLOOKUP($A187,'Data shares'!$C:$FB,124)</f>
        <v>0.47</v>
      </c>
      <c r="P187" s="50">
        <f>VLOOKUP($A187,'Data shares'!$C:$FB,125)</f>
        <v>1.39</v>
      </c>
      <c r="Q187" s="50">
        <f>VLOOKUP($A187,'Data shares'!$C:$FB,127)*100</f>
        <v>-66.19</v>
      </c>
    </row>
    <row r="188" spans="1:17" x14ac:dyDescent="0.25">
      <c r="A188" s="97" t="str">
        <f>'Snapshot (Value)'!A192</f>
        <v>SUNPHARMA</v>
      </c>
      <c r="B188" s="140">
        <f>VLOOKUP($A188,'Data shares'!$C:$FB,7)</f>
        <v>1825.3</v>
      </c>
      <c r="C188" s="140">
        <f>VLOOKUP($A188,'Data shares'!$C:$FB,3)</f>
        <v>1827.7</v>
      </c>
      <c r="D188" s="140">
        <f>VLOOKUP($A188,'Data shares'!$C:$FB,4)</f>
        <v>1827.6</v>
      </c>
      <c r="E188" s="50">
        <f t="shared" si="12"/>
        <v>5.4716568176918596E-3</v>
      </c>
      <c r="F188" s="49">
        <f>VLOOKUP($A188,'Data shares'!$C:$FB,98)</f>
        <v>43755250</v>
      </c>
      <c r="G188" s="49">
        <f>VLOOKUP($A188,'Data shares'!$C:$FB,99)</f>
        <v>41624100</v>
      </c>
      <c r="H188" s="50">
        <f t="shared" si="13"/>
        <v>5.119990582378958</v>
      </c>
      <c r="I188" s="49">
        <f>VLOOKUP($A188,'Data shares'!$C:$FB,66)</f>
        <v>19887700</v>
      </c>
      <c r="J188" s="49">
        <f>VLOOKUP($A188,'Data shares'!$C:$FB,67)</f>
        <v>26789350</v>
      </c>
      <c r="K188" s="50">
        <f t="shared" si="14"/>
        <v>-34.703107951145682</v>
      </c>
      <c r="L188" s="50">
        <f>VLOOKUP($A188,'Data shares'!$C:$FB,118)</f>
        <v>0.54</v>
      </c>
      <c r="M188" s="50">
        <f>VLOOKUP($A188,'Data shares'!$C:$FB,119)</f>
        <v>0.56999999999999995</v>
      </c>
      <c r="N188" s="50">
        <f>VLOOKUP($A188,'Data shares'!$C:$FB,121)*100</f>
        <v>-5.26</v>
      </c>
      <c r="O188" s="50">
        <f>VLOOKUP($A188,'Data shares'!$C:$FB,124)</f>
        <v>0.66</v>
      </c>
      <c r="P188" s="50">
        <f>VLOOKUP($A188,'Data shares'!$C:$FB,125)</f>
        <v>0.48</v>
      </c>
      <c r="Q188" s="50">
        <f>VLOOKUP($A188,'Data shares'!$C:$FB,127)*100</f>
        <v>37.5</v>
      </c>
    </row>
    <row r="189" spans="1:17" x14ac:dyDescent="0.25">
      <c r="A189" s="97" t="str">
        <f>'Snapshot (Value)'!A193</f>
        <v>SUPREMEIND</v>
      </c>
      <c r="B189" s="140">
        <f>VLOOKUP($A189,'Data shares'!$C:$FB,7)</f>
        <v>4043.7</v>
      </c>
      <c r="C189" s="140">
        <f>VLOOKUP($A189,'Data shares'!$C:$FB,3)</f>
        <v>4029.8</v>
      </c>
      <c r="D189" s="140">
        <f>VLOOKUP($A189,'Data shares'!$C:$FB,4)</f>
        <v>4037.3</v>
      </c>
      <c r="E189" s="50">
        <f t="shared" ref="E189:E209" si="15">(C189-D189)/D189*100</f>
        <v>-0.18576771604785378</v>
      </c>
      <c r="F189" s="49">
        <f>VLOOKUP($A189,'Data shares'!$C:$FB,98)</f>
        <v>2800000</v>
      </c>
      <c r="G189" s="49">
        <f>VLOOKUP($A189,'Data shares'!$C:$FB,99)</f>
        <v>2672600</v>
      </c>
      <c r="H189" s="50">
        <f t="shared" ref="H189:H209" si="16">(F189-G189)/G189*100</f>
        <v>4.7668936616029338</v>
      </c>
      <c r="I189" s="49">
        <f>VLOOKUP($A189,'Data shares'!$C:$FB,66)</f>
        <v>2225125</v>
      </c>
      <c r="J189" s="49">
        <f>VLOOKUP($A189,'Data shares'!$C:$FB,67)</f>
        <v>4628575</v>
      </c>
      <c r="K189" s="50">
        <f t="shared" ref="K189:K209" si="17">(I189-J189)/I189*100</f>
        <v>-108.01415650806135</v>
      </c>
      <c r="L189" s="50">
        <f>VLOOKUP($A189,'Data shares'!$C:$FB,118)</f>
        <v>0.61</v>
      </c>
      <c r="M189" s="50">
        <f>VLOOKUP($A189,'Data shares'!$C:$FB,119)</f>
        <v>0.61</v>
      </c>
      <c r="N189" s="50">
        <f>VLOOKUP($A189,'Data shares'!$C:$FB,121)*100</f>
        <v>0</v>
      </c>
      <c r="O189" s="50">
        <f>VLOOKUP($A189,'Data shares'!$C:$FB,124)</f>
        <v>0.4</v>
      </c>
      <c r="P189" s="50">
        <f>VLOOKUP($A189,'Data shares'!$C:$FB,125)</f>
        <v>0.21</v>
      </c>
      <c r="Q189" s="50">
        <f>VLOOKUP($A189,'Data shares'!$C:$FB,127)*100</f>
        <v>90.48</v>
      </c>
    </row>
    <row r="190" spans="1:17" x14ac:dyDescent="0.25">
      <c r="A190" s="97" t="str">
        <f>'Snapshot (Value)'!A194</f>
        <v>SUZLON</v>
      </c>
      <c r="B190" s="140">
        <f>VLOOKUP($A190,'Data shares'!$C:$FB,7)</f>
        <v>42.43</v>
      </c>
      <c r="C190" s="140">
        <f>VLOOKUP($A190,'Data shares'!$C:$FB,3)</f>
        <v>42.5</v>
      </c>
      <c r="D190" s="140">
        <f>VLOOKUP($A190,'Data shares'!$C:$FB,4)</f>
        <v>41.67</v>
      </c>
      <c r="E190" s="50">
        <f t="shared" si="15"/>
        <v>1.9918406527477759</v>
      </c>
      <c r="F190" s="49">
        <f>VLOOKUP($A190,'Data shares'!$C:$FB,98)</f>
        <v>607418600</v>
      </c>
      <c r="G190" s="49">
        <f>VLOOKUP($A190,'Data shares'!$C:$FB,99)</f>
        <v>614169300</v>
      </c>
      <c r="H190" s="50">
        <f t="shared" si="16"/>
        <v>-1.0991594662904838</v>
      </c>
      <c r="I190" s="49">
        <f>VLOOKUP($A190,'Data shares'!$C:$FB,66)</f>
        <v>454760725</v>
      </c>
      <c r="J190" s="49">
        <f>VLOOKUP($A190,'Data shares'!$C:$FB,67)</f>
        <v>320098700</v>
      </c>
      <c r="K190" s="50">
        <f t="shared" si="17"/>
        <v>29.611621584075891</v>
      </c>
      <c r="L190" s="50">
        <f>VLOOKUP($A190,'Data shares'!$C:$FB,118)</f>
        <v>0.42</v>
      </c>
      <c r="M190" s="50">
        <f>VLOOKUP($A190,'Data shares'!$C:$FB,119)</f>
        <v>0.37</v>
      </c>
      <c r="N190" s="50">
        <f>VLOOKUP($A190,'Data shares'!$C:$FB,121)*100</f>
        <v>13.51</v>
      </c>
      <c r="O190" s="50">
        <f>VLOOKUP($A190,'Data shares'!$C:$FB,124)</f>
        <v>0.23</v>
      </c>
      <c r="P190" s="50">
        <f>VLOOKUP($A190,'Data shares'!$C:$FB,125)</f>
        <v>0.2</v>
      </c>
      <c r="Q190" s="50">
        <f>VLOOKUP($A190,'Data shares'!$C:$FB,127)*100</f>
        <v>15</v>
      </c>
    </row>
    <row r="191" spans="1:17" x14ac:dyDescent="0.25">
      <c r="A191" s="97" t="str">
        <f>'Snapshot (Value)'!A195</f>
        <v>SWIGGY</v>
      </c>
      <c r="B191" s="140">
        <f>VLOOKUP($A191,'Data shares'!$C:$FB,7)</f>
        <v>280.89999999999998</v>
      </c>
      <c r="C191" s="140">
        <f>VLOOKUP($A191,'Data shares'!$C:$FB,3)</f>
        <v>280.75</v>
      </c>
      <c r="D191" s="140">
        <f>VLOOKUP($A191,'Data shares'!$C:$FB,4)</f>
        <v>284.55</v>
      </c>
      <c r="E191" s="50">
        <f t="shared" si="15"/>
        <v>-1.3354419258478338</v>
      </c>
      <c r="F191" s="49">
        <f>VLOOKUP($A191,'Data shares'!$C:$FB,98)</f>
        <v>71536400</v>
      </c>
      <c r="G191" s="49">
        <f>VLOOKUP($A191,'Data shares'!$C:$FB,99)</f>
        <v>66834300</v>
      </c>
      <c r="H191" s="50">
        <f t="shared" si="16"/>
        <v>7.0354593374958672</v>
      </c>
      <c r="I191" s="49">
        <f>VLOOKUP($A191,'Data shares'!$C:$FB,66)</f>
        <v>42242200</v>
      </c>
      <c r="J191" s="49">
        <f>VLOOKUP($A191,'Data shares'!$C:$FB,67)</f>
        <v>20216300</v>
      </c>
      <c r="K191" s="50">
        <f t="shared" si="17"/>
        <v>52.1419338954884</v>
      </c>
      <c r="L191" s="50">
        <f>VLOOKUP($A191,'Data shares'!$C:$FB,118)</f>
        <v>0.84</v>
      </c>
      <c r="M191" s="50">
        <f>VLOOKUP($A191,'Data shares'!$C:$FB,119)</f>
        <v>0.81</v>
      </c>
      <c r="N191" s="50">
        <f>VLOOKUP($A191,'Data shares'!$C:$FB,121)*100</f>
        <v>3.6999999999999997</v>
      </c>
      <c r="O191" s="50">
        <f>VLOOKUP($A191,'Data shares'!$C:$FB,124)</f>
        <v>1.86</v>
      </c>
      <c r="P191" s="50">
        <f>VLOOKUP($A191,'Data shares'!$C:$FB,125)</f>
        <v>1.24</v>
      </c>
      <c r="Q191" s="50">
        <f>VLOOKUP($A191,'Data shares'!$C:$FB,127)*100</f>
        <v>50</v>
      </c>
    </row>
    <row r="192" spans="1:17" x14ac:dyDescent="0.25">
      <c r="A192" s="97" t="str">
        <f>'Snapshot (Value)'!A196</f>
        <v>SYNGENE</v>
      </c>
      <c r="B192" s="140">
        <f>VLOOKUP($A192,'Data shares'!$C:$FB,7)</f>
        <v>404.1</v>
      </c>
      <c r="C192" s="140">
        <f>VLOOKUP($A192,'Data shares'!$C:$FB,3)</f>
        <v>404.75</v>
      </c>
      <c r="D192" s="140">
        <f>VLOOKUP($A192,'Data shares'!$C:$FB,4)</f>
        <v>407.9</v>
      </c>
      <c r="E192" s="50">
        <f t="shared" si="15"/>
        <v>-0.77224810002451028</v>
      </c>
      <c r="F192" s="49">
        <f>VLOOKUP($A192,'Data shares'!$C:$FB,98)</f>
        <v>17108000</v>
      </c>
      <c r="G192" s="49">
        <f>VLOOKUP($A192,'Data shares'!$C:$FB,99)</f>
        <v>16960000</v>
      </c>
      <c r="H192" s="50">
        <f t="shared" si="16"/>
        <v>0.87264150943396224</v>
      </c>
      <c r="I192" s="49">
        <f>VLOOKUP($A192,'Data shares'!$C:$FB,66)</f>
        <v>6118000</v>
      </c>
      <c r="J192" s="49">
        <f>VLOOKUP($A192,'Data shares'!$C:$FB,67)</f>
        <v>5805000</v>
      </c>
      <c r="K192" s="50">
        <f t="shared" si="17"/>
        <v>5.1160509970578616</v>
      </c>
      <c r="L192" s="50">
        <f>VLOOKUP($A192,'Data shares'!$C:$FB,118)</f>
        <v>0.53</v>
      </c>
      <c r="M192" s="50">
        <f>VLOOKUP($A192,'Data shares'!$C:$FB,119)</f>
        <v>0.56999999999999995</v>
      </c>
      <c r="N192" s="50">
        <f>VLOOKUP($A192,'Data shares'!$C:$FB,121)*100</f>
        <v>-7.02</v>
      </c>
      <c r="O192" s="50">
        <f>VLOOKUP($A192,'Data shares'!$C:$FB,124)</f>
        <v>0.69</v>
      </c>
      <c r="P192" s="50">
        <f>VLOOKUP($A192,'Data shares'!$C:$FB,125)</f>
        <v>0.26</v>
      </c>
      <c r="Q192" s="50">
        <f>VLOOKUP($A192,'Data shares'!$C:$FB,127)*100</f>
        <v>165.38</v>
      </c>
    </row>
    <row r="193" spans="1:17" x14ac:dyDescent="0.25">
      <c r="A193" s="97" t="str">
        <f>'Snapshot (Value)'!A197</f>
        <v>TATACONSUM</v>
      </c>
      <c r="B193" s="140">
        <f>VLOOKUP($A193,'Data shares'!$C:$FB,7)</f>
        <v>1057.8</v>
      </c>
      <c r="C193" s="140">
        <f>VLOOKUP($A193,'Data shares'!$C:$FB,3)</f>
        <v>1061.5</v>
      </c>
      <c r="D193" s="140">
        <f>VLOOKUP($A193,'Data shares'!$C:$FB,4)</f>
        <v>1076.5999999999999</v>
      </c>
      <c r="E193" s="50">
        <f t="shared" si="15"/>
        <v>-1.402563626230718</v>
      </c>
      <c r="F193" s="49">
        <f>VLOOKUP($A193,'Data shares'!$C:$FB,98)</f>
        <v>18152750</v>
      </c>
      <c r="G193" s="49">
        <f>VLOOKUP($A193,'Data shares'!$C:$FB,99)</f>
        <v>18035050</v>
      </c>
      <c r="H193" s="50">
        <f t="shared" si="16"/>
        <v>0.65261809642889812</v>
      </c>
      <c r="I193" s="49">
        <f>VLOOKUP($A193,'Data shares'!$C:$FB,66)</f>
        <v>4094200</v>
      </c>
      <c r="J193" s="49">
        <f>VLOOKUP($A193,'Data shares'!$C:$FB,67)</f>
        <v>7375500</v>
      </c>
      <c r="K193" s="50">
        <f t="shared" si="17"/>
        <v>-80.145083288554545</v>
      </c>
      <c r="L193" s="50">
        <f>VLOOKUP($A193,'Data shares'!$C:$FB,118)</f>
        <v>0.54</v>
      </c>
      <c r="M193" s="50">
        <f>VLOOKUP($A193,'Data shares'!$C:$FB,119)</f>
        <v>0.65</v>
      </c>
      <c r="N193" s="50">
        <f>VLOOKUP($A193,'Data shares'!$C:$FB,121)*100</f>
        <v>-16.919999999999998</v>
      </c>
      <c r="O193" s="50">
        <f>VLOOKUP($A193,'Data shares'!$C:$FB,124)</f>
        <v>0.88</v>
      </c>
      <c r="P193" s="50">
        <f>VLOOKUP($A193,'Data shares'!$C:$FB,125)</f>
        <v>1.57</v>
      </c>
      <c r="Q193" s="50">
        <f>VLOOKUP($A193,'Data shares'!$C:$FB,127)*100</f>
        <v>-43.95</v>
      </c>
    </row>
    <row r="194" spans="1:17" x14ac:dyDescent="0.25">
      <c r="A194" s="97" t="str">
        <f>'Snapshot (Value)'!A198</f>
        <v>TATAELXSI</v>
      </c>
      <c r="B194" s="140">
        <f>VLOOKUP($A194,'Data shares'!$C:$FB,7)</f>
        <v>4330</v>
      </c>
      <c r="C194" s="140">
        <f>VLOOKUP($A194,'Data shares'!$C:$FB,3)</f>
        <v>4312.3999999999996</v>
      </c>
      <c r="D194" s="140">
        <f>VLOOKUP($A194,'Data shares'!$C:$FB,4)</f>
        <v>4334.7</v>
      </c>
      <c r="E194" s="50">
        <f t="shared" si="15"/>
        <v>-0.51445313401158521</v>
      </c>
      <c r="F194" s="49">
        <f>VLOOKUP($A194,'Data shares'!$C:$FB,98)</f>
        <v>4654800</v>
      </c>
      <c r="G194" s="49">
        <f>VLOOKUP($A194,'Data shares'!$C:$FB,99)</f>
        <v>4522000</v>
      </c>
      <c r="H194" s="50">
        <f t="shared" si="16"/>
        <v>2.9367536488279522</v>
      </c>
      <c r="I194" s="49">
        <f>VLOOKUP($A194,'Data shares'!$C:$FB,66)</f>
        <v>2628900</v>
      </c>
      <c r="J194" s="49">
        <f>VLOOKUP($A194,'Data shares'!$C:$FB,67)</f>
        <v>3108100</v>
      </c>
      <c r="K194" s="50">
        <f t="shared" si="17"/>
        <v>-18.22815626307581</v>
      </c>
      <c r="L194" s="50">
        <f>VLOOKUP($A194,'Data shares'!$C:$FB,118)</f>
        <v>0.42</v>
      </c>
      <c r="M194" s="50">
        <f>VLOOKUP($A194,'Data shares'!$C:$FB,119)</f>
        <v>0.45</v>
      </c>
      <c r="N194" s="50">
        <f>VLOOKUP($A194,'Data shares'!$C:$FB,121)*100</f>
        <v>-6.67</v>
      </c>
      <c r="O194" s="50">
        <f>VLOOKUP($A194,'Data shares'!$C:$FB,124)</f>
        <v>0.31</v>
      </c>
      <c r="P194" s="50">
        <f>VLOOKUP($A194,'Data shares'!$C:$FB,125)</f>
        <v>0.21</v>
      </c>
      <c r="Q194" s="50">
        <f>VLOOKUP($A194,'Data shares'!$C:$FB,127)*100</f>
        <v>47.620000000000005</v>
      </c>
    </row>
    <row r="195" spans="1:17" x14ac:dyDescent="0.25">
      <c r="A195" s="97" t="str">
        <f>'Snapshot (Value)'!A199</f>
        <v>TATAPOWER</v>
      </c>
      <c r="B195" s="140">
        <f>VLOOKUP($A195,'Data shares'!$C:$FB,7)</f>
        <v>402.15</v>
      </c>
      <c r="C195" s="140">
        <f>VLOOKUP($A195,'Data shares'!$C:$FB,3)</f>
        <v>403.6</v>
      </c>
      <c r="D195" s="140">
        <f>VLOOKUP($A195,'Data shares'!$C:$FB,4)</f>
        <v>386.9</v>
      </c>
      <c r="E195" s="50">
        <f t="shared" si="15"/>
        <v>4.3163608167485261</v>
      </c>
      <c r="F195" s="49">
        <f>VLOOKUP($A195,'Data shares'!$C:$FB,98)</f>
        <v>115159000</v>
      </c>
      <c r="G195" s="49">
        <f>VLOOKUP($A195,'Data shares'!$C:$FB,99)</f>
        <v>106406800</v>
      </c>
      <c r="H195" s="50">
        <f t="shared" si="16"/>
        <v>8.2252262073476512</v>
      </c>
      <c r="I195" s="49">
        <f>VLOOKUP($A195,'Data shares'!$C:$FB,66)</f>
        <v>319392950</v>
      </c>
      <c r="J195" s="49">
        <f>VLOOKUP($A195,'Data shares'!$C:$FB,67)</f>
        <v>141883950</v>
      </c>
      <c r="K195" s="50">
        <f t="shared" si="17"/>
        <v>55.576993794008288</v>
      </c>
      <c r="L195" s="50">
        <f>VLOOKUP($A195,'Data shares'!$C:$FB,118)</f>
        <v>1.03</v>
      </c>
      <c r="M195" s="50">
        <f>VLOOKUP($A195,'Data shares'!$C:$FB,119)</f>
        <v>0.8</v>
      </c>
      <c r="N195" s="50">
        <f>VLOOKUP($A195,'Data shares'!$C:$FB,121)*100</f>
        <v>28.749999999999996</v>
      </c>
      <c r="O195" s="50">
        <f>VLOOKUP($A195,'Data shares'!$C:$FB,124)</f>
        <v>0.37</v>
      </c>
      <c r="P195" s="50">
        <f>VLOOKUP($A195,'Data shares'!$C:$FB,125)</f>
        <v>0.32</v>
      </c>
      <c r="Q195" s="50">
        <f>VLOOKUP($A195,'Data shares'!$C:$FB,127)*100</f>
        <v>15.620000000000001</v>
      </c>
    </row>
    <row r="196" spans="1:17" x14ac:dyDescent="0.25">
      <c r="A196" s="97" t="str">
        <f>'Snapshot (Value)'!A200</f>
        <v>TATASTEEL</v>
      </c>
      <c r="B196" s="140">
        <f>VLOOKUP($A196,'Data shares'!$C:$FB,7)</f>
        <v>193.47</v>
      </c>
      <c r="C196" s="140">
        <f>VLOOKUP($A196,'Data shares'!$C:$FB,3)</f>
        <v>193.92</v>
      </c>
      <c r="D196" s="140">
        <f>VLOOKUP($A196,'Data shares'!$C:$FB,4)</f>
        <v>194.99</v>
      </c>
      <c r="E196" s="50">
        <f t="shared" si="15"/>
        <v>-0.54874608954306447</v>
      </c>
      <c r="F196" s="49">
        <f>VLOOKUP($A196,'Data shares'!$C:$FB,98)</f>
        <v>448530500</v>
      </c>
      <c r="G196" s="49">
        <f>VLOOKUP($A196,'Data shares'!$C:$FB,99)</f>
        <v>446451500</v>
      </c>
      <c r="H196" s="50">
        <f t="shared" si="16"/>
        <v>0.4656720830818129</v>
      </c>
      <c r="I196" s="49">
        <f>VLOOKUP($A196,'Data shares'!$C:$FB,66)</f>
        <v>178293500</v>
      </c>
      <c r="J196" s="49">
        <f>VLOOKUP($A196,'Data shares'!$C:$FB,67)</f>
        <v>247445000</v>
      </c>
      <c r="K196" s="50">
        <f t="shared" si="17"/>
        <v>-38.785205293518828</v>
      </c>
      <c r="L196" s="50">
        <f>VLOOKUP($A196,'Data shares'!$C:$FB,118)</f>
        <v>0.65</v>
      </c>
      <c r="M196" s="50">
        <f>VLOOKUP($A196,'Data shares'!$C:$FB,119)</f>
        <v>0.65</v>
      </c>
      <c r="N196" s="50">
        <f>VLOOKUP($A196,'Data shares'!$C:$FB,121)*100</f>
        <v>0</v>
      </c>
      <c r="O196" s="50">
        <f>VLOOKUP($A196,'Data shares'!$C:$FB,124)</f>
        <v>0.55000000000000004</v>
      </c>
      <c r="P196" s="50">
        <f>VLOOKUP($A196,'Data shares'!$C:$FB,125)</f>
        <v>0.53</v>
      </c>
      <c r="Q196" s="50">
        <f>VLOOKUP($A196,'Data shares'!$C:$FB,127)*100</f>
        <v>3.7699999999999996</v>
      </c>
    </row>
    <row r="197" spans="1:17" x14ac:dyDescent="0.25">
      <c r="A197" s="97" t="str">
        <f>'Snapshot (Value)'!A201</f>
        <v>TATATECH</v>
      </c>
      <c r="B197" s="140">
        <f>VLOOKUP($A197,'Data shares'!$C:$FB,7)</f>
        <v>551.85</v>
      </c>
      <c r="C197" s="140">
        <f>VLOOKUP($A197,'Data shares'!$C:$FB,3)</f>
        <v>554.29999999999995</v>
      </c>
      <c r="D197" s="140">
        <f>VLOOKUP($A197,'Data shares'!$C:$FB,4)</f>
        <v>557.65</v>
      </c>
      <c r="E197" s="50">
        <f t="shared" si="15"/>
        <v>-0.6007352281897288</v>
      </c>
      <c r="F197" s="49">
        <f>VLOOKUP($A197,'Data shares'!$C:$FB,98)</f>
        <v>18100800</v>
      </c>
      <c r="G197" s="49">
        <f>VLOOKUP($A197,'Data shares'!$C:$FB,99)</f>
        <v>18096000</v>
      </c>
      <c r="H197" s="50">
        <f t="shared" si="16"/>
        <v>2.652519893899204E-2</v>
      </c>
      <c r="I197" s="49">
        <f>VLOOKUP($A197,'Data shares'!$C:$FB,66)</f>
        <v>3985600</v>
      </c>
      <c r="J197" s="49">
        <f>VLOOKUP($A197,'Data shares'!$C:$FB,67)</f>
        <v>2663200</v>
      </c>
      <c r="K197" s="50">
        <f t="shared" si="17"/>
        <v>33.179446005620235</v>
      </c>
      <c r="L197" s="50">
        <f>VLOOKUP($A197,'Data shares'!$C:$FB,118)</f>
        <v>0.56000000000000005</v>
      </c>
      <c r="M197" s="50">
        <f>VLOOKUP($A197,'Data shares'!$C:$FB,119)</f>
        <v>0.56999999999999995</v>
      </c>
      <c r="N197" s="50">
        <f>VLOOKUP($A197,'Data shares'!$C:$FB,121)*100</f>
        <v>-1.7500000000000002</v>
      </c>
      <c r="O197" s="50">
        <f>VLOOKUP($A197,'Data shares'!$C:$FB,124)</f>
        <v>0.32</v>
      </c>
      <c r="P197" s="50">
        <f>VLOOKUP($A197,'Data shares'!$C:$FB,125)</f>
        <v>0.39</v>
      </c>
      <c r="Q197" s="50">
        <f>VLOOKUP($A197,'Data shares'!$C:$FB,127)*100</f>
        <v>-17.95</v>
      </c>
    </row>
    <row r="198" spans="1:17" x14ac:dyDescent="0.25">
      <c r="A198" s="97" t="str">
        <f>'Snapshot (Value)'!A202</f>
        <v>TCS</v>
      </c>
      <c r="B198" s="140">
        <f>VLOOKUP($A198,'Data shares'!$C:$FB,7)</f>
        <v>2442.4</v>
      </c>
      <c r="C198" s="140">
        <f>VLOOKUP($A198,'Data shares'!$C:$FB,3)</f>
        <v>2453</v>
      </c>
      <c r="D198" s="140">
        <f>VLOOKUP($A198,'Data shares'!$C:$FB,4)</f>
        <v>2470.3000000000002</v>
      </c>
      <c r="E198" s="50">
        <f t="shared" si="15"/>
        <v>-0.70031979921467757</v>
      </c>
      <c r="F198" s="49">
        <f>VLOOKUP($A198,'Data shares'!$C:$FB,98)</f>
        <v>59537275</v>
      </c>
      <c r="G198" s="49">
        <f>VLOOKUP($A198,'Data shares'!$C:$FB,99)</f>
        <v>58592100</v>
      </c>
      <c r="H198" s="50">
        <f t="shared" si="16"/>
        <v>1.6131440928043201</v>
      </c>
      <c r="I198" s="49">
        <f>VLOOKUP($A198,'Data shares'!$C:$FB,66)</f>
        <v>23670675</v>
      </c>
      <c r="J198" s="49">
        <f>VLOOKUP($A198,'Data shares'!$C:$FB,67)</f>
        <v>24220525</v>
      </c>
      <c r="K198" s="50">
        <f t="shared" si="17"/>
        <v>-2.3229164356318521</v>
      </c>
      <c r="L198" s="50">
        <f>VLOOKUP($A198,'Data shares'!$C:$FB,118)</f>
        <v>0.56000000000000005</v>
      </c>
      <c r="M198" s="50">
        <f>VLOOKUP($A198,'Data shares'!$C:$FB,119)</f>
        <v>0.57999999999999996</v>
      </c>
      <c r="N198" s="50">
        <f>VLOOKUP($A198,'Data shares'!$C:$FB,121)*100</f>
        <v>-3.45</v>
      </c>
      <c r="O198" s="50">
        <f>VLOOKUP($A198,'Data shares'!$C:$FB,124)</f>
        <v>0.55000000000000004</v>
      </c>
      <c r="P198" s="50">
        <f>VLOOKUP($A198,'Data shares'!$C:$FB,125)</f>
        <v>0.57999999999999996</v>
      </c>
      <c r="Q198" s="50">
        <f>VLOOKUP($A198,'Data shares'!$C:$FB,127)*100</f>
        <v>-5.17</v>
      </c>
    </row>
    <row r="199" spans="1:17" x14ac:dyDescent="0.25">
      <c r="A199" s="97" t="str">
        <f>'Snapshot (Value)'!A203</f>
        <v>TECHM</v>
      </c>
      <c r="B199" s="140">
        <f>VLOOKUP($A199,'Data shares'!$C:$FB,7)</f>
        <v>1349.8</v>
      </c>
      <c r="C199" s="140">
        <f>VLOOKUP($A199,'Data shares'!$C:$FB,3)</f>
        <v>1351.3</v>
      </c>
      <c r="D199" s="140">
        <f>VLOOKUP($A199,'Data shares'!$C:$FB,4)</f>
        <v>1335.6</v>
      </c>
      <c r="E199" s="50">
        <f t="shared" si="15"/>
        <v>1.1755016471997639</v>
      </c>
      <c r="F199" s="49">
        <f>VLOOKUP($A199,'Data shares'!$C:$FB,98)</f>
        <v>34005600</v>
      </c>
      <c r="G199" s="49">
        <f>VLOOKUP($A199,'Data shares'!$C:$FB,99)</f>
        <v>33637200</v>
      </c>
      <c r="H199" s="50">
        <f t="shared" si="16"/>
        <v>1.0952160108451359</v>
      </c>
      <c r="I199" s="49">
        <f>VLOOKUP($A199,'Data shares'!$C:$FB,66)</f>
        <v>17964600</v>
      </c>
      <c r="J199" s="49">
        <f>VLOOKUP($A199,'Data shares'!$C:$FB,67)</f>
        <v>14103600</v>
      </c>
      <c r="K199" s="50">
        <f t="shared" si="17"/>
        <v>21.492268127317057</v>
      </c>
      <c r="L199" s="50">
        <f>VLOOKUP($A199,'Data shares'!$C:$FB,118)</f>
        <v>0.59</v>
      </c>
      <c r="M199" s="50">
        <f>VLOOKUP($A199,'Data shares'!$C:$FB,119)</f>
        <v>0.64</v>
      </c>
      <c r="N199" s="50">
        <f>VLOOKUP($A199,'Data shares'!$C:$FB,121)*100</f>
        <v>-7.8100000000000005</v>
      </c>
      <c r="O199" s="50">
        <f>VLOOKUP($A199,'Data shares'!$C:$FB,124)</f>
        <v>0.35</v>
      </c>
      <c r="P199" s="50">
        <f>VLOOKUP($A199,'Data shares'!$C:$FB,125)</f>
        <v>0.51</v>
      </c>
      <c r="Q199" s="50">
        <f>VLOOKUP($A199,'Data shares'!$C:$FB,127)*100</f>
        <v>-31.369999999999997</v>
      </c>
    </row>
    <row r="200" spans="1:17" x14ac:dyDescent="0.25">
      <c r="A200" s="97" t="str">
        <f>'Snapshot (Value)'!A204</f>
        <v>TIINDIA</v>
      </c>
      <c r="B200" s="140">
        <f>VLOOKUP($A200,'Data shares'!$C:$FB,7)</f>
        <v>2549.6999999999998</v>
      </c>
      <c r="C200" s="140">
        <f>VLOOKUP($A200,'Data shares'!$C:$FB,3)</f>
        <v>2550.1999999999998</v>
      </c>
      <c r="D200" s="140">
        <f>VLOOKUP($A200,'Data shares'!$C:$FB,4)</f>
        <v>2568.6</v>
      </c>
      <c r="E200" s="50">
        <f t="shared" si="15"/>
        <v>-0.71634353344234569</v>
      </c>
      <c r="F200" s="49">
        <f>VLOOKUP($A200,'Data shares'!$C:$FB,98)</f>
        <v>4213200</v>
      </c>
      <c r="G200" s="49">
        <f>VLOOKUP($A200,'Data shares'!$C:$FB,99)</f>
        <v>4229600</v>
      </c>
      <c r="H200" s="50">
        <f t="shared" si="16"/>
        <v>-0.38774352184603744</v>
      </c>
      <c r="I200" s="49">
        <f>VLOOKUP($A200,'Data shares'!$C:$FB,66)</f>
        <v>1132800</v>
      </c>
      <c r="J200" s="49">
        <f>VLOOKUP($A200,'Data shares'!$C:$FB,67)</f>
        <v>1383000</v>
      </c>
      <c r="K200" s="50">
        <f t="shared" si="17"/>
        <v>-22.086864406779661</v>
      </c>
      <c r="L200" s="50">
        <f>VLOOKUP($A200,'Data shares'!$C:$FB,118)</f>
        <v>0.74</v>
      </c>
      <c r="M200" s="50">
        <f>VLOOKUP($A200,'Data shares'!$C:$FB,119)</f>
        <v>0.75</v>
      </c>
      <c r="N200" s="50">
        <f>VLOOKUP($A200,'Data shares'!$C:$FB,121)*100</f>
        <v>-1.3299999999999998</v>
      </c>
      <c r="O200" s="50">
        <f>VLOOKUP($A200,'Data shares'!$C:$FB,124)</f>
        <v>1.34</v>
      </c>
      <c r="P200" s="50">
        <f>VLOOKUP($A200,'Data shares'!$C:$FB,125)</f>
        <v>0.48</v>
      </c>
      <c r="Q200" s="50">
        <f>VLOOKUP($A200,'Data shares'!$C:$FB,127)*100</f>
        <v>179.17000000000002</v>
      </c>
    </row>
    <row r="201" spans="1:17" x14ac:dyDescent="0.25">
      <c r="A201" s="97" t="str">
        <f>'Snapshot (Value)'!A205</f>
        <v>TITAN</v>
      </c>
      <c r="B201" s="140">
        <f>VLOOKUP($A201,'Data shares'!$C:$FB,7)</f>
        <v>4129.6000000000004</v>
      </c>
      <c r="C201" s="140">
        <f>VLOOKUP($A201,'Data shares'!$C:$FB,3)</f>
        <v>4145.6000000000004</v>
      </c>
      <c r="D201" s="140">
        <f>VLOOKUP($A201,'Data shares'!$C:$FB,4)</f>
        <v>4143.6000000000004</v>
      </c>
      <c r="E201" s="50">
        <f t="shared" si="15"/>
        <v>4.8267207259387962E-2</v>
      </c>
      <c r="F201" s="49">
        <f>VLOOKUP($A201,'Data shares'!$C:$FB,98)</f>
        <v>14266175</v>
      </c>
      <c r="G201" s="49">
        <f>VLOOKUP($A201,'Data shares'!$C:$FB,99)</f>
        <v>13841275</v>
      </c>
      <c r="H201" s="50">
        <f t="shared" si="16"/>
        <v>3.0698039017359311</v>
      </c>
      <c r="I201" s="49">
        <f>VLOOKUP($A201,'Data shares'!$C:$FB,66)</f>
        <v>7650125</v>
      </c>
      <c r="J201" s="49">
        <f>VLOOKUP($A201,'Data shares'!$C:$FB,67)</f>
        <v>3901275</v>
      </c>
      <c r="K201" s="50">
        <f t="shared" si="17"/>
        <v>49.003774448129931</v>
      </c>
      <c r="L201" s="50">
        <f>VLOOKUP($A201,'Data shares'!$C:$FB,118)</f>
        <v>0.46</v>
      </c>
      <c r="M201" s="50">
        <f>VLOOKUP($A201,'Data shares'!$C:$FB,119)</f>
        <v>0.5</v>
      </c>
      <c r="N201" s="50">
        <f>VLOOKUP($A201,'Data shares'!$C:$FB,121)*100</f>
        <v>-8</v>
      </c>
      <c r="O201" s="50">
        <f>VLOOKUP($A201,'Data shares'!$C:$FB,124)</f>
        <v>0.63</v>
      </c>
      <c r="P201" s="50">
        <f>VLOOKUP($A201,'Data shares'!$C:$FB,125)</f>
        <v>0.93</v>
      </c>
      <c r="Q201" s="50">
        <f>VLOOKUP($A201,'Data shares'!$C:$FB,127)*100</f>
        <v>-32.26</v>
      </c>
    </row>
    <row r="202" spans="1:17" x14ac:dyDescent="0.25">
      <c r="A202" s="97" t="str">
        <f>'Snapshot (Value)'!A206</f>
        <v>TMPV</v>
      </c>
      <c r="B202" s="140">
        <f>VLOOKUP($A202,'Data shares'!$C:$FB,7)</f>
        <v>324.55</v>
      </c>
      <c r="C202" s="140">
        <f>VLOOKUP($A202,'Data shares'!$C:$FB,3)</f>
        <v>325.45</v>
      </c>
      <c r="D202" s="140">
        <f>VLOOKUP($A202,'Data shares'!$C:$FB,4)</f>
        <v>336.25</v>
      </c>
      <c r="E202" s="50">
        <f t="shared" si="15"/>
        <v>-3.2118959107806724</v>
      </c>
      <c r="F202" s="49">
        <f>VLOOKUP($A202,'Data shares'!$C:$FB,98)</f>
        <v>151585600</v>
      </c>
      <c r="G202" s="49">
        <f>VLOOKUP($A202,'Data shares'!$C:$FB,99)</f>
        <v>147472000</v>
      </c>
      <c r="H202" s="50">
        <f t="shared" si="16"/>
        <v>2.7894108712162309</v>
      </c>
      <c r="I202" s="49">
        <f>VLOOKUP($A202,'Data shares'!$C:$FB,66)</f>
        <v>83824800</v>
      </c>
      <c r="J202" s="49">
        <f>VLOOKUP($A202,'Data shares'!$C:$FB,67)</f>
        <v>53236800</v>
      </c>
      <c r="K202" s="50">
        <f t="shared" si="17"/>
        <v>36.490394250866096</v>
      </c>
      <c r="L202" s="50">
        <f>VLOOKUP($A202,'Data shares'!$C:$FB,118)</f>
        <v>0.49</v>
      </c>
      <c r="M202" s="50">
        <f>VLOOKUP($A202,'Data shares'!$C:$FB,119)</f>
        <v>0.53</v>
      </c>
      <c r="N202" s="50">
        <f>VLOOKUP($A202,'Data shares'!$C:$FB,121)*100</f>
        <v>-7.55</v>
      </c>
      <c r="O202" s="50">
        <f>VLOOKUP($A202,'Data shares'!$C:$FB,124)</f>
        <v>0.7</v>
      </c>
      <c r="P202" s="50">
        <f>VLOOKUP($A202,'Data shares'!$C:$FB,125)</f>
        <v>0.59</v>
      </c>
      <c r="Q202" s="50">
        <f>VLOOKUP($A202,'Data shares'!$C:$FB,127)*100</f>
        <v>18.64</v>
      </c>
    </row>
    <row r="203" spans="1:17" x14ac:dyDescent="0.25">
      <c r="A203" s="97" t="str">
        <f>'Snapshot (Value)'!A207</f>
        <v>TORNTPHARM</v>
      </c>
      <c r="B203" s="140">
        <f>VLOOKUP($A203,'Data shares'!$C:$FB,7)</f>
        <v>4446</v>
      </c>
      <c r="C203" s="140">
        <f>VLOOKUP($A203,'Data shares'!$C:$FB,3)</f>
        <v>4442.8</v>
      </c>
      <c r="D203" s="140">
        <f>VLOOKUP($A203,'Data shares'!$C:$FB,4)</f>
        <v>4438.7</v>
      </c>
      <c r="E203" s="50">
        <f t="shared" si="15"/>
        <v>9.2369387433265684E-2</v>
      </c>
      <c r="F203" s="49">
        <f>VLOOKUP($A203,'Data shares'!$C:$FB,98)</f>
        <v>4258750</v>
      </c>
      <c r="G203" s="49">
        <f>VLOOKUP($A203,'Data shares'!$C:$FB,99)</f>
        <v>4188250</v>
      </c>
      <c r="H203" s="50">
        <f t="shared" si="16"/>
        <v>1.6832806064585446</v>
      </c>
      <c r="I203" s="49">
        <f>VLOOKUP($A203,'Data shares'!$C:$FB,66)</f>
        <v>1600250</v>
      </c>
      <c r="J203" s="49">
        <f>VLOOKUP($A203,'Data shares'!$C:$FB,67)</f>
        <v>1574500</v>
      </c>
      <c r="K203" s="50">
        <f t="shared" si="17"/>
        <v>1.6091235744414936</v>
      </c>
      <c r="L203" s="50">
        <f>VLOOKUP($A203,'Data shares'!$C:$FB,118)</f>
        <v>0.82</v>
      </c>
      <c r="M203" s="50">
        <f>VLOOKUP($A203,'Data shares'!$C:$FB,119)</f>
        <v>0.9</v>
      </c>
      <c r="N203" s="50">
        <f>VLOOKUP($A203,'Data shares'!$C:$FB,121)*100</f>
        <v>-8.89</v>
      </c>
      <c r="O203" s="50">
        <f>VLOOKUP($A203,'Data shares'!$C:$FB,124)</f>
        <v>0.37</v>
      </c>
      <c r="P203" s="50">
        <f>VLOOKUP($A203,'Data shares'!$C:$FB,125)</f>
        <v>0.38</v>
      </c>
      <c r="Q203" s="50">
        <f>VLOOKUP($A203,'Data shares'!$C:$FB,127)*100</f>
        <v>-2.63</v>
      </c>
    </row>
    <row r="204" spans="1:17" x14ac:dyDescent="0.25">
      <c r="A204" s="97" t="str">
        <f>'Snapshot (Value)'!A208</f>
        <v>TORNTPOWER</v>
      </c>
      <c r="B204" s="140">
        <f>VLOOKUP($A204,'Data shares'!$C:$FB,7)</f>
        <v>1506</v>
      </c>
      <c r="C204" s="140">
        <f>VLOOKUP($A204,'Data shares'!$C:$FB,3)</f>
        <v>1503.2</v>
      </c>
      <c r="D204" s="140">
        <f>VLOOKUP($A204,'Data shares'!$C:$FB,4)</f>
        <v>1443.3</v>
      </c>
      <c r="E204" s="50">
        <f t="shared" si="15"/>
        <v>4.1502113212776335</v>
      </c>
      <c r="F204" s="49">
        <f>VLOOKUP($A204,'Data shares'!$C:$FB,98)</f>
        <v>6360550</v>
      </c>
      <c r="G204" s="49">
        <f>VLOOKUP($A204,'Data shares'!$C:$FB,99)</f>
        <v>6216475</v>
      </c>
      <c r="H204" s="50">
        <f t="shared" si="16"/>
        <v>2.3176317768510288</v>
      </c>
      <c r="I204" s="49">
        <f>VLOOKUP($A204,'Data shares'!$C:$FB,66)</f>
        <v>10727425</v>
      </c>
      <c r="J204" s="49">
        <f>VLOOKUP($A204,'Data shares'!$C:$FB,67)</f>
        <v>1862350</v>
      </c>
      <c r="K204" s="50">
        <f t="shared" si="17"/>
        <v>82.639356602353303</v>
      </c>
      <c r="L204" s="50">
        <f>VLOOKUP($A204,'Data shares'!$C:$FB,118)</f>
        <v>0.62</v>
      </c>
      <c r="M204" s="50">
        <f>VLOOKUP($A204,'Data shares'!$C:$FB,119)</f>
        <v>0.55000000000000004</v>
      </c>
      <c r="N204" s="50">
        <f>VLOOKUP($A204,'Data shares'!$C:$FB,121)*100</f>
        <v>12.73</v>
      </c>
      <c r="O204" s="50">
        <f>VLOOKUP($A204,'Data shares'!$C:$FB,124)</f>
        <v>0.23</v>
      </c>
      <c r="P204" s="50">
        <f>VLOOKUP($A204,'Data shares'!$C:$FB,125)</f>
        <v>0.27</v>
      </c>
      <c r="Q204" s="50">
        <f>VLOOKUP($A204,'Data shares'!$C:$FB,127)*100</f>
        <v>-14.81</v>
      </c>
    </row>
    <row r="205" spans="1:17" x14ac:dyDescent="0.25">
      <c r="A205" s="97" t="str">
        <f>'Snapshot (Value)'!A209</f>
        <v>TRENT</v>
      </c>
      <c r="B205" s="140">
        <f>VLOOKUP($A205,'Data shares'!$C:$FB,7)</f>
        <v>3533.6</v>
      </c>
      <c r="C205" s="140">
        <f>VLOOKUP($A205,'Data shares'!$C:$FB,3)</f>
        <v>3537.1</v>
      </c>
      <c r="D205" s="140">
        <f>VLOOKUP($A205,'Data shares'!$C:$FB,4)</f>
        <v>3629.3</v>
      </c>
      <c r="E205" s="50">
        <f t="shared" si="15"/>
        <v>-2.5404347945884953</v>
      </c>
      <c r="F205" s="49">
        <f>VLOOKUP($A205,'Data shares'!$C:$FB,98)</f>
        <v>11047700</v>
      </c>
      <c r="G205" s="49">
        <f>VLOOKUP($A205,'Data shares'!$C:$FB,99)</f>
        <v>10611400</v>
      </c>
      <c r="H205" s="50">
        <f t="shared" si="16"/>
        <v>4.1116158094125188</v>
      </c>
      <c r="I205" s="49">
        <f>VLOOKUP($A205,'Data shares'!$C:$FB,66)</f>
        <v>6344800</v>
      </c>
      <c r="J205" s="49">
        <f>VLOOKUP($A205,'Data shares'!$C:$FB,67)</f>
        <v>4015500</v>
      </c>
      <c r="K205" s="50">
        <f t="shared" si="17"/>
        <v>36.711953095448244</v>
      </c>
      <c r="L205" s="50">
        <f>VLOOKUP($A205,'Data shares'!$C:$FB,118)</f>
        <v>0.55000000000000004</v>
      </c>
      <c r="M205" s="50">
        <f>VLOOKUP($A205,'Data shares'!$C:$FB,119)</f>
        <v>0.57999999999999996</v>
      </c>
      <c r="N205" s="50">
        <f>VLOOKUP($A205,'Data shares'!$C:$FB,121)*100</f>
        <v>-5.17</v>
      </c>
      <c r="O205" s="50">
        <f>VLOOKUP($A205,'Data shares'!$C:$FB,124)</f>
        <v>0.57999999999999996</v>
      </c>
      <c r="P205" s="50">
        <f>VLOOKUP($A205,'Data shares'!$C:$FB,125)</f>
        <v>0.51</v>
      </c>
      <c r="Q205" s="50">
        <f>VLOOKUP($A205,'Data shares'!$C:$FB,127)*100</f>
        <v>13.73</v>
      </c>
    </row>
    <row r="206" spans="1:17" x14ac:dyDescent="0.25">
      <c r="A206" s="97" t="str">
        <f>'Snapshot (Value)'!A210</f>
        <v>TVSMOTOR</v>
      </c>
      <c r="B206" s="140">
        <f>VLOOKUP($A206,'Data shares'!$C:$FB,7)</f>
        <v>3422.6</v>
      </c>
      <c r="C206" s="140">
        <f>VLOOKUP($A206,'Data shares'!$C:$FB,3)</f>
        <v>3426.6</v>
      </c>
      <c r="D206" s="140">
        <f>VLOOKUP($A206,'Data shares'!$C:$FB,4)</f>
        <v>3597.2</v>
      </c>
      <c r="E206" s="50">
        <f t="shared" si="15"/>
        <v>-4.7425775603246949</v>
      </c>
      <c r="F206" s="49">
        <f>VLOOKUP($A206,'Data shares'!$C:$FB,98)</f>
        <v>13317500</v>
      </c>
      <c r="G206" s="49">
        <f>VLOOKUP($A206,'Data shares'!$C:$FB,99)</f>
        <v>12229875</v>
      </c>
      <c r="H206" s="50">
        <f t="shared" si="16"/>
        <v>8.8931816555770187</v>
      </c>
      <c r="I206" s="49">
        <f>VLOOKUP($A206,'Data shares'!$C:$FB,66)</f>
        <v>10740100</v>
      </c>
      <c r="J206" s="49">
        <f>VLOOKUP($A206,'Data shares'!$C:$FB,67)</f>
        <v>9378425</v>
      </c>
      <c r="K206" s="50">
        <f t="shared" si="17"/>
        <v>12.678420126442024</v>
      </c>
      <c r="L206" s="50">
        <f>VLOOKUP($A206,'Data shares'!$C:$FB,118)</f>
        <v>0.61</v>
      </c>
      <c r="M206" s="50">
        <f>VLOOKUP($A206,'Data shares'!$C:$FB,119)</f>
        <v>0.69</v>
      </c>
      <c r="N206" s="50">
        <f>VLOOKUP($A206,'Data shares'!$C:$FB,121)*100</f>
        <v>-11.59</v>
      </c>
      <c r="O206" s="50">
        <f>VLOOKUP($A206,'Data shares'!$C:$FB,124)</f>
        <v>0.94</v>
      </c>
      <c r="P206" s="50">
        <f>VLOOKUP($A206,'Data shares'!$C:$FB,125)</f>
        <v>1.02</v>
      </c>
      <c r="Q206" s="50">
        <f>VLOOKUP($A206,'Data shares'!$C:$FB,127)*100</f>
        <v>-7.84</v>
      </c>
    </row>
    <row r="207" spans="1:17" x14ac:dyDescent="0.25">
      <c r="A207" s="97" t="str">
        <f>'Snapshot (Value)'!A211</f>
        <v>ULTRACEMCO</v>
      </c>
      <c r="B207" s="140">
        <f>VLOOKUP($A207,'Data shares'!$C:$FB,7)</f>
        <v>11089</v>
      </c>
      <c r="C207" s="140">
        <f>VLOOKUP($A207,'Data shares'!$C:$FB,3)</f>
        <v>11130</v>
      </c>
      <c r="D207" s="140">
        <f>VLOOKUP($A207,'Data shares'!$C:$FB,4)</f>
        <v>11472</v>
      </c>
      <c r="E207" s="50">
        <f t="shared" si="15"/>
        <v>-2.981171548117155</v>
      </c>
      <c r="F207" s="49">
        <f>VLOOKUP($A207,'Data shares'!$C:$FB,98)</f>
        <v>3450950</v>
      </c>
      <c r="G207" s="49">
        <f>VLOOKUP($A207,'Data shares'!$C:$FB,99)</f>
        <v>3358350</v>
      </c>
      <c r="H207" s="50">
        <f t="shared" si="16"/>
        <v>2.7573064153527773</v>
      </c>
      <c r="I207" s="49">
        <f>VLOOKUP($A207,'Data shares'!$C:$FB,66)</f>
        <v>1651800</v>
      </c>
      <c r="J207" s="49">
        <f>VLOOKUP($A207,'Data shares'!$C:$FB,67)</f>
        <v>1074400</v>
      </c>
      <c r="K207" s="50">
        <f t="shared" si="17"/>
        <v>34.955805787625621</v>
      </c>
      <c r="L207" s="50">
        <f>VLOOKUP($A207,'Data shares'!$C:$FB,118)</f>
        <v>0.45</v>
      </c>
      <c r="M207" s="50">
        <f>VLOOKUP($A207,'Data shares'!$C:$FB,119)</f>
        <v>0.48</v>
      </c>
      <c r="N207" s="50">
        <f>VLOOKUP($A207,'Data shares'!$C:$FB,121)*100</f>
        <v>-6.25</v>
      </c>
      <c r="O207" s="50">
        <f>VLOOKUP($A207,'Data shares'!$C:$FB,124)</f>
        <v>0.42</v>
      </c>
      <c r="P207" s="50">
        <f>VLOOKUP($A207,'Data shares'!$C:$FB,125)</f>
        <v>0.44</v>
      </c>
      <c r="Q207" s="50">
        <f>VLOOKUP($A207,'Data shares'!$C:$FB,127)*100</f>
        <v>-4.55</v>
      </c>
    </row>
    <row r="208" spans="1:17" x14ac:dyDescent="0.25">
      <c r="A208" s="97" t="str">
        <f>'Snapshot (Value)'!A212</f>
        <v>UNIONBANK</v>
      </c>
      <c r="B208" s="140">
        <f>VLOOKUP($A208,'Data shares'!$C:$FB,7)</f>
        <v>182.1</v>
      </c>
      <c r="C208" s="140">
        <f>VLOOKUP($A208,'Data shares'!$C:$FB,3)</f>
        <v>182.7</v>
      </c>
      <c r="D208" s="140">
        <f>VLOOKUP($A208,'Data shares'!$C:$FB,4)</f>
        <v>181.55</v>
      </c>
      <c r="E208" s="50">
        <f t="shared" si="15"/>
        <v>0.63343431561552033</v>
      </c>
      <c r="F208" s="49">
        <f>VLOOKUP($A208,'Data shares'!$C:$FB,98)</f>
        <v>156025500</v>
      </c>
      <c r="G208" s="49">
        <f>VLOOKUP($A208,'Data shares'!$C:$FB,99)</f>
        <v>150153525</v>
      </c>
      <c r="H208" s="50">
        <f t="shared" si="16"/>
        <v>3.9106474523325376</v>
      </c>
      <c r="I208" s="49">
        <f>VLOOKUP($A208,'Data shares'!$C:$FB,66)</f>
        <v>81358050</v>
      </c>
      <c r="J208" s="49">
        <f>VLOOKUP($A208,'Data shares'!$C:$FB,67)</f>
        <v>66003300</v>
      </c>
      <c r="K208" s="50">
        <f t="shared" si="17"/>
        <v>18.873055585771784</v>
      </c>
      <c r="L208" s="50">
        <f>VLOOKUP($A208,'Data shares'!$C:$FB,118)</f>
        <v>0.73</v>
      </c>
      <c r="M208" s="50">
        <f>VLOOKUP($A208,'Data shares'!$C:$FB,119)</f>
        <v>0.75</v>
      </c>
      <c r="N208" s="50">
        <f>VLOOKUP($A208,'Data shares'!$C:$FB,121)*100</f>
        <v>-2.67</v>
      </c>
      <c r="O208" s="50">
        <f>VLOOKUP($A208,'Data shares'!$C:$FB,124)</f>
        <v>0.41</v>
      </c>
      <c r="P208" s="50">
        <f>VLOOKUP($A208,'Data shares'!$C:$FB,125)</f>
        <v>0.41</v>
      </c>
      <c r="Q208" s="50">
        <f>VLOOKUP($A208,'Data shares'!$C:$FB,127)*100</f>
        <v>0</v>
      </c>
    </row>
    <row r="209" spans="1:17" x14ac:dyDescent="0.25">
      <c r="A209" s="97" t="str">
        <f>'Snapshot (Value)'!A213</f>
        <v>UNITDSPR</v>
      </c>
      <c r="B209" s="140">
        <f>VLOOKUP($A209,'Data shares'!$C:$FB,7)</f>
        <v>1363.5</v>
      </c>
      <c r="C209" s="140">
        <f>VLOOKUP($A209,'Data shares'!$C:$FB,3)</f>
        <v>1365</v>
      </c>
      <c r="D209" s="140">
        <f>VLOOKUP($A209,'Data shares'!$C:$FB,4)</f>
        <v>1386.1</v>
      </c>
      <c r="E209" s="50">
        <f t="shared" si="15"/>
        <v>-1.5222566914363977</v>
      </c>
      <c r="F209" s="49">
        <f>VLOOKUP($A209,'Data shares'!$C:$FB,98)</f>
        <v>15869200</v>
      </c>
      <c r="G209" s="49">
        <f>VLOOKUP($A209,'Data shares'!$C:$FB,99)</f>
        <v>15520800</v>
      </c>
      <c r="H209" s="50">
        <f t="shared" si="16"/>
        <v>2.2447296531106642</v>
      </c>
      <c r="I209" s="49">
        <f>VLOOKUP($A209,'Data shares'!$C:$FB,66)</f>
        <v>5731200</v>
      </c>
      <c r="J209" s="49">
        <f>VLOOKUP($A209,'Data shares'!$C:$FB,67)</f>
        <v>4900000</v>
      </c>
      <c r="K209" s="50">
        <f t="shared" si="17"/>
        <v>14.503070910106086</v>
      </c>
      <c r="L209" s="50">
        <f>VLOOKUP($A209,'Data shares'!$C:$FB,118)</f>
        <v>0.8</v>
      </c>
      <c r="M209" s="50">
        <f>VLOOKUP($A209,'Data shares'!$C:$FB,119)</f>
        <v>0.78</v>
      </c>
      <c r="N209" s="50">
        <f>VLOOKUP($A209,'Data shares'!$C:$FB,121)*100</f>
        <v>2.56</v>
      </c>
      <c r="O209" s="50">
        <f>VLOOKUP($A209,'Data shares'!$C:$FB,124)</f>
        <v>0.62</v>
      </c>
      <c r="P209" s="50">
        <f>VLOOKUP($A209,'Data shares'!$C:$FB,125)</f>
        <v>0.72</v>
      </c>
      <c r="Q209" s="50">
        <f>VLOOKUP($A209,'Data shares'!$C:$FB,127)*100</f>
        <v>-13.889999999999999</v>
      </c>
    </row>
    <row r="210" spans="1:17" x14ac:dyDescent="0.25">
      <c r="A210" s="97" t="str">
        <f>'Snapshot (Value)'!A214</f>
        <v>UNOMINDA</v>
      </c>
      <c r="B210" s="140">
        <f>VLOOKUP($A210,'Data shares'!$C:$FB,7)</f>
        <v>1068.5</v>
      </c>
      <c r="C210" s="140">
        <f>VLOOKUP($A210,'Data shares'!$C:$FB,3)</f>
        <v>1069.5</v>
      </c>
      <c r="D210" s="140">
        <f>VLOOKUP($A210,'Data shares'!$C:$FB,4)</f>
        <v>1082.5999999999999</v>
      </c>
      <c r="E210" s="50">
        <f t="shared" ref="E210:E217" si="18">(C210-D210)/D210*100</f>
        <v>-1.2100498799187061</v>
      </c>
      <c r="F210" s="49">
        <f>VLOOKUP($A210,'Data shares'!$C:$FB,98)</f>
        <v>9225150</v>
      </c>
      <c r="G210" s="49">
        <f>VLOOKUP($A210,'Data shares'!$C:$FB,99)</f>
        <v>9145400</v>
      </c>
      <c r="H210" s="50">
        <f t="shared" ref="H210:H217" si="19">(F210-G210)/G210*100</f>
        <v>0.87202309357709895</v>
      </c>
      <c r="I210" s="49">
        <f>VLOOKUP($A210,'Data shares'!$C:$FB,66)</f>
        <v>4157450</v>
      </c>
      <c r="J210" s="49">
        <f>VLOOKUP($A210,'Data shares'!$C:$FB,67)</f>
        <v>3126200</v>
      </c>
      <c r="K210" s="50">
        <f t="shared" ref="K210:K217" si="20">(I210-J210)/I210*100</f>
        <v>24.804868368831855</v>
      </c>
      <c r="L210" s="50">
        <f>VLOOKUP($A210,'Data shares'!$C:$FB,118)</f>
        <v>0.7</v>
      </c>
      <c r="M210" s="50">
        <f>VLOOKUP($A210,'Data shares'!$C:$FB,119)</f>
        <v>0.76</v>
      </c>
      <c r="N210" s="50">
        <f>VLOOKUP($A210,'Data shares'!$C:$FB,121)*100</f>
        <v>-7.89</v>
      </c>
      <c r="O210" s="50">
        <f>VLOOKUP($A210,'Data shares'!$C:$FB,124)</f>
        <v>0.74</v>
      </c>
      <c r="P210" s="50">
        <f>VLOOKUP($A210,'Data shares'!$C:$FB,125)</f>
        <v>0.69</v>
      </c>
      <c r="Q210" s="50">
        <f>VLOOKUP($A210,'Data shares'!$C:$FB,127)*100</f>
        <v>7.2499999999999991</v>
      </c>
    </row>
    <row r="211" spans="1:17" x14ac:dyDescent="0.25">
      <c r="A211" s="97" t="str">
        <f>'Snapshot (Value)'!A215</f>
        <v>UPL</v>
      </c>
      <c r="B211" s="140">
        <f>VLOOKUP($A211,'Data shares'!$C:$FB,7)</f>
        <v>629.04999999999995</v>
      </c>
      <c r="C211" s="140">
        <f>VLOOKUP($A211,'Data shares'!$C:$FB,3)</f>
        <v>629.70000000000005</v>
      </c>
      <c r="D211" s="140">
        <f>VLOOKUP($A211,'Data shares'!$C:$FB,4)</f>
        <v>626.25</v>
      </c>
      <c r="E211" s="50">
        <f t="shared" si="18"/>
        <v>0.5508982035928216</v>
      </c>
      <c r="F211" s="49">
        <f>VLOOKUP($A211,'Data shares'!$C:$FB,98)</f>
        <v>59903195</v>
      </c>
      <c r="G211" s="49">
        <f>VLOOKUP($A211,'Data shares'!$C:$FB,99)</f>
        <v>60890990</v>
      </c>
      <c r="H211" s="50">
        <f t="shared" si="19"/>
        <v>-1.6222350794427878</v>
      </c>
      <c r="I211" s="49">
        <f>VLOOKUP($A211,'Data shares'!$C:$FB,66)</f>
        <v>14204465</v>
      </c>
      <c r="J211" s="49">
        <f>VLOOKUP($A211,'Data shares'!$C:$FB,67)</f>
        <v>14048640</v>
      </c>
      <c r="K211" s="50">
        <f t="shared" si="20"/>
        <v>1.0970142134885053</v>
      </c>
      <c r="L211" s="50">
        <f>VLOOKUP($A211,'Data shares'!$C:$FB,118)</f>
        <v>0.48</v>
      </c>
      <c r="M211" s="50">
        <f>VLOOKUP($A211,'Data shares'!$C:$FB,119)</f>
        <v>0.47</v>
      </c>
      <c r="N211" s="50">
        <f>VLOOKUP($A211,'Data shares'!$C:$FB,121)*100</f>
        <v>2.13</v>
      </c>
      <c r="O211" s="50">
        <f>VLOOKUP($A211,'Data shares'!$C:$FB,124)</f>
        <v>0.54</v>
      </c>
      <c r="P211" s="50">
        <f>VLOOKUP($A211,'Data shares'!$C:$FB,125)</f>
        <v>0.52</v>
      </c>
      <c r="Q211" s="50">
        <f>VLOOKUP($A211,'Data shares'!$C:$FB,127)*100</f>
        <v>3.85</v>
      </c>
    </row>
    <row r="212" spans="1:17" x14ac:dyDescent="0.25">
      <c r="A212" s="97" t="str">
        <f>'Snapshot (Value)'!A216</f>
        <v>VBL</v>
      </c>
      <c r="B212" s="140">
        <f>VLOOKUP($A212,'Data shares'!$C:$FB,7)</f>
        <v>411.05</v>
      </c>
      <c r="C212" s="140">
        <f>VLOOKUP($A212,'Data shares'!$C:$FB,3)</f>
        <v>412.05</v>
      </c>
      <c r="D212" s="140">
        <f>VLOOKUP($A212,'Data shares'!$C:$FB,4)</f>
        <v>431.4</v>
      </c>
      <c r="E212" s="50">
        <f t="shared" si="18"/>
        <v>-4.4853963838664734</v>
      </c>
      <c r="F212" s="49">
        <f>VLOOKUP($A212,'Data shares'!$C:$FB,98)</f>
        <v>68100750</v>
      </c>
      <c r="G212" s="49">
        <f>VLOOKUP($A212,'Data shares'!$C:$FB,99)</f>
        <v>62012250</v>
      </c>
      <c r="H212" s="50">
        <f t="shared" si="19"/>
        <v>9.8182213998040702</v>
      </c>
      <c r="I212" s="49">
        <f>VLOOKUP($A212,'Data shares'!$C:$FB,66)</f>
        <v>50157000</v>
      </c>
      <c r="J212" s="49">
        <f>VLOOKUP($A212,'Data shares'!$C:$FB,67)</f>
        <v>21490875</v>
      </c>
      <c r="K212" s="50">
        <f t="shared" si="20"/>
        <v>57.152790238650638</v>
      </c>
      <c r="L212" s="50">
        <f>VLOOKUP($A212,'Data shares'!$C:$FB,118)</f>
        <v>0.54</v>
      </c>
      <c r="M212" s="50">
        <f>VLOOKUP($A212,'Data shares'!$C:$FB,119)</f>
        <v>0.59</v>
      </c>
      <c r="N212" s="50">
        <f>VLOOKUP($A212,'Data shares'!$C:$FB,121)*100</f>
        <v>-8.4699999999999989</v>
      </c>
      <c r="O212" s="50">
        <f>VLOOKUP($A212,'Data shares'!$C:$FB,124)</f>
        <v>0.72</v>
      </c>
      <c r="P212" s="50">
        <f>VLOOKUP($A212,'Data shares'!$C:$FB,125)</f>
        <v>0.3</v>
      </c>
      <c r="Q212" s="50">
        <f>VLOOKUP($A212,'Data shares'!$C:$FB,127)*100</f>
        <v>140</v>
      </c>
    </row>
    <row r="213" spans="1:17" x14ac:dyDescent="0.25">
      <c r="A213" s="97" t="str">
        <f>'Snapshot (Value)'!A217</f>
        <v>VEDL</v>
      </c>
      <c r="B213" s="140">
        <f>VLOOKUP($A213,'Data shares'!$C:$FB,7)</f>
        <v>719.6</v>
      </c>
      <c r="C213" s="140">
        <f>VLOOKUP($A213,'Data shares'!$C:$FB,3)</f>
        <v>718.9</v>
      </c>
      <c r="D213" s="140">
        <f>VLOOKUP($A213,'Data shares'!$C:$FB,4)</f>
        <v>717.35</v>
      </c>
      <c r="E213" s="50">
        <f t="shared" si="18"/>
        <v>0.21607304662995111</v>
      </c>
      <c r="F213" s="49">
        <f>VLOOKUP($A213,'Data shares'!$C:$FB,98)</f>
        <v>126731150</v>
      </c>
      <c r="G213" s="49">
        <f>VLOOKUP($A213,'Data shares'!$C:$FB,99)</f>
        <v>124756600</v>
      </c>
      <c r="H213" s="50">
        <f t="shared" si="19"/>
        <v>1.5827218760370194</v>
      </c>
      <c r="I213" s="49">
        <f>VLOOKUP($A213,'Data shares'!$C:$FB,66)</f>
        <v>78683000</v>
      </c>
      <c r="J213" s="49">
        <f>VLOOKUP($A213,'Data shares'!$C:$FB,67)</f>
        <v>119726500</v>
      </c>
      <c r="K213" s="50">
        <f t="shared" si="20"/>
        <v>-52.163110201695403</v>
      </c>
      <c r="L213" s="50">
        <f>VLOOKUP($A213,'Data shares'!$C:$FB,118)</f>
        <v>0.64</v>
      </c>
      <c r="M213" s="50">
        <f>VLOOKUP($A213,'Data shares'!$C:$FB,119)</f>
        <v>0.65</v>
      </c>
      <c r="N213" s="50">
        <f>VLOOKUP($A213,'Data shares'!$C:$FB,121)*100</f>
        <v>-1.54</v>
      </c>
      <c r="O213" s="50">
        <f>VLOOKUP($A213,'Data shares'!$C:$FB,124)</f>
        <v>0.5</v>
      </c>
      <c r="P213" s="50">
        <f>VLOOKUP($A213,'Data shares'!$C:$FB,125)</f>
        <v>0.42</v>
      </c>
      <c r="Q213" s="50">
        <f>VLOOKUP($A213,'Data shares'!$C:$FB,127)*100</f>
        <v>19.05</v>
      </c>
    </row>
    <row r="214" spans="1:17" x14ac:dyDescent="0.25">
      <c r="A214" s="97" t="str">
        <f>'Snapshot (Value)'!A218</f>
        <v>VOLTAS</v>
      </c>
      <c r="B214" s="140">
        <f>VLOOKUP($A214,'Data shares'!$C:$FB,7)</f>
        <v>1449.4</v>
      </c>
      <c r="C214" s="140">
        <f>VLOOKUP($A214,'Data shares'!$C:$FB,3)</f>
        <v>1445.7</v>
      </c>
      <c r="D214" s="140">
        <f>VLOOKUP($A214,'Data shares'!$C:$FB,4)</f>
        <v>1463.4</v>
      </c>
      <c r="E214" s="50">
        <f t="shared" si="18"/>
        <v>-1.2095120951209544</v>
      </c>
      <c r="F214" s="49">
        <f>VLOOKUP($A214,'Data shares'!$C:$FB,98)</f>
        <v>19865625</v>
      </c>
      <c r="G214" s="49">
        <f>VLOOKUP($A214,'Data shares'!$C:$FB,99)</f>
        <v>19394250</v>
      </c>
      <c r="H214" s="50">
        <f t="shared" si="19"/>
        <v>2.430488417958931</v>
      </c>
      <c r="I214" s="49">
        <f>VLOOKUP($A214,'Data shares'!$C:$FB,66)</f>
        <v>13006875</v>
      </c>
      <c r="J214" s="49">
        <f>VLOOKUP($A214,'Data shares'!$C:$FB,67)</f>
        <v>24123000</v>
      </c>
      <c r="K214" s="50">
        <f t="shared" si="20"/>
        <v>-85.463456825717159</v>
      </c>
      <c r="L214" s="50">
        <f>VLOOKUP($A214,'Data shares'!$C:$FB,118)</f>
        <v>0.63</v>
      </c>
      <c r="M214" s="50">
        <f>VLOOKUP($A214,'Data shares'!$C:$FB,119)</f>
        <v>0.64</v>
      </c>
      <c r="N214" s="50">
        <f>VLOOKUP($A214,'Data shares'!$C:$FB,121)*100</f>
        <v>-1.5599999999999998</v>
      </c>
      <c r="O214" s="50">
        <f>VLOOKUP($A214,'Data shares'!$C:$FB,124)</f>
        <v>0.34</v>
      </c>
      <c r="P214" s="50">
        <f>VLOOKUP($A214,'Data shares'!$C:$FB,125)</f>
        <v>0.3</v>
      </c>
      <c r="Q214" s="50">
        <f>VLOOKUP($A214,'Data shares'!$C:$FB,127)*100</f>
        <v>13.33</v>
      </c>
    </row>
    <row r="215" spans="1:17" x14ac:dyDescent="0.25">
      <c r="A215" s="97" t="str">
        <f>'Snapshot (Value)'!A219</f>
        <v>WAAREEENER</v>
      </c>
      <c r="B215" s="140">
        <f>VLOOKUP($A215,'Data shares'!$C:$FB,7)</f>
        <v>2739.4</v>
      </c>
      <c r="C215" s="140">
        <f>VLOOKUP($A215,'Data shares'!$C:$FB,3)</f>
        <v>2749.1</v>
      </c>
      <c r="D215" s="140">
        <f>VLOOKUP($A215,'Data shares'!$C:$FB,4)</f>
        <v>2691.4</v>
      </c>
      <c r="E215" s="50">
        <f t="shared" si="18"/>
        <v>2.1438656461321175</v>
      </c>
      <c r="F215" s="49">
        <f>VLOOKUP($A215,'Data shares'!$C:$FB,98)</f>
        <v>8275575</v>
      </c>
      <c r="G215" s="49">
        <f>VLOOKUP($A215,'Data shares'!$C:$FB,99)</f>
        <v>8482950</v>
      </c>
      <c r="H215" s="50">
        <f t="shared" si="19"/>
        <v>-2.4446094813714572</v>
      </c>
      <c r="I215" s="49">
        <f>VLOOKUP($A215,'Data shares'!$C:$FB,66)</f>
        <v>6034525</v>
      </c>
      <c r="J215" s="49">
        <f>VLOOKUP($A215,'Data shares'!$C:$FB,67)</f>
        <v>7073325</v>
      </c>
      <c r="K215" s="50">
        <f t="shared" si="20"/>
        <v>-17.214279500043499</v>
      </c>
      <c r="L215" s="50">
        <f>VLOOKUP($A215,'Data shares'!$C:$FB,118)</f>
        <v>0.62</v>
      </c>
      <c r="M215" s="50">
        <f>VLOOKUP($A215,'Data shares'!$C:$FB,119)</f>
        <v>0.61</v>
      </c>
      <c r="N215" s="50">
        <f>VLOOKUP($A215,'Data shares'!$C:$FB,121)*100</f>
        <v>1.6400000000000001</v>
      </c>
      <c r="O215" s="50">
        <f>VLOOKUP($A215,'Data shares'!$C:$FB,124)</f>
        <v>0.44</v>
      </c>
      <c r="P215" s="50">
        <f>VLOOKUP($A215,'Data shares'!$C:$FB,125)</f>
        <v>0.28000000000000003</v>
      </c>
      <c r="Q215" s="50">
        <f>VLOOKUP($A215,'Data shares'!$C:$FB,127)*100</f>
        <v>57.14</v>
      </c>
    </row>
    <row r="216" spans="1:17" x14ac:dyDescent="0.25">
      <c r="A216" s="97" t="str">
        <f>'Snapshot (Value)'!A220</f>
        <v>WIPRO</v>
      </c>
      <c r="B216" s="140">
        <f>VLOOKUP($A216,'Data shares'!$C:$FB,7)</f>
        <v>202.51</v>
      </c>
      <c r="C216" s="140">
        <f>VLOOKUP($A216,'Data shares'!$C:$FB,3)</f>
        <v>201.83</v>
      </c>
      <c r="D216" s="140">
        <f>VLOOKUP($A216,'Data shares'!$C:$FB,4)</f>
        <v>201.68</v>
      </c>
      <c r="E216" s="50">
        <f t="shared" si="18"/>
        <v>7.4375247917495863E-2</v>
      </c>
      <c r="F216" s="49">
        <f>VLOOKUP($A216,'Data shares'!$C:$FB,98)</f>
        <v>324804000</v>
      </c>
      <c r="G216" s="49">
        <f>VLOOKUP($A216,'Data shares'!$C:$FB,99)</f>
        <v>313428000</v>
      </c>
      <c r="H216" s="50">
        <f t="shared" si="19"/>
        <v>3.6295417129292851</v>
      </c>
      <c r="I216" s="49">
        <f>VLOOKUP($A216,'Data shares'!$C:$FB,66)</f>
        <v>121494000</v>
      </c>
      <c r="J216" s="49">
        <f>VLOOKUP($A216,'Data shares'!$C:$FB,67)</f>
        <v>181593000</v>
      </c>
      <c r="K216" s="50">
        <f t="shared" si="20"/>
        <v>-49.466640327917425</v>
      </c>
      <c r="L216" s="50">
        <f>VLOOKUP($A216,'Data shares'!$C:$FB,118)</f>
        <v>0.53</v>
      </c>
      <c r="M216" s="50">
        <f>VLOOKUP($A216,'Data shares'!$C:$FB,119)</f>
        <v>0.54</v>
      </c>
      <c r="N216" s="50">
        <f>VLOOKUP($A216,'Data shares'!$C:$FB,121)*100</f>
        <v>-1.8499999999999999</v>
      </c>
      <c r="O216" s="50">
        <f>VLOOKUP($A216,'Data shares'!$C:$FB,124)</f>
        <v>0.44</v>
      </c>
      <c r="P216" s="50">
        <f>VLOOKUP($A216,'Data shares'!$C:$FB,125)</f>
        <v>0.3</v>
      </c>
      <c r="Q216" s="50">
        <f>VLOOKUP($A216,'Data shares'!$C:$FB,127)*100</f>
        <v>46.67</v>
      </c>
    </row>
    <row r="217" spans="1:17" x14ac:dyDescent="0.25">
      <c r="A217" s="97" t="str">
        <f>'Snapshot (Value)'!A221</f>
        <v>ZYDUSLIFE</v>
      </c>
      <c r="B217" s="140">
        <f>VLOOKUP($A217,'Data shares'!$C:$FB,7)</f>
        <v>916.9</v>
      </c>
      <c r="C217" s="140">
        <f>VLOOKUP($A217,'Data shares'!$C:$FB,3)</f>
        <v>920.9</v>
      </c>
      <c r="D217" s="140">
        <f>VLOOKUP($A217,'Data shares'!$C:$FB,4)</f>
        <v>924.9</v>
      </c>
      <c r="E217" s="50">
        <f t="shared" si="18"/>
        <v>-0.43247918693912851</v>
      </c>
      <c r="F217" s="49">
        <f>VLOOKUP($A217,'Data shares'!$C:$FB,98)</f>
        <v>16652700</v>
      </c>
      <c r="G217" s="49">
        <f>VLOOKUP($A217,'Data shares'!$C:$FB,99)</f>
        <v>16422300</v>
      </c>
      <c r="H217" s="50">
        <f t="shared" si="19"/>
        <v>1.4029703512906231</v>
      </c>
      <c r="I217" s="49">
        <f>VLOOKUP($A217,'Data shares'!$C:$FB,66)</f>
        <v>4365000</v>
      </c>
      <c r="J217" s="49">
        <f>VLOOKUP($A217,'Data shares'!$C:$FB,67)</f>
        <v>6585300</v>
      </c>
      <c r="K217" s="50">
        <f t="shared" si="20"/>
        <v>-50.865979381443296</v>
      </c>
      <c r="L217" s="50">
        <f>VLOOKUP($A217,'Data shares'!$C:$FB,118)</f>
        <v>0.52</v>
      </c>
      <c r="M217" s="50">
        <f>VLOOKUP($A217,'Data shares'!$C:$FB,119)</f>
        <v>0.56000000000000005</v>
      </c>
      <c r="N217" s="50">
        <f>VLOOKUP($A217,'Data shares'!$C:$FB,121)*100</f>
        <v>-7.1400000000000006</v>
      </c>
      <c r="O217" s="50">
        <f>VLOOKUP($A217,'Data shares'!$C:$FB,124)</f>
        <v>0.36</v>
      </c>
      <c r="P217" s="50">
        <f>VLOOKUP($A217,'Data shares'!$C:$FB,125)</f>
        <v>0.36</v>
      </c>
      <c r="Q217" s="50">
        <f>VLOOKUP($A217,'Data shares'!$C:$FB,127)*100</f>
        <v>0</v>
      </c>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5" t="s">
        <v>391</v>
      </c>
      <c r="B231" s="265"/>
      <c r="C231" s="265"/>
      <c r="D231" s="265"/>
      <c r="E231" s="265"/>
      <c r="F231" s="113">
        <f>SUM(F7:F221)</f>
        <v>26700980376</v>
      </c>
      <c r="G231" s="113">
        <f>SUM(G7:G223)</f>
        <v>26362763326</v>
      </c>
      <c r="H231" s="114">
        <f>(F231-G231)/G231*100</f>
        <v>1.2829347432878442</v>
      </c>
      <c r="I231" s="113">
        <f>SUM(I7:I222)</f>
        <v>14327656057</v>
      </c>
      <c r="J231" s="113">
        <f>SUM(J7:J223)</f>
        <v>11873588986</v>
      </c>
      <c r="K231" s="114">
        <f>(I231-J231)/J231*100</f>
        <v>20.668283817921942</v>
      </c>
      <c r="L231" s="113"/>
      <c r="M231" s="113"/>
      <c r="N231" s="113"/>
      <c r="O231" s="113"/>
      <c r="P231" s="265"/>
      <c r="Q231" s="265"/>
    </row>
    <row r="232" spans="1:17" s="64" customFormat="1" x14ac:dyDescent="0.25">
      <c r="A232" s="265" t="s">
        <v>398</v>
      </c>
      <c r="B232" s="265"/>
      <c r="C232" s="265"/>
      <c r="D232" s="265"/>
      <c r="E232" s="265"/>
      <c r="F232" s="113">
        <f>F231/10000000</f>
        <v>2670.0980376000002</v>
      </c>
      <c r="G232" s="113">
        <f>G231/10000000</f>
        <v>2636.2763325999999</v>
      </c>
      <c r="H232" s="114">
        <f>(F232-G232)/G232*100</f>
        <v>1.2829347432878553</v>
      </c>
      <c r="I232" s="113">
        <f>I231/10000000</f>
        <v>1432.7656056999999</v>
      </c>
      <c r="J232" s="113">
        <f>J231/10000000</f>
        <v>1187.3588986</v>
      </c>
      <c r="K232" s="114">
        <f>(I232-J232)/J232*100</f>
        <v>20.668283817921935</v>
      </c>
      <c r="L232" s="113"/>
      <c r="M232" s="113"/>
      <c r="N232" s="113"/>
      <c r="O232" s="113"/>
      <c r="P232" s="265"/>
      <c r="Q232" s="265"/>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L3" sqref="L3:L4"/>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(Value)'!H148</f>
        <v>1113725</v>
      </c>
      <c r="C3" s="159">
        <f>'OI(Volume)'!G144</f>
        <v>1.6400000000000001E-2</v>
      </c>
      <c r="D3" s="153">
        <f>'Snapshot (Value)'!P144</f>
        <v>0.48</v>
      </c>
      <c r="E3" s="153">
        <f>'Snapshot (Value)'!R144</f>
        <v>0.37</v>
      </c>
      <c r="F3" s="153">
        <f>IV!E144</f>
        <v>15.05</v>
      </c>
      <c r="G3" s="153">
        <f>IV!B144</f>
        <v>21.15</v>
      </c>
      <c r="H3" s="153">
        <f>'Snapshot (Value)'!C148</f>
        <v>23639.15</v>
      </c>
      <c r="I3" s="153">
        <f>'Snapshot (Value)'!D148</f>
        <v>23728.5</v>
      </c>
      <c r="J3" s="153">
        <f>'Snapshot (Value)'!E148</f>
        <v>23939.1</v>
      </c>
      <c r="K3" s="153">
        <f>(I3-H3)</f>
        <v>89.349999999998545</v>
      </c>
      <c r="L3" s="232">
        <f>'Data Vlaue (Cr)'!V139</f>
        <v>24010.3</v>
      </c>
    </row>
    <row r="4" spans="1:12" x14ac:dyDescent="0.25">
      <c r="A4" t="s">
        <v>464</v>
      </c>
      <c r="B4" s="154">
        <f>'Snapshot (Value)'!H37</f>
        <v>212966</v>
      </c>
      <c r="C4" s="159">
        <f>'OI(Volume)'!G33</f>
        <v>-1.17E-2</v>
      </c>
      <c r="D4" s="153">
        <f>'Snapshot (Value)'!P37</f>
        <v>0.79</v>
      </c>
      <c r="E4" s="153">
        <f>'Snapshot (Value)'!R37</f>
        <v>0.72</v>
      </c>
      <c r="F4" s="153">
        <f>IV!E33</f>
        <v>16.91</v>
      </c>
      <c r="G4" s="153">
        <f>IV!B33</f>
        <v>23.62</v>
      </c>
      <c r="H4" s="153">
        <f>'Snapshot (Value)'!C37</f>
        <v>55100.95</v>
      </c>
      <c r="I4" s="153">
        <f>'Snapshot (Value)'!D37</f>
        <v>55369.8</v>
      </c>
      <c r="J4" s="153">
        <f>'Snapshot (Value)'!E37</f>
        <v>55929.8</v>
      </c>
      <c r="K4" s="153">
        <f>(I4-H4)</f>
        <v>268.85000000000582</v>
      </c>
      <c r="L4" s="232">
        <f>'Data Vlaue (Cr)'!V28</f>
        <v>55909.2</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9" t="s">
        <v>393</v>
      </c>
      <c r="B1" s="331" t="s">
        <v>632</v>
      </c>
      <c r="C1" s="332"/>
      <c r="D1" s="333"/>
      <c r="E1" s="334" t="s">
        <v>633</v>
      </c>
      <c r="F1" s="335"/>
      <c r="G1" s="336"/>
      <c r="H1" s="337" t="s">
        <v>634</v>
      </c>
      <c r="I1" s="338"/>
      <c r="J1" s="339"/>
      <c r="K1" s="340" t="s">
        <v>635</v>
      </c>
      <c r="L1" s="341"/>
      <c r="M1" s="342"/>
    </row>
    <row r="2" spans="1:13" ht="26.25" thickBot="1" x14ac:dyDescent="0.25">
      <c r="A2" s="33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9" t="s">
        <v>641</v>
      </c>
      <c r="B6" s="331" t="s">
        <v>632</v>
      </c>
      <c r="C6" s="332"/>
      <c r="D6" s="333"/>
      <c r="E6" s="334" t="s">
        <v>633</v>
      </c>
      <c r="F6" s="335"/>
      <c r="G6" s="336"/>
      <c r="H6" s="337" t="s">
        <v>634</v>
      </c>
      <c r="I6" s="338"/>
      <c r="J6" s="339"/>
      <c r="K6" s="340" t="s">
        <v>635</v>
      </c>
      <c r="L6" s="341"/>
      <c r="M6" s="342"/>
    </row>
    <row r="7" spans="1:13" ht="26.25" thickBot="1" x14ac:dyDescent="0.25">
      <c r="A7" s="33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9" t="s">
        <v>642</v>
      </c>
      <c r="B11" s="331" t="s">
        <v>632</v>
      </c>
      <c r="C11" s="332"/>
      <c r="D11" s="333"/>
      <c r="E11" s="334" t="s">
        <v>633</v>
      </c>
      <c r="F11" s="335"/>
      <c r="G11" s="336"/>
      <c r="H11" s="337" t="s">
        <v>634</v>
      </c>
      <c r="I11" s="338"/>
      <c r="J11" s="339"/>
      <c r="K11" s="340" t="s">
        <v>635</v>
      </c>
      <c r="L11" s="341"/>
      <c r="M11" s="342"/>
    </row>
    <row r="12" spans="1:13" ht="26.25" thickBot="1" x14ac:dyDescent="0.25">
      <c r="A12" s="33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9" t="s">
        <v>395</v>
      </c>
      <c r="B16" s="331" t="s">
        <v>632</v>
      </c>
      <c r="C16" s="332"/>
      <c r="D16" s="333"/>
      <c r="E16" s="334" t="s">
        <v>633</v>
      </c>
      <c r="F16" s="335"/>
      <c r="G16" s="336"/>
      <c r="H16" s="337" t="s">
        <v>634</v>
      </c>
      <c r="I16" s="338"/>
      <c r="J16" s="339"/>
      <c r="K16" s="340" t="s">
        <v>635</v>
      </c>
      <c r="L16" s="341"/>
      <c r="M16" s="342"/>
    </row>
    <row r="17" spans="1:13" ht="26.25" thickBot="1" x14ac:dyDescent="0.25">
      <c r="A17" s="33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9" t="s">
        <v>643</v>
      </c>
      <c r="B21" s="331" t="s">
        <v>632</v>
      </c>
      <c r="C21" s="332"/>
      <c r="D21" s="333"/>
      <c r="E21" s="334" t="s">
        <v>633</v>
      </c>
      <c r="F21" s="335"/>
      <c r="G21" s="336"/>
      <c r="H21" s="337" t="s">
        <v>634</v>
      </c>
      <c r="I21" s="338"/>
      <c r="J21" s="339"/>
      <c r="K21" s="340" t="s">
        <v>635</v>
      </c>
      <c r="L21" s="341"/>
      <c r="M21" s="342"/>
    </row>
    <row r="22" spans="1:13" ht="26.25" thickBot="1" x14ac:dyDescent="0.25">
      <c r="A22" s="33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9" t="s">
        <v>644</v>
      </c>
      <c r="B26" s="331" t="s">
        <v>632</v>
      </c>
      <c r="C26" s="332"/>
      <c r="D26" s="333"/>
      <c r="E26" s="334" t="s">
        <v>633</v>
      </c>
      <c r="F26" s="335"/>
      <c r="G26" s="336"/>
      <c r="H26" s="337" t="s">
        <v>634</v>
      </c>
      <c r="I26" s="338"/>
      <c r="J26" s="339"/>
      <c r="K26" s="340" t="s">
        <v>635</v>
      </c>
      <c r="L26" s="341"/>
      <c r="M26" s="342"/>
    </row>
    <row r="27" spans="1:13" ht="26.25" thickBot="1" x14ac:dyDescent="0.25">
      <c r="A27" s="33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3719.5</v>
      </c>
      <c r="C3" s="200"/>
      <c r="D3" s="200"/>
    </row>
    <row r="4" spans="1:4" x14ac:dyDescent="0.25">
      <c r="A4" s="217" t="s">
        <v>320</v>
      </c>
      <c r="B4" s="220">
        <f>VLOOKUP($B$1,'Snapshot (Value)'!$A:$S,6,0)</f>
        <v>11.400000000000091</v>
      </c>
      <c r="C4" s="200"/>
      <c r="D4" s="200"/>
    </row>
    <row r="5" spans="1:4" x14ac:dyDescent="0.25">
      <c r="A5" s="221"/>
      <c r="B5" s="222" t="s">
        <v>649</v>
      </c>
      <c r="C5" s="222" t="s">
        <v>650</v>
      </c>
      <c r="D5" s="222" t="s">
        <v>651</v>
      </c>
    </row>
    <row r="6" spans="1:4" x14ac:dyDescent="0.25">
      <c r="A6" s="217" t="s">
        <v>652</v>
      </c>
      <c r="B6" s="219">
        <f>VLOOKUP($B$1,'Snapshot (Value)'!$A:$S,4,0)</f>
        <v>3730.9</v>
      </c>
      <c r="C6" s="219">
        <f>VLOOKUP($B$1,'Snapshot (Value)'!$A:$S,5,0)</f>
        <v>3843.2</v>
      </c>
      <c r="D6" s="219">
        <f>+(B6/C6-1)*100</f>
        <v>-2.9220441298917543</v>
      </c>
    </row>
    <row r="7" spans="1:4" x14ac:dyDescent="0.25">
      <c r="A7" s="217" t="s">
        <v>316</v>
      </c>
      <c r="B7" s="219">
        <f>VLOOKUP($B$1,'Snapshot (Volume)'!$A:$S,12,0)</f>
        <v>0.52</v>
      </c>
      <c r="C7" s="219">
        <f>VLOOKUP($B$1,'Snapshot (Volume)'!$A:$S,13,0)</f>
        <v>0.52</v>
      </c>
      <c r="D7" s="219">
        <f>+(B7/C7-1)*100</f>
        <v>0</v>
      </c>
    </row>
    <row r="8" spans="1:4" x14ac:dyDescent="0.25">
      <c r="A8" s="217" t="s">
        <v>653</v>
      </c>
      <c r="B8" s="219">
        <f>VLOOKUP($B$1,'Snapshot (Volume)'!$A:$S,15,0)</f>
        <v>0.61</v>
      </c>
      <c r="C8" s="219">
        <f>VLOOKUP($B$1,'Snapshot (Volume)'!$A:$S,16,0)</f>
        <v>0.64</v>
      </c>
      <c r="D8" s="219">
        <f>+(B8/C8-1)*100</f>
        <v>-4.6875</v>
      </c>
    </row>
    <row r="9" spans="1:4" x14ac:dyDescent="0.25">
      <c r="A9" s="215" t="s">
        <v>654</v>
      </c>
      <c r="B9" s="222" t="s">
        <v>655</v>
      </c>
      <c r="C9" s="222" t="s">
        <v>369</v>
      </c>
      <c r="D9" s="222" t="s">
        <v>651</v>
      </c>
    </row>
    <row r="10" spans="1:4" x14ac:dyDescent="0.25">
      <c r="A10" s="217" t="s">
        <v>656</v>
      </c>
      <c r="B10" s="219">
        <f>VLOOKUP($B$1,'OI(Value)'!$A:$O,5,0)</f>
        <v>5446</v>
      </c>
      <c r="C10" s="219">
        <f>VLOOKUP($B$1,'OI(Value)'!$A:$O,6,0)</f>
        <v>239</v>
      </c>
      <c r="D10" s="219">
        <f>VLOOKUP($B$1,'OI(Value)'!$A:$O,7,0)*100</f>
        <v>4.5999999999999996</v>
      </c>
    </row>
    <row r="11" spans="1:4" x14ac:dyDescent="0.25">
      <c r="A11" s="217" t="s">
        <v>657</v>
      </c>
      <c r="B11" s="219">
        <f>VLOOKUP($B$1,'OI(Value)'!$A:$O,8,0)</f>
        <v>4629</v>
      </c>
      <c r="C11" s="219">
        <f>VLOOKUP($B$1,'OI(Value)'!$A:$O,9,0)</f>
        <v>357</v>
      </c>
      <c r="D11" s="219">
        <f>VLOOKUP($B$1,'OI(Value)'!$A:$O,10,0)*100</f>
        <v>8.36</v>
      </c>
    </row>
    <row r="12" spans="1:4" x14ac:dyDescent="0.25">
      <c r="A12" s="217" t="s">
        <v>658</v>
      </c>
      <c r="B12" s="219">
        <f>VLOOKUP($B$1,'OI(Value)'!$A:$O,11,0)</f>
        <v>2419</v>
      </c>
      <c r="C12" s="219">
        <f>VLOOKUP($B$1,'OI(Value)'!$A:$O,12,0)</f>
        <v>202</v>
      </c>
      <c r="D12" s="219">
        <f>VLOOKUP($B$1,'OI(Value)'!$A:$O,13,0)*100</f>
        <v>9.120000000000001</v>
      </c>
    </row>
    <row r="13" spans="1:4" x14ac:dyDescent="0.25">
      <c r="A13" s="215" t="s">
        <v>659</v>
      </c>
      <c r="B13" s="223">
        <f>VLOOKUP($B$1,'OI(Value)'!$A:$O,2,0)</f>
        <v>12494</v>
      </c>
      <c r="C13" s="223">
        <f>VLOOKUP($B$1,'OI(Value)'!$A:$O,3,0)</f>
        <v>799</v>
      </c>
      <c r="D13" s="223">
        <f>VLOOKUP($B$1,'OI(Value)'!$A:$O,4,0)*100</f>
        <v>6.83</v>
      </c>
    </row>
    <row r="14" spans="1:4" x14ac:dyDescent="0.25">
      <c r="A14" s="215" t="s">
        <v>660</v>
      </c>
      <c r="B14" s="222" t="s">
        <v>661</v>
      </c>
      <c r="C14" s="222" t="s">
        <v>369</v>
      </c>
      <c r="D14" s="222" t="s">
        <v>651</v>
      </c>
    </row>
    <row r="15" spans="1:4" x14ac:dyDescent="0.25">
      <c r="A15" s="217" t="s">
        <v>656</v>
      </c>
      <c r="B15" s="219">
        <f>VLOOKUP($B$1,'OI(Volume)'!$A:$O,5,0)/10^5</f>
        <v>145.96225000000001</v>
      </c>
      <c r="C15" s="219">
        <f>VLOOKUP($B$1,'OI(Volume)'!$A:$O,6,0)/10^5</f>
        <v>6.4172500000000001</v>
      </c>
      <c r="D15" s="219">
        <f>(VLOOKUP($B$1,'OI(Volume)'!$A:$O,7,0))*100</f>
        <v>4.5999999999999996</v>
      </c>
    </row>
    <row r="16" spans="1:4" x14ac:dyDescent="0.25">
      <c r="A16" s="217" t="s">
        <v>657</v>
      </c>
      <c r="B16" s="219">
        <f>VLOOKUP($B$1,'OI(Volume)'!$A:$O,8,0)/10^5</f>
        <v>124.0715</v>
      </c>
      <c r="C16" s="219">
        <f>VLOOKUP($B$1,'OI(Volume)'!$A:$O,9,0)/10^5</f>
        <v>9.5672499999999996</v>
      </c>
      <c r="D16" s="219">
        <f>(VLOOKUP($B$1,'OI(Volume)'!$A:$O,10,0))*100</f>
        <v>8.36</v>
      </c>
    </row>
    <row r="17" spans="1:4" x14ac:dyDescent="0.25">
      <c r="A17" s="217" t="s">
        <v>658</v>
      </c>
      <c r="B17" s="219">
        <f>VLOOKUP($B$1,'OI(Volume)'!$A:$O,11,0)/10^5</f>
        <v>64.832250000000002</v>
      </c>
      <c r="C17" s="219">
        <f>VLOOKUP($B$1,'OI(Volume)'!$A:$O,12,0)/10^5</f>
        <v>5.4180000000000001</v>
      </c>
      <c r="D17" s="219">
        <f>(VLOOKUP($B$1,'OI(Volume)'!$A:$O,13,0))*100</f>
        <v>9.120000000000001</v>
      </c>
    </row>
    <row r="18" spans="1:4" x14ac:dyDescent="0.25">
      <c r="A18" s="215" t="s">
        <v>662</v>
      </c>
      <c r="B18" s="223">
        <f>VLOOKUP($B$1,'OI(Volume)'!$A:$O,2,0)/10^5</f>
        <v>334.86599999999999</v>
      </c>
      <c r="C18" s="223">
        <f>VLOOKUP($B$1,'OI(Volume)'!$A:$O,3,0)/10^5</f>
        <v>21.4025</v>
      </c>
      <c r="D18" s="223">
        <f>(VLOOKUP($B$1,'OI(Volume)'!$A:$O,4,0))*100</f>
        <v>6.83</v>
      </c>
    </row>
    <row r="20" spans="1:4" x14ac:dyDescent="0.25">
      <c r="A20" s="17" t="s">
        <v>417</v>
      </c>
      <c r="B20" s="224">
        <f>VLOOKUP($B$1,'Open Interest Position'!$A:$F,2,0)/10^5</f>
        <v>1361.09374</v>
      </c>
    </row>
    <row r="21" spans="1:4" x14ac:dyDescent="0.25">
      <c r="A21" s="17" t="s">
        <v>412</v>
      </c>
      <c r="B21" s="224">
        <f>VLOOKUP($B$1,'Open Interest Position'!$A:$F,3,0)/10^5</f>
        <v>328.85649999999998</v>
      </c>
    </row>
    <row r="22" spans="1:4" x14ac:dyDescent="0.25">
      <c r="A22" s="17" t="s">
        <v>418</v>
      </c>
      <c r="B22" s="224">
        <f>VLOOKUP($B$1,'Open Interest Position'!$A:$F,4,0)/10^5</f>
        <v>153.31980676953501</v>
      </c>
    </row>
    <row r="23" spans="1:4" x14ac:dyDescent="0.25">
      <c r="A23" s="17" t="s">
        <v>419</v>
      </c>
      <c r="B23" s="225">
        <f>VLOOKUP($B$1,'Open Interest Position'!$A:$F,6,0)</f>
        <v>0.24161194070292322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7" t="s">
        <v>329</v>
      </c>
      <c r="B3" s="268"/>
      <c r="C3" s="268"/>
      <c r="D3" s="268"/>
      <c r="E3" s="268"/>
      <c r="F3" s="268"/>
      <c r="G3" s="268"/>
      <c r="H3" s="268"/>
      <c r="I3" s="269"/>
      <c r="J3" s="269"/>
      <c r="K3" s="269"/>
      <c r="L3" s="269"/>
      <c r="M3" s="269"/>
      <c r="N3" s="269"/>
      <c r="O3" s="269"/>
      <c r="P3" s="270"/>
    </row>
    <row r="4" spans="1:36" x14ac:dyDescent="0.25">
      <c r="A4" s="271" t="s">
        <v>330</v>
      </c>
      <c r="B4" s="271"/>
      <c r="C4" s="77" t="s">
        <v>308</v>
      </c>
      <c r="D4" s="273" t="s">
        <v>326</v>
      </c>
      <c r="E4" s="273"/>
      <c r="F4" s="273"/>
      <c r="G4" s="273"/>
      <c r="H4" s="273" t="s">
        <v>457</v>
      </c>
      <c r="I4" s="273"/>
      <c r="J4" s="273"/>
      <c r="K4" s="271" t="s">
        <v>309</v>
      </c>
      <c r="L4" s="271"/>
      <c r="M4" s="271"/>
      <c r="N4" s="271" t="s">
        <v>331</v>
      </c>
      <c r="O4" s="271"/>
      <c r="P4" s="271"/>
    </row>
    <row r="5" spans="1:36" x14ac:dyDescent="0.25">
      <c r="A5" s="272"/>
      <c r="B5" s="272"/>
      <c r="C5" s="65" t="s">
        <v>312</v>
      </c>
      <c r="D5" s="274" t="s">
        <v>314</v>
      </c>
      <c r="E5" s="274"/>
      <c r="F5" s="274"/>
      <c r="G5" s="274"/>
      <c r="H5" s="274" t="s">
        <v>315</v>
      </c>
      <c r="I5" s="274"/>
      <c r="J5" s="274"/>
      <c r="K5" s="272" t="s">
        <v>314</v>
      </c>
      <c r="L5" s="272"/>
      <c r="M5" s="272"/>
      <c r="N5" s="272" t="s">
        <v>315</v>
      </c>
      <c r="O5" s="272"/>
      <c r="P5" s="272"/>
    </row>
    <row r="6" spans="1:36" x14ac:dyDescent="0.25">
      <c r="A6" s="78" t="s">
        <v>332</v>
      </c>
      <c r="B6" s="78" t="s">
        <v>318</v>
      </c>
      <c r="C6" s="65" t="s">
        <v>328</v>
      </c>
      <c r="D6" s="66">
        <f>'Snapshot (Volume)'!B6</f>
        <v>46093</v>
      </c>
      <c r="E6" s="66" t="s">
        <v>368</v>
      </c>
      <c r="F6" s="71" t="s">
        <v>333</v>
      </c>
      <c r="G6" s="71" t="s">
        <v>328</v>
      </c>
      <c r="H6" s="66">
        <f>D6</f>
        <v>46093</v>
      </c>
      <c r="I6" s="71" t="s">
        <v>322</v>
      </c>
      <c r="J6" s="71" t="s">
        <v>328</v>
      </c>
      <c r="K6" s="66">
        <f>D6</f>
        <v>46093</v>
      </c>
      <c r="L6" s="78" t="s">
        <v>333</v>
      </c>
      <c r="M6" s="78" t="s">
        <v>328</v>
      </c>
      <c r="N6" s="66">
        <f>D6</f>
        <v>46093</v>
      </c>
      <c r="O6" s="78" t="s">
        <v>322</v>
      </c>
      <c r="P6" s="78" t="s">
        <v>328</v>
      </c>
    </row>
    <row r="7" spans="1:36" x14ac:dyDescent="0.25">
      <c r="A7" s="79" t="str">
        <f>'Data shares'!B2</f>
        <v>Finance</v>
      </c>
      <c r="B7" s="79" t="str">
        <f>'Data shares'!C2</f>
        <v>360ONE</v>
      </c>
      <c r="C7" s="79">
        <f>VLOOKUP($B7,'Data shares'!$C:$FB,7)</f>
        <v>1043.4000000000001</v>
      </c>
      <c r="D7" s="165">
        <f>VLOOKUP($B7,'Data shares'!$C:$FB,98)</f>
        <v>4721000</v>
      </c>
      <c r="E7" s="165">
        <f>VLOOKUP(B7,'Snapshot (Volume)'!$A$7:$G$168,7,0)</f>
        <v>4643000</v>
      </c>
      <c r="F7" s="165">
        <f>D7-E7</f>
        <v>78000</v>
      </c>
      <c r="G7" s="166">
        <f>F7/E7</f>
        <v>1.6799483092827912E-2</v>
      </c>
      <c r="H7" s="165">
        <f>VLOOKUP($B7,'Data shares'!$C:$FB,66)</f>
        <v>2218500</v>
      </c>
      <c r="I7" s="165">
        <f>VLOOKUP($B7,'Data shares'!$C:$FB,67)</f>
        <v>1582000</v>
      </c>
      <c r="J7" s="81">
        <f>(H7-I7)/I7*100</f>
        <v>40.233881163084703</v>
      </c>
      <c r="K7" s="81">
        <f>VLOOKUP($B7,'Data Vlaue (Cr)'!$C:$FB,99)</f>
        <v>493</v>
      </c>
      <c r="L7" s="81">
        <f>VLOOKUP(B7,'OI(Value)'!$A$7:$C$226,3,0)</f>
        <v>8</v>
      </c>
      <c r="M7" s="81">
        <f t="shared" ref="M7:M36" si="0">L7/K7*100</f>
        <v>1.6227180527383367</v>
      </c>
      <c r="N7" s="81">
        <f>VLOOKUP($B7,'Data Vlaue (Cr)'!$C:$FB,67)</f>
        <v>232</v>
      </c>
      <c r="O7" s="81">
        <f>VLOOKUP($B7,'Data Vlaue (Cr)'!$C:$FB,68)</f>
        <v>165</v>
      </c>
      <c r="P7" s="81">
        <f t="shared" ref="P7:P23" si="1">(N7-O7)/N7*100</f>
        <v>28.879310344827587</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6409</v>
      </c>
      <c r="D8" s="165">
        <f>VLOOKUP($B8,'Data shares'!$C:$FB,98)</f>
        <v>4265375</v>
      </c>
      <c r="E8" s="165">
        <f>VLOOKUP(B8,'Snapshot (Volume)'!$A$7:$G$168,7,0)</f>
        <v>4165250</v>
      </c>
      <c r="F8" s="165">
        <f t="shared" ref="F8:F23" si="2">D8-E8</f>
        <v>100125</v>
      </c>
      <c r="G8" s="166">
        <f t="shared" ref="G8:G23" si="3">F8/E8</f>
        <v>2.4038172978812795E-2</v>
      </c>
      <c r="H8" s="165">
        <f>VLOOKUP($B8,'Data shares'!$C:$FB,66)</f>
        <v>7681875</v>
      </c>
      <c r="I8" s="165">
        <f>VLOOKUP($B8,'Data shares'!$C:$FB,67)</f>
        <v>7519125</v>
      </c>
      <c r="J8" s="81">
        <f t="shared" ref="J8:J22" si="4">(H8-I8)/I8*100</f>
        <v>2.1644805745349358</v>
      </c>
      <c r="K8" s="81">
        <f>VLOOKUP($B8,'Data Vlaue (Cr)'!$C:$FB,99)</f>
        <v>2731</v>
      </c>
      <c r="L8" s="81">
        <f>VLOOKUP(B8,'OI(Value)'!$A$7:$C$226,3,0)</f>
        <v>64</v>
      </c>
      <c r="M8" s="81">
        <f t="shared" si="0"/>
        <v>2.3434639326254123</v>
      </c>
      <c r="N8" s="81">
        <f>VLOOKUP($B8,'Data Vlaue (Cr)'!$C:$FB,67)</f>
        <v>4919</v>
      </c>
      <c r="O8" s="81">
        <f>VLOOKUP($B8,'Data Vlaue (Cr)'!$C:$FB,68)</f>
        <v>4815</v>
      </c>
      <c r="P8" s="81">
        <f t="shared" si="1"/>
        <v>2.1142508639967472</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319.95</v>
      </c>
      <c r="D9" s="165">
        <f>VLOOKUP($B9,'Data shares'!$C:$FB,98)</f>
        <v>72651600</v>
      </c>
      <c r="E9" s="165">
        <f>VLOOKUP(B9,'Snapshot (Volume)'!$A$7:$G$168,7,0)</f>
        <v>73811000</v>
      </c>
      <c r="F9" s="165">
        <f t="shared" si="2"/>
        <v>-1159400</v>
      </c>
      <c r="G9" s="166">
        <f t="shared" si="3"/>
        <v>-1.5707685846283074E-2</v>
      </c>
      <c r="H9" s="165">
        <f>VLOOKUP($B9,'Data shares'!$C:$FB,66)</f>
        <v>30944200</v>
      </c>
      <c r="I9" s="165">
        <f>VLOOKUP($B9,'Data shares'!$C:$FB,67)</f>
        <v>33455200</v>
      </c>
      <c r="J9" s="81">
        <f t="shared" si="4"/>
        <v>-7.5055596738324679</v>
      </c>
      <c r="K9" s="81">
        <f>VLOOKUP($B9,'Data Vlaue (Cr)'!$C:$FB,99)</f>
        <v>2335</v>
      </c>
      <c r="L9" s="81">
        <f>VLOOKUP(B9,'OI(Value)'!$A$7:$C$226,3,0)</f>
        <v>-37</v>
      </c>
      <c r="M9" s="81">
        <f t="shared" si="0"/>
        <v>-1.5845824411134906</v>
      </c>
      <c r="N9" s="81">
        <f>VLOOKUP($B9,'Data Vlaue (Cr)'!$C:$FB,67)</f>
        <v>995</v>
      </c>
      <c r="O9" s="81">
        <f>VLOOKUP($B9,'Data Vlaue (Cr)'!$C:$FB,68)</f>
        <v>1075</v>
      </c>
      <c r="P9" s="81">
        <f t="shared" si="1"/>
        <v>-8.0402010050251249</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1004.4</v>
      </c>
      <c r="D10" s="82">
        <f>VLOOKUP($B10,'Data shares'!$C:$FB,98)</f>
        <v>26694225</v>
      </c>
      <c r="E10" s="165">
        <f>VLOOKUP(B10,'Snapshot (Volume)'!$A$7:$G$168,7,0)</f>
        <v>27537975</v>
      </c>
      <c r="F10" s="165">
        <f t="shared" si="2"/>
        <v>-843750</v>
      </c>
      <c r="G10" s="166">
        <f t="shared" si="3"/>
        <v>-3.0639507806946589E-2</v>
      </c>
      <c r="H10" s="165">
        <f>VLOOKUP($B10,'Data shares'!$C:$FB,66)</f>
        <v>8206650</v>
      </c>
      <c r="I10" s="165">
        <f>VLOOKUP($B10,'Data shares'!$C:$FB,67)</f>
        <v>13345425</v>
      </c>
      <c r="J10" s="81">
        <f t="shared" si="4"/>
        <v>-38.505892468767385</v>
      </c>
      <c r="K10" s="5">
        <f>VLOOKUP($B10,'Data Vlaue (Cr)'!$C:$FB,99)</f>
        <v>2689</v>
      </c>
      <c r="L10" s="81">
        <f>VLOOKUP(B10,'OI(Value)'!$A$7:$C$226,3,0)</f>
        <v>-85</v>
      </c>
      <c r="M10" s="33">
        <f t="shared" si="0"/>
        <v>-3.1610264038676088</v>
      </c>
      <c r="N10" s="5">
        <f>VLOOKUP($B10,'Data Vlaue (Cr)'!$C:$FB,67)</f>
        <v>827</v>
      </c>
      <c r="O10" s="5">
        <f>VLOOKUP($B10,'Data Vlaue (Cr)'!$C:$FB,68)</f>
        <v>1345</v>
      </c>
      <c r="P10" s="5">
        <f t="shared" si="1"/>
        <v>-62.636033857315596</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2002</v>
      </c>
      <c r="D11" s="82">
        <f>VLOOKUP($B11,'Data shares'!$C:$FB,98)</f>
        <v>31332291</v>
      </c>
      <c r="E11" s="165">
        <f>VLOOKUP(B11,'Snapshot (Volume)'!$A$7:$G$168,7,0)</f>
        <v>31270491</v>
      </c>
      <c r="F11" s="165">
        <f t="shared" si="2"/>
        <v>61800</v>
      </c>
      <c r="G11" s="166">
        <f t="shared" si="3"/>
        <v>1.9763041136770126E-3</v>
      </c>
      <c r="H11" s="165">
        <f>VLOOKUP($B11,'Data shares'!$C:$FB,66)</f>
        <v>17252397</v>
      </c>
      <c r="I11" s="165">
        <f>VLOOKUP($B11,'Data shares'!$C:$FB,67)</f>
        <v>9413376</v>
      </c>
      <c r="J11" s="81">
        <f t="shared" si="4"/>
        <v>83.275341386554629</v>
      </c>
      <c r="K11" s="5">
        <f>VLOOKUP($B11,'Data Vlaue (Cr)'!$C:$FB,99)</f>
        <v>6263</v>
      </c>
      <c r="L11" s="81">
        <f>VLOOKUP(B11,'OI(Value)'!$A$7:$C$226,3,0)</f>
        <v>12</v>
      </c>
      <c r="M11" s="33">
        <f t="shared" si="0"/>
        <v>0.19160146894459523</v>
      </c>
      <c r="N11" s="5">
        <f>VLOOKUP($B11,'Data Vlaue (Cr)'!$C:$FB,67)</f>
        <v>3449</v>
      </c>
      <c r="O11" s="5">
        <f>VLOOKUP($B11,'Data Vlaue (Cr)'!$C:$FB,68)</f>
        <v>1882</v>
      </c>
      <c r="P11" s="5">
        <f t="shared" si="1"/>
        <v>45.433458973615544</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866.55</v>
      </c>
      <c r="D12" s="82">
        <f>VLOOKUP($B12,'Data shares'!$C:$FB,98)</f>
        <v>38628600</v>
      </c>
      <c r="E12" s="165">
        <f>VLOOKUP(B12,'Snapshot (Volume)'!$A$7:$G$168,7,0)</f>
        <v>36845400</v>
      </c>
      <c r="F12" s="165">
        <f t="shared" si="2"/>
        <v>1783200</v>
      </c>
      <c r="G12" s="166">
        <f t="shared" si="3"/>
        <v>4.8396814799133679E-2</v>
      </c>
      <c r="H12" s="165">
        <f>VLOOKUP($B12,'Data shares'!$C:$FB,66)</f>
        <v>22939200</v>
      </c>
      <c r="I12" s="165">
        <f>VLOOKUP($B12,'Data shares'!$C:$FB,67)</f>
        <v>11122800</v>
      </c>
      <c r="J12" s="81">
        <f t="shared" si="4"/>
        <v>106.23583989642896</v>
      </c>
      <c r="K12" s="5">
        <f>VLOOKUP($B12,'Data Vlaue (Cr)'!$C:$FB,99)</f>
        <v>3360</v>
      </c>
      <c r="L12" s="81">
        <f>VLOOKUP(B12,'OI(Value)'!$A$7:$C$226,3,0)</f>
        <v>155</v>
      </c>
      <c r="M12" s="33">
        <f t="shared" si="0"/>
        <v>4.6130952380952381</v>
      </c>
      <c r="N12" s="5">
        <f>VLOOKUP($B12,'Data Vlaue (Cr)'!$C:$FB,67)</f>
        <v>1996</v>
      </c>
      <c r="O12" s="5">
        <f>VLOOKUP($B12,'Data Vlaue (Cr)'!$C:$FB,68)</f>
        <v>968</v>
      </c>
      <c r="P12" s="5">
        <f t="shared" si="1"/>
        <v>51.503006012024045</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1391.5</v>
      </c>
      <c r="D13" s="82">
        <f>VLOOKUP($B13,'Data shares'!$C:$FB,98)</f>
        <v>37839450</v>
      </c>
      <c r="E13" s="165">
        <f>VLOOKUP(B13,'Snapshot (Volume)'!$A$7:$G$168,7,0)</f>
        <v>37531175</v>
      </c>
      <c r="F13" s="165">
        <f t="shared" si="2"/>
        <v>308275</v>
      </c>
      <c r="G13" s="166">
        <f t="shared" si="3"/>
        <v>8.2138382291521653E-3</v>
      </c>
      <c r="H13" s="165">
        <f>VLOOKUP($B13,'Data shares'!$C:$FB,66)</f>
        <v>20834450</v>
      </c>
      <c r="I13" s="165">
        <f>VLOOKUP($B13,'Data shares'!$C:$FB,67)</f>
        <v>21374525</v>
      </c>
      <c r="J13" s="81">
        <f t="shared" si="4"/>
        <v>-2.5267228160625792</v>
      </c>
      <c r="K13" s="5">
        <f>VLOOKUP($B13,'Data Vlaue (Cr)'!$C:$FB,99)</f>
        <v>5286</v>
      </c>
      <c r="L13" s="81">
        <f>VLOOKUP(B13,'OI(Value)'!$A$7:$C$226,3,0)</f>
        <v>43</v>
      </c>
      <c r="M13" s="33">
        <f t="shared" si="0"/>
        <v>0.8134695421869087</v>
      </c>
      <c r="N13" s="5">
        <f>VLOOKUP($B13,'Data Vlaue (Cr)'!$C:$FB,67)</f>
        <v>2911</v>
      </c>
      <c r="O13" s="5">
        <f>VLOOKUP($B13,'Data Vlaue (Cr)'!$C:$FB,68)</f>
        <v>2986</v>
      </c>
      <c r="P13" s="5">
        <f t="shared" si="1"/>
        <v>-2.5764342150463757</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5444</v>
      </c>
      <c r="D14" s="82">
        <f>VLOOKUP($B14,'Data shares'!$C:$FB,98)</f>
        <v>1664500</v>
      </c>
      <c r="E14" s="165">
        <f>VLOOKUP(B14,'Snapshot (Volume)'!$A$7:$G$168,7,0)</f>
        <v>1628375</v>
      </c>
      <c r="F14" s="165">
        <f t="shared" si="2"/>
        <v>36125</v>
      </c>
      <c r="G14" s="166">
        <f t="shared" si="3"/>
        <v>2.2184693329239273E-2</v>
      </c>
      <c r="H14" s="165">
        <f>VLOOKUP($B14,'Data shares'!$C:$FB,66)</f>
        <v>468125</v>
      </c>
      <c r="I14" s="165">
        <f>VLOOKUP($B14,'Data shares'!$C:$FB,67)</f>
        <v>512750</v>
      </c>
      <c r="J14" s="81">
        <f t="shared" si="4"/>
        <v>-8.7030716723549499</v>
      </c>
      <c r="K14" s="5">
        <f>VLOOKUP($B14,'Data Vlaue (Cr)'!$C:$FB,99)</f>
        <v>910</v>
      </c>
      <c r="L14" s="81">
        <f>VLOOKUP(B14,'OI(Value)'!$A$7:$C$226,3,0)</f>
        <v>20</v>
      </c>
      <c r="M14" s="33">
        <f t="shared" si="0"/>
        <v>2.197802197802198</v>
      </c>
      <c r="N14" s="5">
        <f>VLOOKUP($B14,'Data Vlaue (Cr)'!$C:$FB,67)</f>
        <v>256</v>
      </c>
      <c r="O14" s="5">
        <f>VLOOKUP($B14,'Data Vlaue (Cr)'!$C:$FB,68)</f>
        <v>280</v>
      </c>
      <c r="P14" s="5">
        <f t="shared" si="1"/>
        <v>-9.375</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6929.5</v>
      </c>
      <c r="D15" s="82">
        <f>VLOOKUP($B15,'Data shares'!$C:$FB,98)</f>
        <v>3032000</v>
      </c>
      <c r="E15" s="165">
        <f>VLOOKUP(B15,'Snapshot (Volume)'!$A$7:$G$168,7,0)</f>
        <v>2676000</v>
      </c>
      <c r="F15" s="165">
        <f t="shared" si="2"/>
        <v>356000</v>
      </c>
      <c r="G15" s="166">
        <f t="shared" si="3"/>
        <v>0.13303437967115098</v>
      </c>
      <c r="H15" s="165">
        <f>VLOOKUP($B15,'Data shares'!$C:$FB,66)</f>
        <v>4754900</v>
      </c>
      <c r="I15" s="165">
        <f>VLOOKUP($B15,'Data shares'!$C:$FB,67)</f>
        <v>2312500</v>
      </c>
      <c r="J15" s="81">
        <f t="shared" si="4"/>
        <v>105.6172972972973</v>
      </c>
      <c r="K15" s="5">
        <f>VLOOKUP($B15,'Data Vlaue (Cr)'!$C:$FB,99)</f>
        <v>2108</v>
      </c>
      <c r="L15" s="81">
        <f>VLOOKUP(B15,'OI(Value)'!$A$7:$C$226,3,0)</f>
        <v>248</v>
      </c>
      <c r="M15" s="33">
        <f t="shared" si="0"/>
        <v>11.76470588235294</v>
      </c>
      <c r="N15" s="5">
        <f>VLOOKUP($B15,'Data Vlaue (Cr)'!$C:$FB,67)</f>
        <v>3306</v>
      </c>
      <c r="O15" s="5">
        <f>VLOOKUP($B15,'Data Vlaue (Cr)'!$C:$FB,68)</f>
        <v>1608</v>
      </c>
      <c r="P15" s="5">
        <f t="shared" si="1"/>
        <v>51.361161524500908</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446.45</v>
      </c>
      <c r="D16" s="82">
        <f>VLOOKUP($B16,'Data shares'!$C:$FB,98)</f>
        <v>83478150</v>
      </c>
      <c r="E16" s="165">
        <f>VLOOKUP(B16,'Snapshot (Volume)'!$A$7:$G$168,7,0)</f>
        <v>80984400</v>
      </c>
      <c r="F16" s="165">
        <f t="shared" si="2"/>
        <v>2493750</v>
      </c>
      <c r="G16" s="166">
        <f t="shared" si="3"/>
        <v>3.0792967534488125E-2</v>
      </c>
      <c r="H16" s="165">
        <f>VLOOKUP($B16,'Data shares'!$C:$FB,66)</f>
        <v>17267250</v>
      </c>
      <c r="I16" s="165">
        <f>VLOOKUP($B16,'Data shares'!$C:$FB,67)</f>
        <v>14601300</v>
      </c>
      <c r="J16" s="81">
        <f t="shared" si="4"/>
        <v>18.258305767294694</v>
      </c>
      <c r="K16" s="5">
        <f>VLOOKUP($B16,'Data Vlaue (Cr)'!$C:$FB,99)</f>
        <v>3743</v>
      </c>
      <c r="L16" s="81">
        <f>VLOOKUP(B16,'OI(Value)'!$A$7:$C$226,3,0)</f>
        <v>112</v>
      </c>
      <c r="M16" s="33">
        <f t="shared" si="0"/>
        <v>2.9922522041143469</v>
      </c>
      <c r="N16" s="5">
        <f>VLOOKUP($B16,'Data Vlaue (Cr)'!$C:$FB,67)</f>
        <v>774</v>
      </c>
      <c r="O16" s="5">
        <f>VLOOKUP($B16,'Data Vlaue (Cr)'!$C:$FB,68)</f>
        <v>655</v>
      </c>
      <c r="P16" s="5">
        <f t="shared" si="1"/>
        <v>15.374677002583978</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213.07</v>
      </c>
      <c r="D17" s="82">
        <f>VLOOKUP($B17,'Data shares'!$C:$FB,98)</f>
        <v>80820000</v>
      </c>
      <c r="E17" s="165">
        <f>VLOOKUP(B17,'Snapshot (Volume)'!$A$7:$G$168,7,0)</f>
        <v>79380000</v>
      </c>
      <c r="F17" s="165">
        <f t="shared" si="2"/>
        <v>1440000</v>
      </c>
      <c r="G17" s="166">
        <f t="shared" si="3"/>
        <v>1.8140589569160998E-2</v>
      </c>
      <c r="H17" s="165">
        <f>VLOOKUP($B17,'Data shares'!$C:$FB,66)</f>
        <v>34780000</v>
      </c>
      <c r="I17" s="165">
        <f>VLOOKUP($B17,'Data shares'!$C:$FB,67)</f>
        <v>28085000</v>
      </c>
      <c r="J17" s="81">
        <f t="shared" si="4"/>
        <v>23.83834787252982</v>
      </c>
      <c r="K17" s="5">
        <f>VLOOKUP($B17,'Data Vlaue (Cr)'!$C:$FB,99)</f>
        <v>1728</v>
      </c>
      <c r="L17" s="81">
        <f>VLOOKUP(B17,'OI(Value)'!$A$7:$C$226,3,0)</f>
        <v>31</v>
      </c>
      <c r="M17" s="33">
        <f t="shared" si="0"/>
        <v>1.7939814814814814</v>
      </c>
      <c r="N17" s="5">
        <f>VLOOKUP($B17,'Data Vlaue (Cr)'!$C:$FB,67)</f>
        <v>744</v>
      </c>
      <c r="O17" s="5">
        <f>VLOOKUP($B17,'Data Vlaue (Cr)'!$C:$FB,68)</f>
        <v>600</v>
      </c>
      <c r="P17" s="5">
        <f t="shared" si="1"/>
        <v>19.35483870967742</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2009.2</v>
      </c>
      <c r="D18" s="82">
        <f>VLOOKUP($B18,'Data shares'!$C:$FB,98)</f>
        <v>7960050</v>
      </c>
      <c r="E18" s="165">
        <f>VLOOKUP(B18,'Snapshot (Volume)'!$A$7:$G$168,7,0)</f>
        <v>7857150</v>
      </c>
      <c r="F18" s="165">
        <f t="shared" si="2"/>
        <v>102900</v>
      </c>
      <c r="G18" s="166">
        <f t="shared" si="3"/>
        <v>1.3096351730589336E-2</v>
      </c>
      <c r="H18" s="165">
        <f>VLOOKUP($B18,'Data shares'!$C:$FB,66)</f>
        <v>5890150</v>
      </c>
      <c r="I18" s="165">
        <f>VLOOKUP($B18,'Data shares'!$C:$FB,67)</f>
        <v>11613700</v>
      </c>
      <c r="J18" s="81">
        <f t="shared" si="4"/>
        <v>-49.282743656199145</v>
      </c>
      <c r="K18" s="5">
        <f>VLOOKUP($B18,'Data Vlaue (Cr)'!$C:$FB,99)</f>
        <v>1600</v>
      </c>
      <c r="L18" s="81">
        <f>VLOOKUP(B18,'OI(Value)'!$A$7:$C$226,3,0)</f>
        <v>21</v>
      </c>
      <c r="M18" s="33">
        <f t="shared" si="0"/>
        <v>1.3125</v>
      </c>
      <c r="N18" s="5">
        <f>VLOOKUP($B18,'Data Vlaue (Cr)'!$C:$FB,67)</f>
        <v>1184</v>
      </c>
      <c r="O18" s="5">
        <f>VLOOKUP($B18,'Data Vlaue (Cr)'!$C:$FB,68)</f>
        <v>2335</v>
      </c>
      <c r="P18" s="5">
        <f t="shared" si="1"/>
        <v>-97.212837837837839</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7574.5</v>
      </c>
      <c r="D19" s="82">
        <f>VLOOKUP($B19,'Data shares'!$C:$FB,98)</f>
        <v>4295250</v>
      </c>
      <c r="E19" s="165">
        <f>VLOOKUP(B19,'Snapshot (Volume)'!$A$7:$G$168,7,0)</f>
        <v>4352875</v>
      </c>
      <c r="F19" s="165">
        <f t="shared" si="2"/>
        <v>-57625</v>
      </c>
      <c r="G19" s="166">
        <f t="shared" si="3"/>
        <v>-1.3238376934784482E-2</v>
      </c>
      <c r="H19" s="165">
        <f>VLOOKUP($B19,'Data shares'!$C:$FB,66)</f>
        <v>2550375</v>
      </c>
      <c r="I19" s="165">
        <f>VLOOKUP($B19,'Data shares'!$C:$FB,67)</f>
        <v>2276250</v>
      </c>
      <c r="J19" s="81">
        <f t="shared" si="4"/>
        <v>12.042833607907744</v>
      </c>
      <c r="K19" s="5">
        <f>VLOOKUP($B19,'Data Vlaue (Cr)'!$C:$FB,99)</f>
        <v>3257</v>
      </c>
      <c r="L19" s="81">
        <f>VLOOKUP(B19,'OI(Value)'!$A$7:$C$226,3,0)</f>
        <v>-44</v>
      </c>
      <c r="M19" s="33">
        <f t="shared" si="0"/>
        <v>-1.3509364445809027</v>
      </c>
      <c r="N19" s="5">
        <f>VLOOKUP($B19,'Data Vlaue (Cr)'!$C:$FB,67)</f>
        <v>1934</v>
      </c>
      <c r="O19" s="5">
        <f>VLOOKUP($B19,'Data Vlaue (Cr)'!$C:$FB,68)</f>
        <v>1726</v>
      </c>
      <c r="P19" s="5">
        <f t="shared" si="1"/>
        <v>10.754912099276112</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178.47</v>
      </c>
      <c r="D20" s="82">
        <f>VLOOKUP($B20,'Data shares'!$C:$FB,98)</f>
        <v>281075000</v>
      </c>
      <c r="E20" s="165">
        <f>VLOOKUP(B20,'Snapshot (Volume)'!$A$7:$G$168,7,0)</f>
        <v>267200000</v>
      </c>
      <c r="F20" s="165">
        <f t="shared" si="2"/>
        <v>13875000</v>
      </c>
      <c r="G20" s="166">
        <f t="shared" si="3"/>
        <v>5.192739520958084E-2</v>
      </c>
      <c r="H20" s="165">
        <f>VLOOKUP($B20,'Data shares'!$C:$FB,66)</f>
        <v>281845000</v>
      </c>
      <c r="I20" s="165">
        <f>VLOOKUP($B20,'Data shares'!$C:$FB,67)</f>
        <v>170045000</v>
      </c>
      <c r="J20" s="81">
        <f t="shared" si="4"/>
        <v>65.747302184715807</v>
      </c>
      <c r="K20" s="5">
        <f>VLOOKUP($B20,'Data Vlaue (Cr)'!$C:$FB,99)</f>
        <v>5032</v>
      </c>
      <c r="L20" s="81">
        <f>VLOOKUP(B20,'OI(Value)'!$A$7:$C$226,3,0)</f>
        <v>248</v>
      </c>
      <c r="M20" s="33">
        <f t="shared" si="0"/>
        <v>4.9284578696343404</v>
      </c>
      <c r="N20" s="5">
        <f>VLOOKUP($B20,'Data Vlaue (Cr)'!$C:$FB,67)</f>
        <v>5046</v>
      </c>
      <c r="O20" s="5">
        <f>VLOOKUP($B20,'Data Vlaue (Cr)'!$C:$FB,68)</f>
        <v>3044</v>
      </c>
      <c r="P20" s="5">
        <f t="shared" si="1"/>
        <v>39.67499009116132</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2221.1999999999998</v>
      </c>
      <c r="D21" s="82">
        <f>VLOOKUP($B21,'Data shares'!$C:$FB,98)</f>
        <v>23344250</v>
      </c>
      <c r="E21" s="165">
        <f>VLOOKUP(B21,'Snapshot (Volume)'!$A$7:$G$168,7,0)</f>
        <v>22916000</v>
      </c>
      <c r="F21" s="165">
        <f t="shared" si="2"/>
        <v>428250</v>
      </c>
      <c r="G21" s="166">
        <f t="shared" si="3"/>
        <v>1.8687816372839935E-2</v>
      </c>
      <c r="H21" s="165">
        <f>VLOOKUP($B21,'Data shares'!$C:$FB,66)</f>
        <v>10992750</v>
      </c>
      <c r="I21" s="165">
        <f>VLOOKUP($B21,'Data shares'!$C:$FB,67)</f>
        <v>10332500</v>
      </c>
      <c r="J21" s="81">
        <f t="shared" si="4"/>
        <v>6.3900314541495282</v>
      </c>
      <c r="K21" s="5">
        <f>VLOOKUP($B21,'Data Vlaue (Cr)'!$C:$FB,99)</f>
        <v>5198</v>
      </c>
      <c r="L21" s="81">
        <f>VLOOKUP(B21,'OI(Value)'!$A$7:$C$226,3,0)</f>
        <v>95</v>
      </c>
      <c r="M21" s="33">
        <f t="shared" si="0"/>
        <v>1.8276260100038477</v>
      </c>
      <c r="N21" s="5">
        <f>VLOOKUP($B21,'Data Vlaue (Cr)'!$C:$FB,67)</f>
        <v>2448</v>
      </c>
      <c r="O21" s="5">
        <f>VLOOKUP($B21,'Data Vlaue (Cr)'!$C:$FB,68)</f>
        <v>2301</v>
      </c>
      <c r="P21" s="5">
        <f t="shared" si="1"/>
        <v>6.0049019607843137</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1696</v>
      </c>
      <c r="D22" s="82">
        <f>VLOOKUP($B22,'Data shares'!$C:$FB,98)</f>
        <v>16263050</v>
      </c>
      <c r="E22" s="165">
        <f>VLOOKUP(B22,'Snapshot (Volume)'!$A$7:$G$168,7,0)</f>
        <v>16807050</v>
      </c>
      <c r="F22" s="165">
        <f t="shared" si="2"/>
        <v>-544000</v>
      </c>
      <c r="G22" s="166">
        <f t="shared" si="3"/>
        <v>-3.2367369645476152E-2</v>
      </c>
      <c r="H22" s="165">
        <f>VLOOKUP($B22,'Data shares'!$C:$FB,66)</f>
        <v>23211800</v>
      </c>
      <c r="I22" s="165">
        <f>VLOOKUP($B22,'Data shares'!$C:$FB,67)</f>
        <v>37074450</v>
      </c>
      <c r="J22" s="81">
        <f t="shared" si="4"/>
        <v>-37.391384093358091</v>
      </c>
      <c r="K22" s="5">
        <f>VLOOKUP($B22,'Data Vlaue (Cr)'!$C:$FB,99)</f>
        <v>2700</v>
      </c>
      <c r="L22" s="81">
        <f>VLOOKUP(B22,'OI(Value)'!$A$7:$C$226,3,0)</f>
        <v>-90</v>
      </c>
      <c r="M22" s="33">
        <f t="shared" si="0"/>
        <v>-3.3333333333333335</v>
      </c>
      <c r="N22" s="5">
        <f>VLOOKUP($B22,'Data Vlaue (Cr)'!$C:$FB,67)</f>
        <v>3854</v>
      </c>
      <c r="O22" s="5">
        <f>VLOOKUP($B22,'Data Vlaue (Cr)'!$C:$FB,68)</f>
        <v>6156</v>
      </c>
      <c r="P22" s="5">
        <f t="shared" si="1"/>
        <v>-59.730150492994291</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902.2</v>
      </c>
      <c r="D23" s="82">
        <f>VLOOKUP($B23,'Data shares'!$C:$FB,98)</f>
        <v>40646000</v>
      </c>
      <c r="E23" s="165">
        <f>VLOOKUP(B23,'Snapshot (Volume)'!$A$7:$G$168,7,0)</f>
        <v>39700000</v>
      </c>
      <c r="F23" s="165">
        <f t="shared" si="2"/>
        <v>946000</v>
      </c>
      <c r="G23" s="166">
        <f t="shared" si="3"/>
        <v>2.3828715365239294E-2</v>
      </c>
      <c r="H23" s="165">
        <f>VLOOKUP($B23,'Data shares'!$C:$FB,66)</f>
        <v>18837000</v>
      </c>
      <c r="I23" s="165">
        <f>VLOOKUP($B23,'Data shares'!$C:$FB,67)</f>
        <v>18857000</v>
      </c>
      <c r="J23" s="81">
        <f>(H23-I23)/I23*100</f>
        <v>-0.106061409556133</v>
      </c>
      <c r="K23" s="5">
        <f>VLOOKUP($B23,'Data Vlaue (Cr)'!$C:$FB,99)</f>
        <v>3683</v>
      </c>
      <c r="L23" s="81">
        <f>VLOOKUP(B23,'OI(Value)'!$A$7:$C$226,3,0)</f>
        <v>86</v>
      </c>
      <c r="M23" s="33">
        <f t="shared" si="0"/>
        <v>2.335052945967961</v>
      </c>
      <c r="N23" s="5">
        <f>VLOOKUP($B23,'Data Vlaue (Cr)'!$C:$FB,67)</f>
        <v>1707</v>
      </c>
      <c r="O23" s="5">
        <f>VLOOKUP($B23,'Data Vlaue (Cr)'!$C:$FB,68)</f>
        <v>1708</v>
      </c>
      <c r="P23" s="5">
        <f t="shared" si="1"/>
        <v>-5.8582308142940832E-2</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1311.9</v>
      </c>
      <c r="D24" s="80">
        <f>VLOOKUP($B24,'Data shares'!$C:$FB,98)</f>
        <v>33289300</v>
      </c>
      <c r="E24" s="165">
        <f>VLOOKUP(B24,'Snapshot (Volume)'!$A$7:$G$168,7,0)</f>
        <v>32497850</v>
      </c>
      <c r="F24" s="165">
        <f t="shared" ref="F24:F36" si="5">D24-E24</f>
        <v>791450</v>
      </c>
      <c r="G24" s="166">
        <f t="shared" ref="G24:G36" si="6">F24/E24</f>
        <v>2.4353918797705078E-2</v>
      </c>
      <c r="H24" s="165">
        <f>VLOOKUP($B24,'Data shares'!$C:$FB,66)</f>
        <v>23818300</v>
      </c>
      <c r="I24" s="165">
        <f>VLOOKUP($B24,'Data shares'!$C:$FB,67)</f>
        <v>25229600</v>
      </c>
      <c r="J24" s="81">
        <f t="shared" ref="J24:J36" si="7">(H24-I24)/I24*100</f>
        <v>-5.5938262992675272</v>
      </c>
      <c r="K24" s="81">
        <f>VLOOKUP($B24,'Data Vlaue (Cr)'!$C:$FB,99)</f>
        <v>4372</v>
      </c>
      <c r="L24" s="81">
        <f>VLOOKUP(B24,'OI(Value)'!$A$7:$C$226,3,0)</f>
        <v>104</v>
      </c>
      <c r="M24" s="81">
        <f t="shared" si="0"/>
        <v>2.3787740164684354</v>
      </c>
      <c r="N24" s="81">
        <f>VLOOKUP($B24,'Data Vlaue (Cr)'!$C:$FB,67)</f>
        <v>3128</v>
      </c>
      <c r="O24" s="81">
        <f>VLOOKUP($B24,'Data Vlaue (Cr)'!$C:$FB,68)</f>
        <v>3313</v>
      </c>
      <c r="P24" s="81">
        <f t="shared" ref="P24:P36" si="8">(N24-O24)/N24*100</f>
        <v>-5.914322250639386</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1234.5</v>
      </c>
      <c r="D25" s="82">
        <f>VLOOKUP($B25,'Data shares'!$C:$FB,98)</f>
        <v>102102500</v>
      </c>
      <c r="E25" s="165">
        <f>VLOOKUP(B25,'Snapshot (Volume)'!$A$7:$G$168,7,0)</f>
        <v>98501250</v>
      </c>
      <c r="F25" s="165">
        <f t="shared" si="5"/>
        <v>3601250</v>
      </c>
      <c r="G25" s="166">
        <f t="shared" si="6"/>
        <v>3.6560449740485529E-2</v>
      </c>
      <c r="H25" s="165">
        <f>VLOOKUP($B25,'Data shares'!$C:$FB,66)</f>
        <v>58237500</v>
      </c>
      <c r="I25" s="165">
        <f>VLOOKUP($B25,'Data shares'!$C:$FB,67)</f>
        <v>82796250</v>
      </c>
      <c r="J25" s="81">
        <f t="shared" si="7"/>
        <v>-29.661669459667557</v>
      </c>
      <c r="K25" s="5">
        <f>VLOOKUP($B25,'Data Vlaue (Cr)'!$C:$FB,99)</f>
        <v>12655</v>
      </c>
      <c r="L25" s="81">
        <f>VLOOKUP(B25,'OI(Value)'!$A$7:$C$226,3,0)</f>
        <v>446</v>
      </c>
      <c r="M25" s="33">
        <f t="shared" si="0"/>
        <v>3.5242986961675231</v>
      </c>
      <c r="N25" s="5">
        <f>VLOOKUP($B25,'Data Vlaue (Cr)'!$C:$FB,67)</f>
        <v>7218</v>
      </c>
      <c r="O25" s="5">
        <f>VLOOKUP($B25,'Data Vlaue (Cr)'!$C:$FB,68)</f>
        <v>10262</v>
      </c>
      <c r="P25" s="5">
        <f t="shared" si="8"/>
        <v>-42.172346910501524</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9162</v>
      </c>
      <c r="D26" s="82">
        <f>VLOOKUP($B26,'Data shares'!$C:$FB,98)</f>
        <v>5993475</v>
      </c>
      <c r="E26" s="165">
        <f>VLOOKUP(B26,'Snapshot (Volume)'!$A$7:$G$168,7,0)</f>
        <v>5756100</v>
      </c>
      <c r="F26" s="165">
        <f t="shared" si="5"/>
        <v>237375</v>
      </c>
      <c r="G26" s="166">
        <f t="shared" si="6"/>
        <v>4.1238859644550999E-2</v>
      </c>
      <c r="H26" s="165">
        <f>VLOOKUP($B26,'Data shares'!$C:$FB,66)</f>
        <v>4253625</v>
      </c>
      <c r="I26" s="165">
        <f>VLOOKUP($B26,'Data shares'!$C:$FB,67)</f>
        <v>5282325</v>
      </c>
      <c r="J26" s="81">
        <f t="shared" si="7"/>
        <v>-19.474379179622609</v>
      </c>
      <c r="K26" s="5">
        <f>VLOOKUP($B26,'Data Vlaue (Cr)'!$C:$FB,99)</f>
        <v>5471</v>
      </c>
      <c r="L26" s="81">
        <f>VLOOKUP(B26,'OI(Value)'!$A$7:$C$226,3,0)</f>
        <v>217</v>
      </c>
      <c r="M26" s="33">
        <f t="shared" si="0"/>
        <v>3.9663681228294645</v>
      </c>
      <c r="N26" s="5">
        <f>VLOOKUP($B26,'Data Vlaue (Cr)'!$C:$FB,67)</f>
        <v>3882</v>
      </c>
      <c r="O26" s="5">
        <f>VLOOKUP($B26,'Data Vlaue (Cr)'!$C:$FB,68)</f>
        <v>4821</v>
      </c>
      <c r="P26" s="5">
        <f t="shared" si="8"/>
        <v>-24.188562596599692</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1770.8</v>
      </c>
      <c r="D27" s="82">
        <f>VLOOKUP($B27,'Data shares'!$C:$FB,98)</f>
        <v>26389250</v>
      </c>
      <c r="E27" s="165">
        <f>VLOOKUP(B27,'Snapshot (Volume)'!$A$7:$G$168,7,0)</f>
        <v>26189000</v>
      </c>
      <c r="F27" s="165">
        <f t="shared" si="5"/>
        <v>200250</v>
      </c>
      <c r="G27" s="166">
        <f t="shared" si="6"/>
        <v>7.6463400664401084E-3</v>
      </c>
      <c r="H27" s="165">
        <f>VLOOKUP($B27,'Data shares'!$C:$FB,66)</f>
        <v>10086000</v>
      </c>
      <c r="I27" s="165">
        <f>VLOOKUP($B27,'Data shares'!$C:$FB,67)</f>
        <v>21768000</v>
      </c>
      <c r="J27" s="81">
        <f t="shared" si="7"/>
        <v>-53.665931642778389</v>
      </c>
      <c r="K27" s="5">
        <f>VLOOKUP($B27,'Data Vlaue (Cr)'!$C:$FB,99)</f>
        <v>4679</v>
      </c>
      <c r="L27" s="81">
        <f>VLOOKUP(B27,'OI(Value)'!$A$7:$C$226,3,0)</f>
        <v>36</v>
      </c>
      <c r="M27" s="33">
        <f t="shared" si="0"/>
        <v>0.76939516990810009</v>
      </c>
      <c r="N27" s="5">
        <f>VLOOKUP($B27,'Data Vlaue (Cr)'!$C:$FB,67)</f>
        <v>1788</v>
      </c>
      <c r="O27" s="5">
        <f>VLOOKUP($B27,'Data Vlaue (Cr)'!$C:$FB,68)</f>
        <v>3860</v>
      </c>
      <c r="P27" s="5">
        <f t="shared" si="8"/>
        <v>-115.88366890380313</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BAJAJHLDNG</v>
      </c>
      <c r="C28" s="4">
        <f>VLOOKUP($B28,'Data shares'!$C:$FB,7)</f>
        <v>9789</v>
      </c>
      <c r="D28" s="82">
        <f>VLOOKUP($B28,'Data shares'!$C:$FB,98)</f>
        <v>441000</v>
      </c>
      <c r="E28" s="165">
        <f>VLOOKUP(B28,'Snapshot (Volume)'!$A$7:$G$168,7,0)</f>
        <v>414900</v>
      </c>
      <c r="F28" s="165">
        <f t="shared" si="5"/>
        <v>26100</v>
      </c>
      <c r="G28" s="166">
        <f t="shared" si="6"/>
        <v>6.2906724511930592E-2</v>
      </c>
      <c r="H28" s="165">
        <f>VLOOKUP($B28,'Data shares'!$C:$FB,66)</f>
        <v>230750</v>
      </c>
      <c r="I28" s="165">
        <f>VLOOKUP($B28,'Data shares'!$C:$FB,67)</f>
        <v>164900</v>
      </c>
      <c r="J28" s="81">
        <f t="shared" si="7"/>
        <v>39.933292904790783</v>
      </c>
      <c r="K28" s="5">
        <f>VLOOKUP($B28,'Data Vlaue (Cr)'!$C:$FB,99)</f>
        <v>433</v>
      </c>
      <c r="L28" s="81">
        <f>VLOOKUP(B28,'OI(Value)'!$A$7:$C$226,3,0)</f>
        <v>26</v>
      </c>
      <c r="M28" s="33">
        <f t="shared" si="0"/>
        <v>6.0046189376443415</v>
      </c>
      <c r="N28" s="5">
        <f>VLOOKUP($B28,'Data Vlaue (Cr)'!$C:$FB,67)</f>
        <v>227</v>
      </c>
      <c r="O28" s="5">
        <f>VLOOKUP($B28,'Data Vlaue (Cr)'!$C:$FB,68)</f>
        <v>162</v>
      </c>
      <c r="P28" s="5">
        <f t="shared" si="8"/>
        <v>28.634361233480178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863.1</v>
      </c>
      <c r="D29" s="82">
        <f>VLOOKUP($B29,'Data shares'!$C:$FB,98)</f>
        <v>118915500</v>
      </c>
      <c r="E29" s="165">
        <f>VLOOKUP(B29,'Snapshot (Volume)'!$A$7:$G$168,7,0)</f>
        <v>111499500</v>
      </c>
      <c r="F29" s="165">
        <f t="shared" si="5"/>
        <v>7416000</v>
      </c>
      <c r="G29" s="166">
        <f t="shared" si="6"/>
        <v>6.6511509020219822E-2</v>
      </c>
      <c r="H29" s="165">
        <f>VLOOKUP($B29,'Data shares'!$C:$FB,66)</f>
        <v>70390500</v>
      </c>
      <c r="I29" s="165">
        <f>VLOOKUP($B29,'Data shares'!$C:$FB,67)</f>
        <v>78612750</v>
      </c>
      <c r="J29" s="81">
        <f t="shared" si="7"/>
        <v>-10.459181239684403</v>
      </c>
      <c r="K29" s="5">
        <f>VLOOKUP($B29,'Data Vlaue (Cr)'!$C:$FB,99)</f>
        <v>10305</v>
      </c>
      <c r="L29" s="81">
        <f>VLOOKUP(B29,'OI(Value)'!$A$7:$C$226,3,0)</f>
        <v>643</v>
      </c>
      <c r="M29" s="33">
        <f t="shared" si="0"/>
        <v>6.2396894711305189</v>
      </c>
      <c r="N29" s="5">
        <f>VLOOKUP($B29,'Data Vlaue (Cr)'!$C:$FB,67)</f>
        <v>6100</v>
      </c>
      <c r="O29" s="5">
        <f>VLOOKUP($B29,'Data Vlaue (Cr)'!$C:$FB,68)</f>
        <v>6813</v>
      </c>
      <c r="P29" s="5">
        <f t="shared" si="8"/>
        <v>-11.688524590163935</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178.01</v>
      </c>
      <c r="D30" s="82">
        <f>VLOOKUP($B30,'Data shares'!$C:$FB,98)</f>
        <v>152935200</v>
      </c>
      <c r="E30" s="165">
        <f>VLOOKUP(B30,'Snapshot (Volume)'!$A$7:$G$168,7,0)</f>
        <v>152013600</v>
      </c>
      <c r="F30" s="165">
        <f t="shared" si="5"/>
        <v>921600</v>
      </c>
      <c r="G30" s="166">
        <f t="shared" si="6"/>
        <v>6.062615450196561E-3</v>
      </c>
      <c r="H30" s="165">
        <f>VLOOKUP($B30,'Data shares'!$C:$FB,66)</f>
        <v>42066000</v>
      </c>
      <c r="I30" s="165">
        <f>VLOOKUP($B30,'Data shares'!$C:$FB,67)</f>
        <v>55306800</v>
      </c>
      <c r="J30" s="81">
        <f t="shared" si="7"/>
        <v>-23.940636594415153</v>
      </c>
      <c r="K30" s="5">
        <f>VLOOKUP($B30,'Data Vlaue (Cr)'!$C:$FB,99)</f>
        <v>2729</v>
      </c>
      <c r="L30" s="81">
        <f>VLOOKUP(B30,'OI(Value)'!$A$7:$C$226,3,0)</f>
        <v>16</v>
      </c>
      <c r="M30" s="33">
        <f t="shared" si="0"/>
        <v>0.58629534628068891</v>
      </c>
      <c r="N30" s="5">
        <f>VLOOKUP($B30,'Data Vlaue (Cr)'!$C:$FB,67)</f>
        <v>751</v>
      </c>
      <c r="O30" s="5">
        <f>VLOOKUP($B30,'Data Vlaue (Cr)'!$C:$FB,68)</f>
        <v>987</v>
      </c>
      <c r="P30" s="5">
        <f t="shared" si="8"/>
        <v>-31.424766977363518</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289.2</v>
      </c>
      <c r="D31" s="82">
        <f>VLOOKUP($B31,'Data shares'!$C:$FB,98)</f>
        <v>180335025</v>
      </c>
      <c r="E31" s="165">
        <f>VLOOKUP(B31,'Snapshot (Volume)'!$A$7:$G$168,7,0)</f>
        <v>177617700</v>
      </c>
      <c r="F31" s="165">
        <f t="shared" si="5"/>
        <v>2717325</v>
      </c>
      <c r="G31" s="166">
        <f t="shared" si="6"/>
        <v>1.5298728674000395E-2</v>
      </c>
      <c r="H31" s="165">
        <f>VLOOKUP($B31,'Data shares'!$C:$FB,66)</f>
        <v>80276625</v>
      </c>
      <c r="I31" s="165">
        <f>VLOOKUP($B31,'Data shares'!$C:$FB,67)</f>
        <v>60333975</v>
      </c>
      <c r="J31" s="81">
        <f t="shared" si="7"/>
        <v>33.053764483444034</v>
      </c>
      <c r="K31" s="5">
        <f>VLOOKUP($B31,'Data Vlaue (Cr)'!$C:$FB,99)</f>
        <v>5233</v>
      </c>
      <c r="L31" s="81">
        <f>VLOOKUP(B31,'OI(Value)'!$A$7:$C$226,3,0)</f>
        <v>79</v>
      </c>
      <c r="M31" s="33">
        <f t="shared" si="0"/>
        <v>1.50965029619721</v>
      </c>
      <c r="N31" s="5">
        <f>VLOOKUP($B31,'Data Vlaue (Cr)'!$C:$FB,67)</f>
        <v>2330</v>
      </c>
      <c r="O31" s="5">
        <f>VLOOKUP($B31,'Data Vlaue (Cr)'!$C:$FB,68)</f>
        <v>1751</v>
      </c>
      <c r="P31" s="5">
        <f t="shared" si="8"/>
        <v>24.849785407725321</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154.78</v>
      </c>
      <c r="D32" s="82">
        <f>VLOOKUP($B32,'Data shares'!$C:$FB,98)</f>
        <v>103136800</v>
      </c>
      <c r="E32" s="165">
        <f>VLOOKUP(B32,'Snapshot (Volume)'!$A$7:$G$168,7,0)</f>
        <v>103474800</v>
      </c>
      <c r="F32" s="165">
        <f t="shared" si="5"/>
        <v>-338000</v>
      </c>
      <c r="G32" s="166">
        <f t="shared" si="6"/>
        <v>-3.2664958038092365E-3</v>
      </c>
      <c r="H32" s="165">
        <f>VLOOKUP($B32,'Data shares'!$C:$FB,66)</f>
        <v>30524000</v>
      </c>
      <c r="I32" s="165">
        <f>VLOOKUP($B32,'Data shares'!$C:$FB,67)</f>
        <v>28048800</v>
      </c>
      <c r="J32" s="81">
        <f t="shared" si="7"/>
        <v>8.8246199480904703</v>
      </c>
      <c r="K32" s="5">
        <f>VLOOKUP($B32,'Data Vlaue (Cr)'!$C:$FB,99)</f>
        <v>1598</v>
      </c>
      <c r="L32" s="81">
        <f>VLOOKUP(B32,'OI(Value)'!$A$7:$C$226,3,0)</f>
        <v>-5</v>
      </c>
      <c r="M32" s="33">
        <f t="shared" si="0"/>
        <v>-0.31289111389236546</v>
      </c>
      <c r="N32" s="5">
        <f>VLOOKUP($B32,'Data Vlaue (Cr)'!$C:$FB,67)</f>
        <v>473</v>
      </c>
      <c r="O32" s="5">
        <f>VLOOKUP($B32,'Data Vlaue (Cr)'!$C:$FB,68)</f>
        <v>435</v>
      </c>
      <c r="P32" s="5">
        <f t="shared" si="8"/>
        <v>8.0338266384777999</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55100.95</v>
      </c>
      <c r="D33" s="82">
        <f>VLOOKUP($B33,'Data shares'!$C:$FB,98)</f>
        <v>38462510</v>
      </c>
      <c r="E33" s="165">
        <f>VLOOKUP(B33,'Snapshot (Volume)'!$A$7:$G$168,7,0)</f>
        <v>37336245</v>
      </c>
      <c r="F33" s="165">
        <f t="shared" si="5"/>
        <v>1126265</v>
      </c>
      <c r="G33" s="166">
        <f t="shared" si="6"/>
        <v>3.0165459863465114E-2</v>
      </c>
      <c r="H33" s="165">
        <f>VLOOKUP($B33,'Data shares'!$C:$FB,66)</f>
        <v>76946940</v>
      </c>
      <c r="I33" s="165">
        <f>VLOOKUP($B33,'Data shares'!$C:$FB,67)</f>
        <v>76407210</v>
      </c>
      <c r="J33" s="81">
        <f t="shared" si="7"/>
        <v>0.70638621669342461</v>
      </c>
      <c r="K33" s="5">
        <f>VLOOKUP($B33,'Data Vlaue (Cr)'!$C:$FB,99)</f>
        <v>212966</v>
      </c>
      <c r="L33" s="81">
        <f>VLOOKUP(B33,'OI(Value)'!$A$7:$C$226,3,0)</f>
        <v>6236</v>
      </c>
      <c r="M33" s="33">
        <f t="shared" si="0"/>
        <v>2.9281669374454138</v>
      </c>
      <c r="N33" s="5">
        <f>VLOOKUP($B33,'Data Vlaue (Cr)'!$C:$FB,67)</f>
        <v>426054</v>
      </c>
      <c r="O33" s="5">
        <f>VLOOKUP($B33,'Data Vlaue (Cr)'!$C:$FB,68)</f>
        <v>423065</v>
      </c>
      <c r="P33" s="5">
        <f t="shared" si="8"/>
        <v>0.70155426307463375</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1349.4</v>
      </c>
      <c r="D34" s="82">
        <f>VLOOKUP($B34,'Data shares'!$C:$FB,98)</f>
        <v>12172300</v>
      </c>
      <c r="E34" s="165">
        <f>VLOOKUP(B34,'Snapshot (Volume)'!$A$7:$G$168,7,0)</f>
        <v>12264000</v>
      </c>
      <c r="F34" s="165">
        <f t="shared" si="5"/>
        <v>-91700</v>
      </c>
      <c r="G34" s="166">
        <f t="shared" si="6"/>
        <v>-7.4771689497716894E-3</v>
      </c>
      <c r="H34" s="165">
        <f>VLOOKUP($B34,'Data shares'!$C:$FB,66)</f>
        <v>5703950</v>
      </c>
      <c r="I34" s="165">
        <f>VLOOKUP($B34,'Data shares'!$C:$FB,67)</f>
        <v>11606700</v>
      </c>
      <c r="J34" s="81">
        <f t="shared" si="7"/>
        <v>-50.856401905795792</v>
      </c>
      <c r="K34" s="5">
        <f>VLOOKUP($B34,'Data Vlaue (Cr)'!$C:$FB,99)</f>
        <v>1646</v>
      </c>
      <c r="L34" s="81">
        <f>VLOOKUP(B34,'OI(Value)'!$A$7:$C$226,3,0)</f>
        <v>-12</v>
      </c>
      <c r="M34" s="33">
        <f t="shared" si="0"/>
        <v>-0.72904009720534624</v>
      </c>
      <c r="N34" s="5">
        <f>VLOOKUP($B34,'Data Vlaue (Cr)'!$C:$FB,67)</f>
        <v>771</v>
      </c>
      <c r="O34" s="5">
        <f>VLOOKUP($B34,'Data Vlaue (Cr)'!$C:$FB,68)</f>
        <v>1569</v>
      </c>
      <c r="P34" s="5">
        <f t="shared" si="8"/>
        <v>-103.50194552529184</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453.55</v>
      </c>
      <c r="D35" s="82">
        <f>VLOOKUP($B35,'Data shares'!$C:$FB,98)</f>
        <v>190448400</v>
      </c>
      <c r="E35" s="165">
        <f>VLOOKUP(B35,'Snapshot (Volume)'!$A$7:$G$168,7,0)</f>
        <v>187309125</v>
      </c>
      <c r="F35" s="165">
        <f t="shared" si="5"/>
        <v>3139275</v>
      </c>
      <c r="G35" s="166">
        <f t="shared" si="6"/>
        <v>1.6759861539046749E-2</v>
      </c>
      <c r="H35" s="165">
        <f>VLOOKUP($B35,'Data shares'!$C:$FB,66)</f>
        <v>104707575</v>
      </c>
      <c r="I35" s="165">
        <f>VLOOKUP($B35,'Data shares'!$C:$FB,67)</f>
        <v>111211275</v>
      </c>
      <c r="J35" s="81">
        <f t="shared" si="7"/>
        <v>-5.8480581218046463</v>
      </c>
      <c r="K35" s="5">
        <f>VLOOKUP($B35,'Data Vlaue (Cr)'!$C:$FB,99)</f>
        <v>8654</v>
      </c>
      <c r="L35" s="81">
        <f>VLOOKUP(B35,'OI(Value)'!$A$7:$C$226,3,0)</f>
        <v>143</v>
      </c>
      <c r="M35" s="33">
        <f t="shared" si="0"/>
        <v>1.6524150681765659</v>
      </c>
      <c r="N35" s="5">
        <f>VLOOKUP($B35,'Data Vlaue (Cr)'!$C:$FB,67)</f>
        <v>4758</v>
      </c>
      <c r="O35" s="5">
        <f>VLOOKUP($B35,'Data Vlaue (Cr)'!$C:$FB,68)</f>
        <v>5053</v>
      </c>
      <c r="P35" s="5">
        <f t="shared" si="8"/>
        <v>-6.200084068936528</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1779.6</v>
      </c>
      <c r="D36" s="82">
        <f>VLOOKUP($B36,'Data shares'!$C:$FB,98)</f>
        <v>14135500</v>
      </c>
      <c r="E36" s="165">
        <f>VLOOKUP(B36,'Snapshot (Volume)'!$A$7:$G$168,7,0)</f>
        <v>13907000</v>
      </c>
      <c r="F36" s="165">
        <f t="shared" si="5"/>
        <v>228500</v>
      </c>
      <c r="G36" s="166">
        <f t="shared" si="6"/>
        <v>1.6430574530811821E-2</v>
      </c>
      <c r="H36" s="165">
        <f>VLOOKUP($B36,'Data shares'!$C:$FB,66)</f>
        <v>19604000</v>
      </c>
      <c r="I36" s="165">
        <f>VLOOKUP($B36,'Data shares'!$C:$FB,67)</f>
        <v>9371500</v>
      </c>
      <c r="J36" s="81">
        <f t="shared" si="7"/>
        <v>109.18742997385691</v>
      </c>
      <c r="K36" s="5">
        <f>VLOOKUP($B36,'Data Vlaue (Cr)'!$C:$FB,99)</f>
        <v>2522</v>
      </c>
      <c r="L36" s="81">
        <f>VLOOKUP(B36,'OI(Value)'!$A$7:$C$226,3,0)</f>
        <v>41</v>
      </c>
      <c r="M36" s="33">
        <f t="shared" si="0"/>
        <v>1.6256938937351311</v>
      </c>
      <c r="N36" s="5">
        <f>VLOOKUP($B36,'Data Vlaue (Cr)'!$C:$FB,67)</f>
        <v>3498</v>
      </c>
      <c r="O36" s="5">
        <f>VLOOKUP($B36,'Data Vlaue (Cr)'!$C:$FB,68)</f>
        <v>1672</v>
      </c>
      <c r="P36" s="5">
        <f t="shared" si="8"/>
        <v>52.20125786163522</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1801.3</v>
      </c>
      <c r="D37" s="82">
        <f>VLOOKUP($B37,'Data shares'!$C:$FB,98)</f>
        <v>97084775</v>
      </c>
      <c r="E37" s="165">
        <f>VLOOKUP(B37,'Snapshot (Volume)'!$A$7:$G$168,7,0)</f>
        <v>97659525</v>
      </c>
      <c r="F37" s="165">
        <f t="shared" ref="F37:F43" si="9">D37-E37</f>
        <v>-574750</v>
      </c>
      <c r="G37" s="166">
        <f t="shared" ref="G37:G43" si="10">F37/E37</f>
        <v>-5.8852426325030766E-3</v>
      </c>
      <c r="H37" s="165">
        <f>VLOOKUP($B37,'Data shares'!$C:$FB,66)</f>
        <v>39201275</v>
      </c>
      <c r="I37" s="165">
        <f>VLOOKUP($B37,'Data shares'!$C:$FB,67)</f>
        <v>59350300</v>
      </c>
      <c r="J37" s="81">
        <f t="shared" ref="J37:J43" si="11">(H37-I37)/I37*100</f>
        <v>-33.949322918334026</v>
      </c>
      <c r="K37" s="5">
        <f>VLOOKUP($B37,'Data Vlaue (Cr)'!$C:$FB,99)</f>
        <v>17546</v>
      </c>
      <c r="L37" s="81">
        <f>VLOOKUP(B37,'OI(Value)'!$A$7:$C$226,3,0)</f>
        <v>-104</v>
      </c>
      <c r="M37" s="33">
        <f t="shared" ref="M37:M65" si="12">L37/K37*100</f>
        <v>-0.59272768722215885</v>
      </c>
      <c r="N37" s="5">
        <f>VLOOKUP($B37,'Data Vlaue (Cr)'!$C:$FB,67)</f>
        <v>7085</v>
      </c>
      <c r="O37" s="5">
        <f>VLOOKUP($B37,'Data Vlaue (Cr)'!$C:$FB,68)</f>
        <v>10726</v>
      </c>
      <c r="P37" s="5">
        <f t="shared" ref="P37:P43" si="13">(N37-O37)/N37*100</f>
        <v>-51.390261115031755</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267.85000000000002</v>
      </c>
      <c r="D38" s="82">
        <f>VLOOKUP($B38,'Data shares'!$C:$FB,98)</f>
        <v>187997250</v>
      </c>
      <c r="E38" s="165">
        <f>VLOOKUP(B38,'Snapshot (Volume)'!$A$7:$G$168,7,0)</f>
        <v>189207375</v>
      </c>
      <c r="F38" s="165">
        <f t="shared" si="9"/>
        <v>-1210125</v>
      </c>
      <c r="G38" s="166">
        <f t="shared" si="10"/>
        <v>-6.3957602075500495E-3</v>
      </c>
      <c r="H38" s="165">
        <f>VLOOKUP($B38,'Data shares'!$C:$FB,66)</f>
        <v>185059875</v>
      </c>
      <c r="I38" s="165">
        <f>VLOOKUP($B38,'Data shares'!$C:$FB,67)</f>
        <v>76345500</v>
      </c>
      <c r="J38" s="81">
        <f t="shared" si="11"/>
        <v>142.39788199697426</v>
      </c>
      <c r="K38" s="5">
        <f>VLOOKUP($B38,'Data Vlaue (Cr)'!$C:$FB,99)</f>
        <v>5054</v>
      </c>
      <c r="L38" s="81">
        <f>VLOOKUP(B38,'OI(Value)'!$A$7:$C$226,3,0)</f>
        <v>-33</v>
      </c>
      <c r="M38" s="33">
        <f t="shared" si="12"/>
        <v>-0.65294815987336763</v>
      </c>
      <c r="N38" s="5">
        <f>VLOOKUP($B38,'Data Vlaue (Cr)'!$C:$FB,67)</f>
        <v>4975</v>
      </c>
      <c r="O38" s="5">
        <f>VLOOKUP($B38,'Data Vlaue (Cr)'!$C:$FB,68)</f>
        <v>2053</v>
      </c>
      <c r="P38" s="5">
        <f t="shared" si="13"/>
        <v>58.733668341708544</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392.2</v>
      </c>
      <c r="D39" s="82">
        <f>VLOOKUP($B39,'Data shares'!$C:$FB,98)</f>
        <v>69950000</v>
      </c>
      <c r="E39" s="165">
        <f>VLOOKUP(B39,'Snapshot (Volume)'!$A$7:$G$168,7,0)</f>
        <v>68695000</v>
      </c>
      <c r="F39" s="165">
        <f t="shared" si="9"/>
        <v>1255000</v>
      </c>
      <c r="G39" s="166">
        <f t="shared" si="10"/>
        <v>1.8269160783171992E-2</v>
      </c>
      <c r="H39" s="165">
        <f>VLOOKUP($B39,'Data shares'!$C:$FB,66)</f>
        <v>43407500</v>
      </c>
      <c r="I39" s="165">
        <f>VLOOKUP($B39,'Data shares'!$C:$FB,67)</f>
        <v>68160000</v>
      </c>
      <c r="J39" s="81">
        <f t="shared" si="11"/>
        <v>-36.315287558685441</v>
      </c>
      <c r="K39" s="5">
        <f>VLOOKUP($B39,'Data Vlaue (Cr)'!$C:$FB,99)</f>
        <v>2752</v>
      </c>
      <c r="L39" s="81">
        <f>VLOOKUP(B39,'OI(Value)'!$A$7:$C$226,3,0)</f>
        <v>49</v>
      </c>
      <c r="M39" s="33">
        <f t="shared" si="12"/>
        <v>1.7805232558139534</v>
      </c>
      <c r="N39" s="5">
        <f>VLOOKUP($B39,'Data Vlaue (Cr)'!$C:$FB,67)</f>
        <v>1708</v>
      </c>
      <c r="O39" s="5">
        <f>VLOOKUP($B39,'Data Vlaue (Cr)'!$C:$FB,68)</f>
        <v>2681</v>
      </c>
      <c r="P39" s="5">
        <f t="shared" si="13"/>
        <v>-56.967213114754102</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1953.5</v>
      </c>
      <c r="D40" s="82">
        <f>VLOOKUP($B40,'Data shares'!$C:$FB,98)</f>
        <v>4478825</v>
      </c>
      <c r="E40" s="165">
        <f>VLOOKUP(B40,'Snapshot (Volume)'!$A$7:$G$168,7,0)</f>
        <v>4413175</v>
      </c>
      <c r="F40" s="165">
        <f t="shared" si="9"/>
        <v>65650</v>
      </c>
      <c r="G40" s="166">
        <f t="shared" si="10"/>
        <v>1.4875911333677001E-2</v>
      </c>
      <c r="H40" s="165">
        <f>VLOOKUP($B40,'Data shares'!$C:$FB,66)</f>
        <v>4181125</v>
      </c>
      <c r="I40" s="165">
        <f>VLOOKUP($B40,'Data shares'!$C:$FB,67)</f>
        <v>11037000</v>
      </c>
      <c r="J40" s="81">
        <f t="shared" si="11"/>
        <v>-62.117196702002353</v>
      </c>
      <c r="K40" s="5">
        <f>VLOOKUP($B40,'Data Vlaue (Cr)'!$C:$FB,99)</f>
        <v>871</v>
      </c>
      <c r="L40" s="81">
        <f>VLOOKUP(B40,'OI(Value)'!$A$7:$C$226,3,0)</f>
        <v>13</v>
      </c>
      <c r="M40" s="33">
        <f t="shared" si="12"/>
        <v>1.4925373134328357</v>
      </c>
      <c r="N40" s="5">
        <f>VLOOKUP($B40,'Data Vlaue (Cr)'!$C:$FB,67)</f>
        <v>813</v>
      </c>
      <c r="O40" s="5">
        <f>VLOOKUP($B40,'Data Vlaue (Cr)'!$C:$FB,68)</f>
        <v>2147</v>
      </c>
      <c r="P40" s="5">
        <f t="shared" si="13"/>
        <v>-164.08364083640836</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31305</v>
      </c>
      <c r="D41" s="82">
        <f>VLOOKUP($B41,'Data shares'!$C:$FB,98)</f>
        <v>602725</v>
      </c>
      <c r="E41" s="165">
        <f>VLOOKUP(B41,'Snapshot (Volume)'!$A$7:$G$168,7,0)</f>
        <v>587150</v>
      </c>
      <c r="F41" s="165">
        <f t="shared" si="9"/>
        <v>15575</v>
      </c>
      <c r="G41" s="166">
        <f t="shared" si="10"/>
        <v>2.6526441284169294E-2</v>
      </c>
      <c r="H41" s="165">
        <f>VLOOKUP($B41,'Data shares'!$C:$FB,66)</f>
        <v>198800</v>
      </c>
      <c r="I41" s="165">
        <f>VLOOKUP($B41,'Data shares'!$C:$FB,67)</f>
        <v>406875</v>
      </c>
      <c r="J41" s="81">
        <f t="shared" si="11"/>
        <v>-51.139784946236553</v>
      </c>
      <c r="K41" s="5">
        <f>VLOOKUP($B41,'Data Vlaue (Cr)'!$C:$FB,99)</f>
        <v>1893</v>
      </c>
      <c r="L41" s="81">
        <f>VLOOKUP(B41,'OI(Value)'!$A$7:$C$226,3,0)</f>
        <v>49</v>
      </c>
      <c r="M41" s="33">
        <f t="shared" si="12"/>
        <v>2.5884838880084522</v>
      </c>
      <c r="N41" s="5">
        <f>VLOOKUP($B41,'Data Vlaue (Cr)'!$C:$FB,67)</f>
        <v>624</v>
      </c>
      <c r="O41" s="5">
        <f>VLOOKUP($B41,'Data Vlaue (Cr)'!$C:$FB,68)</f>
        <v>1278</v>
      </c>
      <c r="P41" s="5">
        <f t="shared" si="13"/>
        <v>-104.80769230769231</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326.35000000000002</v>
      </c>
      <c r="D42" s="82">
        <f>VLOOKUP($B42,'Data shares'!$C:$FB,98)</f>
        <v>90133075</v>
      </c>
      <c r="E42" s="165">
        <f>VLOOKUP(B42,'Snapshot (Volume)'!$A$7:$G$168,7,0)</f>
        <v>88501725</v>
      </c>
      <c r="F42" s="165">
        <f t="shared" si="9"/>
        <v>1631350</v>
      </c>
      <c r="G42" s="166">
        <f t="shared" si="10"/>
        <v>1.843297404655107E-2</v>
      </c>
      <c r="H42" s="165">
        <f>VLOOKUP($B42,'Data shares'!$C:$FB,66)</f>
        <v>69109200</v>
      </c>
      <c r="I42" s="165">
        <f>VLOOKUP($B42,'Data shares'!$C:$FB,67)</f>
        <v>53589650</v>
      </c>
      <c r="J42" s="81">
        <f t="shared" si="11"/>
        <v>28.959976413355935</v>
      </c>
      <c r="K42" s="5">
        <f>VLOOKUP($B42,'Data Vlaue (Cr)'!$C:$FB,99)</f>
        <v>2949</v>
      </c>
      <c r="L42" s="81">
        <f>VLOOKUP(B42,'OI(Value)'!$A$7:$C$226,3,0)</f>
        <v>53</v>
      </c>
      <c r="M42" s="33">
        <f t="shared" si="12"/>
        <v>1.7972193964055609</v>
      </c>
      <c r="N42" s="5">
        <f>VLOOKUP($B42,'Data Vlaue (Cr)'!$C:$FB,67)</f>
        <v>2261</v>
      </c>
      <c r="O42" s="5">
        <f>VLOOKUP($B42,'Data Vlaue (Cr)'!$C:$FB,68)</f>
        <v>1753</v>
      </c>
      <c r="P42" s="5">
        <f t="shared" si="13"/>
        <v>22.467934542237948</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5787</v>
      </c>
      <c r="D43" s="82">
        <f>VLOOKUP($B43,'Data shares'!$C:$FB,98)</f>
        <v>4055000</v>
      </c>
      <c r="E43" s="165">
        <f>VLOOKUP(B43,'Snapshot (Volume)'!$A$7:$G$168,7,0)</f>
        <v>4236125</v>
      </c>
      <c r="F43" s="165">
        <f t="shared" si="9"/>
        <v>-181125</v>
      </c>
      <c r="G43" s="166">
        <f t="shared" si="10"/>
        <v>-4.2757236861518486E-2</v>
      </c>
      <c r="H43" s="165">
        <f>VLOOKUP($B43,'Data shares'!$C:$FB,66)</f>
        <v>3424375</v>
      </c>
      <c r="I43" s="165">
        <f>VLOOKUP($B43,'Data shares'!$C:$FB,67)</f>
        <v>1691500</v>
      </c>
      <c r="J43" s="81">
        <f t="shared" si="11"/>
        <v>102.4460537984038</v>
      </c>
      <c r="K43" s="5">
        <f>VLOOKUP($B43,'Data Vlaue (Cr)'!$C:$FB,99)</f>
        <v>2349</v>
      </c>
      <c r="L43" s="81">
        <f>VLOOKUP(B43,'OI(Value)'!$A$7:$C$226,3,0)</f>
        <v>-105</v>
      </c>
      <c r="M43" s="33">
        <f t="shared" si="12"/>
        <v>-4.4699872286079181</v>
      </c>
      <c r="N43" s="5">
        <f>VLOOKUP($B43,'Data Vlaue (Cr)'!$C:$FB,67)</f>
        <v>1984</v>
      </c>
      <c r="O43" s="5">
        <f>VLOOKUP($B43,'Data Vlaue (Cr)'!$C:$FB,68)</f>
        <v>980</v>
      </c>
      <c r="P43" s="5">
        <f t="shared" si="13"/>
        <v>50.604838709677423</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2850.6</v>
      </c>
      <c r="D44" s="165">
        <f>VLOOKUP($B44,'Data shares'!$C:$FB,98)</f>
        <v>20772000</v>
      </c>
      <c r="E44" s="165">
        <f>VLOOKUP(B44,'Snapshot (Volume)'!$A$7:$G$168,7,0)</f>
        <v>20450250</v>
      </c>
      <c r="F44" s="165">
        <f t="shared" ref="F44:F49" si="14">D44-E44</f>
        <v>321750</v>
      </c>
      <c r="G44" s="166">
        <f t="shared" ref="G44:G49" si="15">F44/E44</f>
        <v>1.5733303993838706E-2</v>
      </c>
      <c r="H44" s="165">
        <f>VLOOKUP($B44,'Data shares'!$C:$FB,66)</f>
        <v>25167000</v>
      </c>
      <c r="I44" s="165">
        <f>VLOOKUP($B44,'Data shares'!$C:$FB,67)</f>
        <v>23977875</v>
      </c>
      <c r="J44" s="81">
        <f t="shared" ref="J44:J49" si="16">(H44-I44)/I44*100</f>
        <v>4.9592593171830286</v>
      </c>
      <c r="K44" s="81">
        <f>VLOOKUP($B44,'Data Vlaue (Cr)'!$C:$FB,99)</f>
        <v>5924</v>
      </c>
      <c r="L44" s="81">
        <f>VLOOKUP(B44,'OI(Value)'!$A$7:$C$226,3,0)</f>
        <v>92</v>
      </c>
      <c r="M44" s="81">
        <f t="shared" si="12"/>
        <v>1.5530047265361242</v>
      </c>
      <c r="N44" s="81">
        <f>VLOOKUP($B44,'Data Vlaue (Cr)'!$C:$FB,67)</f>
        <v>7177</v>
      </c>
      <c r="O44" s="81">
        <f>VLOOKUP($B44,'Data Vlaue (Cr)'!$C:$FB,68)</f>
        <v>6838</v>
      </c>
      <c r="P44" s="81">
        <f t="shared" ref="P44:P49" si="17">(N44-O44)/N44*100</f>
        <v>4.7234220426361988</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663.75</v>
      </c>
      <c r="D45" s="82">
        <f>VLOOKUP($B45,'Data shares'!$C:$FB,98)</f>
        <v>13068750</v>
      </c>
      <c r="E45" s="165">
        <f>VLOOKUP(B45,'Snapshot (Volume)'!$A$7:$G$168,7,0)</f>
        <v>12923250</v>
      </c>
      <c r="F45" s="165">
        <f t="shared" si="14"/>
        <v>145500</v>
      </c>
      <c r="G45" s="166">
        <f t="shared" si="15"/>
        <v>1.1258777784226104E-2</v>
      </c>
      <c r="H45" s="165">
        <f>VLOOKUP($B45,'Data shares'!$C:$FB,66)</f>
        <v>5338500</v>
      </c>
      <c r="I45" s="165">
        <f>VLOOKUP($B45,'Data shares'!$C:$FB,67)</f>
        <v>5589750</v>
      </c>
      <c r="J45" s="81">
        <f t="shared" si="16"/>
        <v>-4.4948342949147992</v>
      </c>
      <c r="K45" s="5">
        <f>VLOOKUP($B45,'Data Vlaue (Cr)'!$C:$FB,99)</f>
        <v>868</v>
      </c>
      <c r="L45" s="81">
        <f>VLOOKUP(B45,'OI(Value)'!$A$7:$C$226,3,0)</f>
        <v>10</v>
      </c>
      <c r="M45" s="33">
        <f t="shared" si="12"/>
        <v>1.1520737327188941</v>
      </c>
      <c r="N45" s="5">
        <f>VLOOKUP($B45,'Data Vlaue (Cr)'!$C:$FB,67)</f>
        <v>354</v>
      </c>
      <c r="O45" s="5">
        <f>VLOOKUP($B45,'Data Vlaue (Cr)'!$C:$FB,68)</f>
        <v>371</v>
      </c>
      <c r="P45" s="5">
        <f t="shared" si="17"/>
        <v>-4.8022598870056497</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140.34</v>
      </c>
      <c r="D46" s="82">
        <f>VLOOKUP($B46,'Data shares'!$C:$FB,98)</f>
        <v>375657750</v>
      </c>
      <c r="E46" s="165">
        <f>VLOOKUP(B46,'Snapshot (Volume)'!$A$7:$G$168,7,0)</f>
        <v>368529750</v>
      </c>
      <c r="F46" s="165">
        <f t="shared" si="14"/>
        <v>7128000</v>
      </c>
      <c r="G46" s="166">
        <f t="shared" si="15"/>
        <v>1.9341722072641353E-2</v>
      </c>
      <c r="H46" s="165">
        <f>VLOOKUP($B46,'Data shares'!$C:$FB,66)</f>
        <v>187744500</v>
      </c>
      <c r="I46" s="165">
        <f>VLOOKUP($B46,'Data shares'!$C:$FB,67)</f>
        <v>104631750</v>
      </c>
      <c r="J46" s="81">
        <f t="shared" si="16"/>
        <v>79.433584930004514</v>
      </c>
      <c r="K46" s="5">
        <f>VLOOKUP($B46,'Data Vlaue (Cr)'!$C:$FB,99)</f>
        <v>5281</v>
      </c>
      <c r="L46" s="81">
        <f>VLOOKUP(B46,'OI(Value)'!$A$7:$C$226,3,0)</f>
        <v>100</v>
      </c>
      <c r="M46" s="33">
        <f t="shared" si="12"/>
        <v>1.8935807612194659</v>
      </c>
      <c r="N46" s="5">
        <f>VLOOKUP($B46,'Data Vlaue (Cr)'!$C:$FB,67)</f>
        <v>2639</v>
      </c>
      <c r="O46" s="5">
        <f>VLOOKUP($B46,'Data Vlaue (Cr)'!$C:$FB,68)</f>
        <v>1471</v>
      </c>
      <c r="P46" s="5">
        <f t="shared" si="17"/>
        <v>44.259189086775294</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1210.8</v>
      </c>
      <c r="D47" s="82">
        <f>VLOOKUP($B47,'Data shares'!$C:$FB,98)</f>
        <v>24088200</v>
      </c>
      <c r="E47" s="165">
        <f>VLOOKUP(B47,'Snapshot (Volume)'!$A$7:$G$168,7,0)</f>
        <v>23200425</v>
      </c>
      <c r="F47" s="165">
        <f t="shared" si="14"/>
        <v>887775</v>
      </c>
      <c r="G47" s="166">
        <f t="shared" si="15"/>
        <v>3.8265462809409741E-2</v>
      </c>
      <c r="H47" s="165">
        <f>VLOOKUP($B47,'Data shares'!$C:$FB,66)</f>
        <v>11206200</v>
      </c>
      <c r="I47" s="165">
        <f>VLOOKUP($B47,'Data shares'!$C:$FB,67)</f>
        <v>9842000</v>
      </c>
      <c r="J47" s="81">
        <f t="shared" si="16"/>
        <v>13.861003861003862</v>
      </c>
      <c r="K47" s="5">
        <f>VLOOKUP($B47,'Data Vlaue (Cr)'!$C:$FB,99)</f>
        <v>2912</v>
      </c>
      <c r="L47" s="81">
        <f>VLOOKUP(B47,'OI(Value)'!$A$7:$C$226,3,0)</f>
        <v>107</v>
      </c>
      <c r="M47" s="33">
        <f t="shared" si="12"/>
        <v>3.6744505494505497</v>
      </c>
      <c r="N47" s="5">
        <f>VLOOKUP($B47,'Data Vlaue (Cr)'!$C:$FB,67)</f>
        <v>1354</v>
      </c>
      <c r="O47" s="5">
        <f>VLOOKUP($B47,'Data Vlaue (Cr)'!$C:$FB,68)</f>
        <v>1190</v>
      </c>
      <c r="P47" s="5">
        <f t="shared" si="17"/>
        <v>12.112259970457902</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737.3</v>
      </c>
      <c r="D48" s="82">
        <f>VLOOKUP($B48,'Data shares'!$C:$FB,98)</f>
        <v>25800900</v>
      </c>
      <c r="E48" s="165">
        <f>VLOOKUP(B48,'Snapshot (Volume)'!$A$7:$G$168,7,0)</f>
        <v>24163800</v>
      </c>
      <c r="F48" s="165">
        <f t="shared" si="14"/>
        <v>1637100</v>
      </c>
      <c r="G48" s="166">
        <f t="shared" si="15"/>
        <v>6.7750105529759394E-2</v>
      </c>
      <c r="H48" s="165">
        <f>VLOOKUP($B48,'Data shares'!$C:$FB,66)</f>
        <v>26679800</v>
      </c>
      <c r="I48" s="165">
        <f>VLOOKUP($B48,'Data shares'!$C:$FB,67)</f>
        <v>17901850</v>
      </c>
      <c r="J48" s="81">
        <f t="shared" si="16"/>
        <v>49.033759080765392</v>
      </c>
      <c r="K48" s="5">
        <f>VLOOKUP($B48,'Data Vlaue (Cr)'!$C:$FB,99)</f>
        <v>1909</v>
      </c>
      <c r="L48" s="81">
        <f>VLOOKUP(B48,'OI(Value)'!$A$7:$C$226,3,0)</f>
        <v>121</v>
      </c>
      <c r="M48" s="33">
        <f t="shared" si="12"/>
        <v>6.3383970665269782</v>
      </c>
      <c r="N48" s="5">
        <f>VLOOKUP($B48,'Data Vlaue (Cr)'!$C:$FB,67)</f>
        <v>1974</v>
      </c>
      <c r="O48" s="5">
        <f>VLOOKUP($B48,'Data Vlaue (Cr)'!$C:$FB,68)</f>
        <v>1325</v>
      </c>
      <c r="P48" s="5">
        <f t="shared" si="17"/>
        <v>32.877406281661607</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1526.1</v>
      </c>
      <c r="D49" s="82">
        <f>VLOOKUP($B49,'Data shares'!$C:$FB,98)</f>
        <v>24604375</v>
      </c>
      <c r="E49" s="165">
        <f>VLOOKUP(B49,'Snapshot (Volume)'!$A$7:$G$168,7,0)</f>
        <v>23756250</v>
      </c>
      <c r="F49" s="165">
        <f t="shared" si="14"/>
        <v>848125</v>
      </c>
      <c r="G49" s="166">
        <f t="shared" si="15"/>
        <v>3.5701131281241777E-2</v>
      </c>
      <c r="H49" s="165">
        <f>VLOOKUP($B49,'Data shares'!$C:$FB,66)</f>
        <v>9672500</v>
      </c>
      <c r="I49" s="165">
        <f>VLOOKUP($B49,'Data shares'!$C:$FB,67)</f>
        <v>11828750</v>
      </c>
      <c r="J49" s="81">
        <f t="shared" si="16"/>
        <v>-18.228891472049032</v>
      </c>
      <c r="K49" s="5">
        <f>VLOOKUP($B49,'Data Vlaue (Cr)'!$C:$FB,99)</f>
        <v>3769</v>
      </c>
      <c r="L49" s="81">
        <f>VLOOKUP(B49,'OI(Value)'!$A$7:$C$226,3,0)</f>
        <v>130</v>
      </c>
      <c r="M49" s="33">
        <f t="shared" si="12"/>
        <v>3.4491907667816393</v>
      </c>
      <c r="N49" s="5">
        <f>VLOOKUP($B49,'Data Vlaue (Cr)'!$C:$FB,67)</f>
        <v>1482</v>
      </c>
      <c r="O49" s="5">
        <f>VLOOKUP($B49,'Data Vlaue (Cr)'!$C:$FB,68)</f>
        <v>1812</v>
      </c>
      <c r="P49" s="5">
        <f t="shared" si="17"/>
        <v>-22.267206477732792</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1324.3</v>
      </c>
      <c r="D50" s="82">
        <f>VLOOKUP($B50,'Data shares'!$C:$FB,98)</f>
        <v>24705000</v>
      </c>
      <c r="E50" s="165">
        <f>VLOOKUP(B50,'Snapshot (Volume)'!$A$7:$G$168,7,0)</f>
        <v>23625000</v>
      </c>
      <c r="F50" s="165">
        <f>D50-E50</f>
        <v>1080000</v>
      </c>
      <c r="G50" s="166">
        <f>F50/E50</f>
        <v>4.5714285714285714E-2</v>
      </c>
      <c r="H50" s="165">
        <f>VLOOKUP($B50,'Data shares'!$C:$FB,66)</f>
        <v>13875375</v>
      </c>
      <c r="I50" s="165">
        <f>VLOOKUP($B50,'Data shares'!$C:$FB,67)</f>
        <v>7492875</v>
      </c>
      <c r="J50" s="81">
        <f>(H50-I50)/I50*100</f>
        <v>85.180921875781991</v>
      </c>
      <c r="K50" s="5">
        <f>VLOOKUP($B50,'Data Vlaue (Cr)'!$C:$FB,99)</f>
        <v>3285</v>
      </c>
      <c r="L50" s="81">
        <f>VLOOKUP(B50,'OI(Value)'!$A$7:$C$226,3,0)</f>
        <v>144</v>
      </c>
      <c r="M50" s="33">
        <f t="shared" si="12"/>
        <v>4.3835616438356162</v>
      </c>
      <c r="N50" s="5">
        <f>VLOOKUP($B50,'Data Vlaue (Cr)'!$C:$FB,67)</f>
        <v>1845</v>
      </c>
      <c r="O50" s="5">
        <f>VLOOKUP($B50,'Data Vlaue (Cr)'!$C:$FB,68)</f>
        <v>996</v>
      </c>
      <c r="P50" s="5">
        <f>(N50-O50)/N50*100</f>
        <v>46.016260162601625</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470.1</v>
      </c>
      <c r="D51" s="82">
        <f>VLOOKUP($B51,'Data shares'!$C:$FB,98)</f>
        <v>113528250</v>
      </c>
      <c r="E51" s="165">
        <f>VLOOKUP(B51,'Snapshot (Volume)'!$A$7:$G$168,7,0)</f>
        <v>102832200</v>
      </c>
      <c r="F51" s="165">
        <f>D51-E51</f>
        <v>10696050</v>
      </c>
      <c r="G51" s="166">
        <f>F51/E51</f>
        <v>0.10401459854014598</v>
      </c>
      <c r="H51" s="165">
        <f>VLOOKUP($B51,'Data shares'!$C:$FB,66)</f>
        <v>314811900</v>
      </c>
      <c r="I51" s="165">
        <f>VLOOKUP($B51,'Data shares'!$C:$FB,67)</f>
        <v>111302100</v>
      </c>
      <c r="J51" s="81">
        <f>(H51-I51)/I51*100</f>
        <v>182.84452853989276</v>
      </c>
      <c r="K51" s="5">
        <f>VLOOKUP($B51,'Data Vlaue (Cr)'!$C:$FB,99)</f>
        <v>5342</v>
      </c>
      <c r="L51" s="81">
        <f>VLOOKUP(B51,'OI(Value)'!$A$7:$C$226,3,0)</f>
        <v>503</v>
      </c>
      <c r="M51" s="33">
        <f t="shared" si="12"/>
        <v>9.4159490827405463</v>
      </c>
      <c r="N51" s="5">
        <f>VLOOKUP($B51,'Data Vlaue (Cr)'!$C:$FB,67)</f>
        <v>14813</v>
      </c>
      <c r="O51" s="5">
        <f>VLOOKUP($B51,'Data Vlaue (Cr)'!$C:$FB,68)</f>
        <v>5237</v>
      </c>
      <c r="P51" s="5">
        <f>(N51-O51)/N51*100</f>
        <v>64.645919125092817</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1107.9000000000001</v>
      </c>
      <c r="D52" s="80">
        <f>VLOOKUP($B52,'Data shares'!$C:$FB,98)</f>
        <v>45467250</v>
      </c>
      <c r="E52" s="165">
        <f>VLOOKUP(B52,'Snapshot (Volume)'!$A$7:$G$168,7,0)</f>
        <v>44524875</v>
      </c>
      <c r="F52" s="165">
        <f t="shared" ref="F52:F68" si="18">D52-E52</f>
        <v>942375</v>
      </c>
      <c r="G52" s="166">
        <f t="shared" ref="G52:G68" si="19">F52/E52</f>
        <v>2.1165135219357718E-2</v>
      </c>
      <c r="H52" s="165">
        <f>VLOOKUP($B52,'Data shares'!$C:$FB,66)</f>
        <v>25178250</v>
      </c>
      <c r="I52" s="165">
        <f>VLOOKUP($B52,'Data shares'!$C:$FB,67)</f>
        <v>21008625</v>
      </c>
      <c r="J52" s="81">
        <f t="shared" ref="J52:J68" si="20">(H52-I52)/I52*100</f>
        <v>19.847205611980794</v>
      </c>
      <c r="K52" s="81">
        <f>VLOOKUP($B52,'Data Vlaue (Cr)'!$C:$FB,99)</f>
        <v>5050</v>
      </c>
      <c r="L52" s="81">
        <f>VLOOKUP(B52,'OI(Value)'!$A$7:$C$226,3,0)</f>
        <v>105</v>
      </c>
      <c r="M52" s="81">
        <f t="shared" si="12"/>
        <v>2.0792079207920793</v>
      </c>
      <c r="N52" s="81">
        <f>VLOOKUP($B52,'Data Vlaue (Cr)'!$C:$FB,67)</f>
        <v>2796</v>
      </c>
      <c r="O52" s="81">
        <f>VLOOKUP($B52,'Data Vlaue (Cr)'!$C:$FB,68)</f>
        <v>2333</v>
      </c>
      <c r="P52" s="81">
        <f t="shared" ref="P52:P68" si="21">(N52-O52)/N52*100</f>
        <v>16.559370529327609</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1975.8</v>
      </c>
      <c r="D53" s="82">
        <f>VLOOKUP($B53,'Data shares'!$C:$FB,98)</f>
        <v>13413825</v>
      </c>
      <c r="E53" s="165">
        <f>VLOOKUP(B53,'Snapshot (Volume)'!$A$7:$G$168,7,0)</f>
        <v>12224250</v>
      </c>
      <c r="F53" s="165">
        <f t="shared" si="18"/>
        <v>1189575</v>
      </c>
      <c r="G53" s="166">
        <f t="shared" si="19"/>
        <v>9.731271857169152E-2</v>
      </c>
      <c r="H53" s="165">
        <f>VLOOKUP($B53,'Data shares'!$C:$FB,66)</f>
        <v>13098600</v>
      </c>
      <c r="I53" s="165">
        <f>VLOOKUP($B53,'Data shares'!$C:$FB,67)</f>
        <v>31322475</v>
      </c>
      <c r="J53" s="81">
        <f t="shared" si="20"/>
        <v>-58.181465545107791</v>
      </c>
      <c r="K53" s="5">
        <f>VLOOKUP($B53,'Data Vlaue (Cr)'!$C:$FB,99)</f>
        <v>2647</v>
      </c>
      <c r="L53" s="81">
        <f>VLOOKUP(B53,'OI(Value)'!$A$7:$C$226,3,0)</f>
        <v>235</v>
      </c>
      <c r="M53" s="33">
        <f t="shared" si="12"/>
        <v>8.8779750661125796</v>
      </c>
      <c r="N53" s="5">
        <f>VLOOKUP($B53,'Data Vlaue (Cr)'!$C:$FB,67)</f>
        <v>2585</v>
      </c>
      <c r="O53" s="5">
        <f>VLOOKUP($B53,'Data Vlaue (Cr)'!$C:$FB,68)</f>
        <v>6181</v>
      </c>
      <c r="P53" s="5">
        <f t="shared" si="21"/>
        <v>-139.110251450677</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467.15</v>
      </c>
      <c r="D54" s="82">
        <f>VLOOKUP($B54,'Data shares'!$C:$FB,98)</f>
        <v>47501250</v>
      </c>
      <c r="E54" s="165">
        <f>VLOOKUP(B54,'Snapshot (Volume)'!$A$7:$G$168,7,0)</f>
        <v>46695000</v>
      </c>
      <c r="F54" s="165">
        <f t="shared" si="18"/>
        <v>806250</v>
      </c>
      <c r="G54" s="166">
        <f t="shared" si="19"/>
        <v>1.7266302601991648E-2</v>
      </c>
      <c r="H54" s="165">
        <f>VLOOKUP($B54,'Data shares'!$C:$FB,66)</f>
        <v>9957500</v>
      </c>
      <c r="I54" s="165">
        <f>VLOOKUP($B54,'Data shares'!$C:$FB,67)</f>
        <v>10447500</v>
      </c>
      <c r="J54" s="81">
        <f t="shared" si="20"/>
        <v>-4.6901172529313229</v>
      </c>
      <c r="K54" s="5">
        <f>VLOOKUP($B54,'Data Vlaue (Cr)'!$C:$FB,99)</f>
        <v>2228</v>
      </c>
      <c r="L54" s="81">
        <f>VLOOKUP(B54,'OI(Value)'!$A$7:$C$226,3,0)</f>
        <v>38</v>
      </c>
      <c r="M54" s="33">
        <f t="shared" si="12"/>
        <v>1.7055655296229804</v>
      </c>
      <c r="N54" s="5">
        <f>VLOOKUP($B54,'Data Vlaue (Cr)'!$C:$FB,67)</f>
        <v>467</v>
      </c>
      <c r="O54" s="5">
        <f>VLOOKUP($B54,'Data Vlaue (Cr)'!$C:$FB,68)</f>
        <v>490</v>
      </c>
      <c r="P54" s="5">
        <f t="shared" si="21"/>
        <v>-4.925053533190578</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247.2</v>
      </c>
      <c r="D55" s="82">
        <f>VLOOKUP($B55,'Data shares'!$C:$FB,98)</f>
        <v>61920000</v>
      </c>
      <c r="E55" s="165">
        <f>VLOOKUP(B55,'Snapshot (Volume)'!$A$7:$G$168,7,0)</f>
        <v>61234200</v>
      </c>
      <c r="F55" s="165">
        <f t="shared" si="18"/>
        <v>685800</v>
      </c>
      <c r="G55" s="166">
        <f t="shared" si="19"/>
        <v>1.1199623739674888E-2</v>
      </c>
      <c r="H55" s="165">
        <f>VLOOKUP($B55,'Data shares'!$C:$FB,66)</f>
        <v>22005000</v>
      </c>
      <c r="I55" s="165">
        <f>VLOOKUP($B55,'Data shares'!$C:$FB,67)</f>
        <v>11379600</v>
      </c>
      <c r="J55" s="81">
        <f t="shared" si="20"/>
        <v>93.372350521986718</v>
      </c>
      <c r="K55" s="5">
        <f>VLOOKUP($B55,'Data Vlaue (Cr)'!$C:$FB,99)</f>
        <v>1534</v>
      </c>
      <c r="L55" s="81">
        <f>VLOOKUP(B55,'OI(Value)'!$A$7:$C$226,3,0)</f>
        <v>17</v>
      </c>
      <c r="M55" s="33">
        <f t="shared" si="12"/>
        <v>1.108213820078227</v>
      </c>
      <c r="N55" s="5">
        <f>VLOOKUP($B55,'Data Vlaue (Cr)'!$C:$FB,67)</f>
        <v>545</v>
      </c>
      <c r="O55" s="5">
        <f>VLOOKUP($B55,'Data Vlaue (Cr)'!$C:$FB,68)</f>
        <v>282</v>
      </c>
      <c r="P55" s="5">
        <f t="shared" si="21"/>
        <v>48.256880733944953</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4753.6000000000004</v>
      </c>
      <c r="D56" s="82">
        <f>VLOOKUP($B56,'Data shares'!$C:$FB,98)</f>
        <v>5354800</v>
      </c>
      <c r="E56" s="165">
        <f>VLOOKUP(B56,'Snapshot (Volume)'!$A$7:$G$168,7,0)</f>
        <v>5351200</v>
      </c>
      <c r="F56" s="165">
        <f t="shared" si="18"/>
        <v>3600</v>
      </c>
      <c r="G56" s="166">
        <f t="shared" si="19"/>
        <v>6.7274629989535052E-4</v>
      </c>
      <c r="H56" s="165">
        <f>VLOOKUP($B56,'Data shares'!$C:$FB,66)</f>
        <v>5977000</v>
      </c>
      <c r="I56" s="165">
        <f>VLOOKUP($B56,'Data shares'!$C:$FB,67)</f>
        <v>4642400</v>
      </c>
      <c r="J56" s="81">
        <f t="shared" si="20"/>
        <v>28.74806134757884</v>
      </c>
      <c r="K56" s="5">
        <f>VLOOKUP($B56,'Data Vlaue (Cr)'!$C:$FB,99)</f>
        <v>2549</v>
      </c>
      <c r="L56" s="81">
        <f>VLOOKUP(B56,'OI(Value)'!$A$7:$C$226,3,0)</f>
        <v>2</v>
      </c>
      <c r="M56" s="33">
        <f t="shared" si="12"/>
        <v>7.8462142016477054E-2</v>
      </c>
      <c r="N56" s="5">
        <f>VLOOKUP($B56,'Data Vlaue (Cr)'!$C:$FB,67)</f>
        <v>2845</v>
      </c>
      <c r="O56" s="5">
        <f>VLOOKUP($B56,'Data Vlaue (Cr)'!$C:$FB,68)</f>
        <v>2210</v>
      </c>
      <c r="P56" s="5">
        <f t="shared" si="21"/>
        <v>22.319859402460455</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459.35</v>
      </c>
      <c r="D57" s="82">
        <f>VLOOKUP($B57,'Data shares'!$C:$FB,98)</f>
        <v>43467500</v>
      </c>
      <c r="E57" s="165">
        <f>VLOOKUP(B57,'Snapshot (Volume)'!$A$7:$G$168,7,0)</f>
        <v>41707500</v>
      </c>
      <c r="F57" s="165">
        <f t="shared" si="18"/>
        <v>1760000</v>
      </c>
      <c r="G57" s="166">
        <f t="shared" si="19"/>
        <v>4.2198645327578971E-2</v>
      </c>
      <c r="H57" s="165">
        <f>VLOOKUP($B57,'Data shares'!$C:$FB,66)</f>
        <v>16941250</v>
      </c>
      <c r="I57" s="165">
        <f>VLOOKUP($B57,'Data shares'!$C:$FB,67)</f>
        <v>10058750</v>
      </c>
      <c r="J57" s="81">
        <f t="shared" si="20"/>
        <v>68.423014788119801</v>
      </c>
      <c r="K57" s="5">
        <f>VLOOKUP($B57,'Data Vlaue (Cr)'!$C:$FB,99)</f>
        <v>2006</v>
      </c>
      <c r="L57" s="81">
        <f>VLOOKUP(B57,'OI(Value)'!$A$7:$C$226,3,0)</f>
        <v>81</v>
      </c>
      <c r="M57" s="33">
        <f t="shared" si="12"/>
        <v>4.0378863409770691</v>
      </c>
      <c r="N57" s="5">
        <f>VLOOKUP($B57,'Data Vlaue (Cr)'!$C:$FB,67)</f>
        <v>782</v>
      </c>
      <c r="O57" s="5">
        <f>VLOOKUP($B57,'Data Vlaue (Cr)'!$C:$FB,68)</f>
        <v>464</v>
      </c>
      <c r="P57" s="5">
        <f t="shared" si="21"/>
        <v>40.664961636828643</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1894.5</v>
      </c>
      <c r="D58" s="82">
        <f>VLOOKUP($B58,'Data shares'!$C:$FB,98)</f>
        <v>5641350</v>
      </c>
      <c r="E58" s="165">
        <f>VLOOKUP(B58,'Snapshot (Volume)'!$A$7:$G$168,7,0)</f>
        <v>5053100</v>
      </c>
      <c r="F58" s="165">
        <f t="shared" si="18"/>
        <v>588250</v>
      </c>
      <c r="G58" s="166">
        <f t="shared" si="19"/>
        <v>0.11641368664780036</v>
      </c>
      <c r="H58" s="165">
        <f>VLOOKUP($B58,'Data shares'!$C:$FB,66)</f>
        <v>9070425</v>
      </c>
      <c r="I58" s="165">
        <f>VLOOKUP($B58,'Data shares'!$C:$FB,67)</f>
        <v>5427175</v>
      </c>
      <c r="J58" s="81">
        <f t="shared" si="20"/>
        <v>67.129768249595784</v>
      </c>
      <c r="K58" s="5">
        <f>VLOOKUP($B58,'Data Vlaue (Cr)'!$C:$FB,99)</f>
        <v>1070</v>
      </c>
      <c r="L58" s="81">
        <f>VLOOKUP(B58,'OI(Value)'!$A$7:$C$226,3,0)</f>
        <v>112</v>
      </c>
      <c r="M58" s="33">
        <f t="shared" si="12"/>
        <v>10.467289719626169</v>
      </c>
      <c r="N58" s="5">
        <f>VLOOKUP($B58,'Data Vlaue (Cr)'!$C:$FB,67)</f>
        <v>1720</v>
      </c>
      <c r="O58" s="5">
        <f>VLOOKUP($B58,'Data Vlaue (Cr)'!$C:$FB,68)</f>
        <v>1029</v>
      </c>
      <c r="P58" s="5">
        <f t="shared" si="21"/>
        <v>40.174418604651166</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408.2</v>
      </c>
      <c r="D59" s="82">
        <f>VLOOKUP($B59,'Data shares'!$C:$FB,98)</f>
        <v>36258550</v>
      </c>
      <c r="E59" s="165">
        <f>VLOOKUP(B59,'Snapshot (Volume)'!$A$7:$G$168,7,0)</f>
        <v>34658725</v>
      </c>
      <c r="F59" s="165">
        <f t="shared" si="18"/>
        <v>1599825</v>
      </c>
      <c r="G59" s="166">
        <f t="shared" si="19"/>
        <v>4.6159372567802191E-2</v>
      </c>
      <c r="H59" s="165">
        <f>VLOOKUP($B59,'Data shares'!$C:$FB,66)</f>
        <v>12661650</v>
      </c>
      <c r="I59" s="165">
        <f>VLOOKUP($B59,'Data shares'!$C:$FB,67)</f>
        <v>7561300</v>
      </c>
      <c r="J59" s="81">
        <f t="shared" si="20"/>
        <v>67.453347969264541</v>
      </c>
      <c r="K59" s="5">
        <f>VLOOKUP($B59,'Data Vlaue (Cr)'!$C:$FB,99)</f>
        <v>1486</v>
      </c>
      <c r="L59" s="81">
        <f>VLOOKUP(B59,'OI(Value)'!$A$7:$C$226,3,0)</f>
        <v>66</v>
      </c>
      <c r="M59" s="33">
        <f t="shared" si="12"/>
        <v>4.4414535666218038</v>
      </c>
      <c r="N59" s="5">
        <f>VLOOKUP($B59,'Data Vlaue (Cr)'!$C:$FB,67)</f>
        <v>519</v>
      </c>
      <c r="O59" s="5">
        <f>VLOOKUP($B59,'Data Vlaue (Cr)'!$C:$FB,68)</f>
        <v>310</v>
      </c>
      <c r="P59" s="5">
        <f t="shared" si="21"/>
        <v>40.26974951830443</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6282</v>
      </c>
      <c r="D60" s="82">
        <f>VLOOKUP($B60,'Data shares'!$C:$FB,98)</f>
        <v>3928500</v>
      </c>
      <c r="E60" s="165">
        <f>VLOOKUP(B60,'Snapshot (Volume)'!$A$7:$G$168,7,0)</f>
        <v>4069700</v>
      </c>
      <c r="F60" s="165">
        <f t="shared" si="18"/>
        <v>-141200</v>
      </c>
      <c r="G60" s="166">
        <f t="shared" si="19"/>
        <v>-3.4695432095731872E-2</v>
      </c>
      <c r="H60" s="165">
        <f>VLOOKUP($B60,'Data shares'!$C:$FB,66)</f>
        <v>1948300</v>
      </c>
      <c r="I60" s="165">
        <f>VLOOKUP($B60,'Data shares'!$C:$FB,67)</f>
        <v>2053700</v>
      </c>
      <c r="J60" s="81">
        <f t="shared" si="20"/>
        <v>-5.1322004187563905</v>
      </c>
      <c r="K60" s="5">
        <f>VLOOKUP($B60,'Data Vlaue (Cr)'!$C:$FB,99)</f>
        <v>2471</v>
      </c>
      <c r="L60" s="81">
        <f>VLOOKUP(B60,'OI(Value)'!$A$7:$C$226,3,0)</f>
        <v>-89</v>
      </c>
      <c r="M60" s="33">
        <f t="shared" si="12"/>
        <v>-3.6017806556050185</v>
      </c>
      <c r="N60" s="5">
        <f>VLOOKUP($B60,'Data Vlaue (Cr)'!$C:$FB,67)</f>
        <v>1226</v>
      </c>
      <c r="O60" s="5">
        <f>VLOOKUP($B60,'Data Vlaue (Cr)'!$C:$FB,68)</f>
        <v>1292</v>
      </c>
      <c r="P60" s="5">
        <f t="shared" si="21"/>
        <v>-5.383360522022838</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10803</v>
      </c>
      <c r="D61" s="82">
        <f>VLOOKUP($B61,'Data shares'!$C:$FB,98)</f>
        <v>6537600</v>
      </c>
      <c r="E61" s="165">
        <f>VLOOKUP(B61,'Snapshot (Volume)'!$A$7:$G$168,7,0)</f>
        <v>6507050</v>
      </c>
      <c r="F61" s="165">
        <f t="shared" si="18"/>
        <v>30550</v>
      </c>
      <c r="G61" s="166">
        <f t="shared" si="19"/>
        <v>4.694907830737431E-3</v>
      </c>
      <c r="H61" s="165">
        <f>VLOOKUP($B61,'Data shares'!$C:$FB,66)</f>
        <v>10318350</v>
      </c>
      <c r="I61" s="165">
        <f>VLOOKUP($B61,'Data shares'!$C:$FB,67)</f>
        <v>14636100</v>
      </c>
      <c r="J61" s="81">
        <f t="shared" si="20"/>
        <v>-29.500686658331109</v>
      </c>
      <c r="K61" s="5">
        <f>VLOOKUP($B61,'Data Vlaue (Cr)'!$C:$FB,99)</f>
        <v>7019</v>
      </c>
      <c r="L61" s="81">
        <f>VLOOKUP(B61,'OI(Value)'!$A$7:$C$226,3,0)</f>
        <v>33</v>
      </c>
      <c r="M61" s="33">
        <f t="shared" si="12"/>
        <v>0.47015244336800116</v>
      </c>
      <c r="N61" s="5">
        <f>VLOOKUP($B61,'Data Vlaue (Cr)'!$C:$FB,67)</f>
        <v>11079</v>
      </c>
      <c r="O61" s="5">
        <f>VLOOKUP($B61,'Data Vlaue (Cr)'!$C:$FB,68)</f>
        <v>15715</v>
      </c>
      <c r="P61" s="5">
        <f t="shared" si="21"/>
        <v>-41.844931853055328</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558.1</v>
      </c>
      <c r="D62" s="82">
        <f>VLOOKUP($B62,'Data shares'!$C:$FB,98)</f>
        <v>77014575</v>
      </c>
      <c r="E62" s="165">
        <f>VLOOKUP(B62,'Snapshot (Volume)'!$A$7:$G$168,7,0)</f>
        <v>74886075</v>
      </c>
      <c r="F62" s="165">
        <f t="shared" si="18"/>
        <v>2128500</v>
      </c>
      <c r="G62" s="166"/>
      <c r="H62" s="165">
        <f>VLOOKUP($B62,'Data shares'!$C:$FB,66)</f>
        <v>28535100</v>
      </c>
      <c r="I62" s="165">
        <f>VLOOKUP($B62,'Data shares'!$C:$FB,67)</f>
        <v>26746500</v>
      </c>
      <c r="J62" s="81"/>
      <c r="K62" s="5">
        <f>VLOOKUP($B62,'Data Vlaue (Cr)'!$C:$FB,99)</f>
        <v>4314</v>
      </c>
      <c r="L62" s="81">
        <f>VLOOKUP(B62,'OI(Value)'!$A$7:$C$226,3,0)</f>
        <v>119</v>
      </c>
      <c r="M62" s="33"/>
      <c r="N62" s="5">
        <f>VLOOKUP($B62,'Data Vlaue (Cr)'!$C:$FB,67)</f>
        <v>1598</v>
      </c>
      <c r="O62" s="5">
        <f>VLOOKUP($B62,'Data Vlaue (Cr)'!$C:$FB,68)</f>
        <v>1498</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3953.6</v>
      </c>
      <c r="D63" s="82">
        <f>VLOOKUP($B63,'Data shares'!$C:$FB,98)</f>
        <v>8572950</v>
      </c>
      <c r="E63" s="165">
        <f>VLOOKUP(B63,'Snapshot (Volume)'!$A$7:$G$168,7,0)</f>
        <v>8181300</v>
      </c>
      <c r="F63" s="165">
        <f t="shared" si="18"/>
        <v>391650</v>
      </c>
      <c r="G63" s="166">
        <f t="shared" si="19"/>
        <v>4.787136518646181E-2</v>
      </c>
      <c r="H63" s="165">
        <f>VLOOKUP($B63,'Data shares'!$C:$FB,66)</f>
        <v>3941400</v>
      </c>
      <c r="I63" s="165">
        <f>VLOOKUP($B63,'Data shares'!$C:$FB,67)</f>
        <v>3513750</v>
      </c>
      <c r="J63" s="81">
        <f t="shared" si="20"/>
        <v>12.170757737459979</v>
      </c>
      <c r="K63" s="5">
        <f>VLOOKUP($B63,'Data Vlaue (Cr)'!$C:$FB,99)</f>
        <v>3400</v>
      </c>
      <c r="L63" s="81">
        <f>VLOOKUP(B63,'OI(Value)'!$A$7:$C$226,3,0)</f>
        <v>155</v>
      </c>
      <c r="M63" s="33">
        <f t="shared" si="12"/>
        <v>4.5588235294117645</v>
      </c>
      <c r="N63" s="5">
        <f>VLOOKUP($B63,'Data Vlaue (Cr)'!$C:$FB,67)</f>
        <v>1563</v>
      </c>
      <c r="O63" s="5">
        <f>VLOOKUP($B63,'Data Vlaue (Cr)'!$C:$FB,68)</f>
        <v>1393</v>
      </c>
      <c r="P63" s="5">
        <f t="shared" si="21"/>
        <v>10.876519513755598</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1319</v>
      </c>
      <c r="D64" s="82">
        <f>VLOOKUP($B64,'Data shares'!$C:$FB,98)</f>
        <v>29508125</v>
      </c>
      <c r="E64" s="165">
        <f>VLOOKUP(B64,'Snapshot (Volume)'!$A$7:$G$168,7,0)</f>
        <v>29282500</v>
      </c>
      <c r="F64" s="165">
        <f t="shared" si="18"/>
        <v>225625</v>
      </c>
      <c r="G64" s="166">
        <f t="shared" si="19"/>
        <v>7.7051139759241865E-3</v>
      </c>
      <c r="H64" s="165">
        <f>VLOOKUP($B64,'Data shares'!$C:$FB,66)</f>
        <v>17207500</v>
      </c>
      <c r="I64" s="165">
        <f>VLOOKUP($B64,'Data shares'!$C:$FB,67)</f>
        <v>28331875</v>
      </c>
      <c r="J64" s="81">
        <f t="shared" si="20"/>
        <v>-39.264520967991004</v>
      </c>
      <c r="K64" s="5">
        <f>VLOOKUP($B64,'Data Vlaue (Cr)'!$C:$FB,99)</f>
        <v>3907</v>
      </c>
      <c r="L64" s="81">
        <f>VLOOKUP(B64,'OI(Value)'!$A$7:$C$226,3,0)</f>
        <v>30</v>
      </c>
      <c r="M64" s="33">
        <f t="shared" si="12"/>
        <v>0.76785257230611714</v>
      </c>
      <c r="N64" s="5">
        <f>VLOOKUP($B64,'Data Vlaue (Cr)'!$C:$FB,67)</f>
        <v>2279</v>
      </c>
      <c r="O64" s="5">
        <f>VLOOKUP($B64,'Data Vlaue (Cr)'!$C:$FB,68)</f>
        <v>3752</v>
      </c>
      <c r="P64" s="5">
        <f t="shared" si="21"/>
        <v>-64.633611232996927</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6975.5</v>
      </c>
      <c r="D65" s="82">
        <f>VLOOKUP($B65,'Data shares'!$C:$FB,98)</f>
        <v>7581900</v>
      </c>
      <c r="E65" s="165">
        <f>VLOOKUP(B65,'Snapshot (Volume)'!$A$7:$G$168,7,0)</f>
        <v>6850000</v>
      </c>
      <c r="F65" s="165">
        <f t="shared" si="18"/>
        <v>731900</v>
      </c>
      <c r="G65" s="166">
        <f t="shared" si="19"/>
        <v>0.10684671532846715</v>
      </c>
      <c r="H65" s="165">
        <f>VLOOKUP($B65,'Data shares'!$C:$FB,66)</f>
        <v>7707300</v>
      </c>
      <c r="I65" s="165">
        <f>VLOOKUP($B65,'Data shares'!$C:$FB,67)</f>
        <v>4232300</v>
      </c>
      <c r="J65" s="81">
        <f t="shared" si="20"/>
        <v>82.106655955390679</v>
      </c>
      <c r="K65" s="5">
        <f>VLOOKUP($B65,'Data Vlaue (Cr)'!$C:$FB,99)</f>
        <v>5311</v>
      </c>
      <c r="L65" s="81">
        <f>VLOOKUP(B65,'OI(Value)'!$A$7:$C$226,3,0)</f>
        <v>513</v>
      </c>
      <c r="M65" s="33">
        <f t="shared" si="12"/>
        <v>9.6591978911692724</v>
      </c>
      <c r="N65" s="5">
        <f>VLOOKUP($B65,'Data Vlaue (Cr)'!$C:$FB,67)</f>
        <v>5399</v>
      </c>
      <c r="O65" s="5">
        <f>VLOOKUP($B65,'Data Vlaue (Cr)'!$C:$FB,68)</f>
        <v>2965</v>
      </c>
      <c r="P65" s="5">
        <f t="shared" si="21"/>
        <v>45.082422670864972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221.17</v>
      </c>
      <c r="D66" s="82">
        <f>VLOOKUP($B66,'Data shares'!$C:$FB,98)</f>
        <v>494205300</v>
      </c>
      <c r="E66" s="165">
        <f>VLOOKUP(B66,'Snapshot (Volume)'!$A$7:$G$168,7,0)</f>
        <v>490102200</v>
      </c>
      <c r="F66" s="165">
        <f t="shared" si="18"/>
        <v>4103100</v>
      </c>
      <c r="G66" s="166">
        <f t="shared" si="19"/>
        <v>8.3719273245457786E-3</v>
      </c>
      <c r="H66" s="165">
        <f>VLOOKUP($B66,'Data shares'!$C:$FB,66)</f>
        <v>316593450</v>
      </c>
      <c r="I66" s="165">
        <f>VLOOKUP($B66,'Data shares'!$C:$FB,67)</f>
        <v>144064400</v>
      </c>
      <c r="J66" s="81">
        <f t="shared" si="20"/>
        <v>119.75828171290061</v>
      </c>
      <c r="K66" s="5">
        <f>VLOOKUP($B66,'Data Vlaue (Cr)'!$C:$FB,99)</f>
        <v>10971</v>
      </c>
      <c r="L66" s="81">
        <f>VLOOKUP(B66,'OI(Value)'!$A$7:$C$226,3,0)</f>
        <v>91</v>
      </c>
      <c r="M66" s="33">
        <f t="shared" ref="M66:M93" si="22">L66/K66*100</f>
        <v>0.82945948409443082</v>
      </c>
      <c r="N66" s="5">
        <f>VLOOKUP($B66,'Data Vlaue (Cr)'!$C:$FB,67)</f>
        <v>7028</v>
      </c>
      <c r="O66" s="5">
        <f>VLOOKUP($B66,'Data Vlaue (Cr)'!$C:$FB,68)</f>
        <v>3198</v>
      </c>
      <c r="P66" s="5">
        <f t="shared" si="21"/>
        <v>54.496300512236772</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310</v>
      </c>
      <c r="D67" s="82">
        <f>VLOOKUP($B67,'Data shares'!$C:$FB,98)</f>
        <v>50355000</v>
      </c>
      <c r="E67" s="165">
        <f>VLOOKUP(B67,'Snapshot (Volume)'!$A$7:$G$168,7,0)</f>
        <v>49764600</v>
      </c>
      <c r="F67" s="165">
        <f t="shared" si="18"/>
        <v>590400</v>
      </c>
      <c r="G67" s="166">
        <f t="shared" si="19"/>
        <v>1.1863855029478785E-2</v>
      </c>
      <c r="H67" s="165">
        <f>VLOOKUP($B67,'Data shares'!$C:$FB,66)</f>
        <v>10378800</v>
      </c>
      <c r="I67" s="165">
        <f>VLOOKUP($B67,'Data shares'!$C:$FB,67)</f>
        <v>9565200</v>
      </c>
      <c r="J67" s="81">
        <f t="shared" si="20"/>
        <v>8.5058336469702684</v>
      </c>
      <c r="K67" s="5">
        <f>VLOOKUP($B67,'Data Vlaue (Cr)'!$C:$FB,99)</f>
        <v>1563</v>
      </c>
      <c r="L67" s="81">
        <f>VLOOKUP(B67,'OI(Value)'!$A$7:$C$226,3,0)</f>
        <v>18</v>
      </c>
      <c r="M67" s="33">
        <f t="shared" si="22"/>
        <v>1.1516314779270633</v>
      </c>
      <c r="N67" s="5">
        <f>VLOOKUP($B67,'Data Vlaue (Cr)'!$C:$FB,67)</f>
        <v>322</v>
      </c>
      <c r="O67" s="5">
        <f>VLOOKUP($B67,'Data Vlaue (Cr)'!$C:$FB,68)</f>
        <v>297</v>
      </c>
      <c r="P67" s="5">
        <f t="shared" si="21"/>
        <v>7.7639751552795024</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270.25</v>
      </c>
      <c r="D68" s="82">
        <f>VLOOKUP($B68,'Data shares'!$C:$FB,98)</f>
        <v>179620000</v>
      </c>
      <c r="E68" s="165">
        <f>VLOOKUP(B68,'Snapshot (Volume)'!$A$7:$G$168,7,0)</f>
        <v>173125000</v>
      </c>
      <c r="F68" s="165">
        <f t="shared" si="18"/>
        <v>6495000</v>
      </c>
      <c r="G68" s="166">
        <f t="shared" si="19"/>
        <v>3.7516245487364618E-2</v>
      </c>
      <c r="H68" s="165">
        <f>VLOOKUP($B68,'Data shares'!$C:$FB,66)</f>
        <v>118365000</v>
      </c>
      <c r="I68" s="165">
        <f>VLOOKUP($B68,'Data shares'!$C:$FB,67)</f>
        <v>114055000</v>
      </c>
      <c r="J68" s="81">
        <f t="shared" si="20"/>
        <v>3.7788786111963528</v>
      </c>
      <c r="K68" s="5">
        <f>VLOOKUP($B68,'Data Vlaue (Cr)'!$C:$FB,99)</f>
        <v>4869</v>
      </c>
      <c r="L68" s="81">
        <f>VLOOKUP(B68,'OI(Value)'!$A$7:$C$226,3,0)</f>
        <v>176</v>
      </c>
      <c r="M68" s="33">
        <f t="shared" si="22"/>
        <v>3.6147052782912303</v>
      </c>
      <c r="N68" s="5">
        <f>VLOOKUP($B68,'Data Vlaue (Cr)'!$C:$FB,67)</f>
        <v>3209</v>
      </c>
      <c r="O68" s="5">
        <f>VLOOKUP($B68,'Data Vlaue (Cr)'!$C:$FB,68)</f>
        <v>3092</v>
      </c>
      <c r="P68" s="5">
        <f t="shared" si="21"/>
        <v>3.6459956372701772</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25663.200000000001</v>
      </c>
      <c r="D69" s="165">
        <f>VLOOKUP($B69,'Data shares'!$C:$FB,98)</f>
        <v>1721040</v>
      </c>
      <c r="E69" s="165">
        <f>VLOOKUP(B69,'Snapshot (Volume)'!$A$7:$G$168,7,0)</f>
        <v>1648380</v>
      </c>
      <c r="F69" s="165">
        <f t="shared" ref="F69:F85" si="23">D69-E69</f>
        <v>72660</v>
      </c>
      <c r="G69" s="166">
        <f t="shared" ref="G69:G85" si="24">F69/E69</f>
        <v>4.4079641830160519E-2</v>
      </c>
      <c r="H69" s="165">
        <f>VLOOKUP($B69,'Data shares'!$C:$FB,66)</f>
        <v>2133660</v>
      </c>
      <c r="I69" s="165">
        <f>VLOOKUP($B69,'Data shares'!$C:$FB,67)</f>
        <v>2489940</v>
      </c>
      <c r="J69" s="81">
        <f t="shared" ref="J69:J85" si="25">(H69-I69)/I69*100</f>
        <v>-14.30877852478373</v>
      </c>
      <c r="K69" s="81">
        <f>VLOOKUP($B69,'Data Vlaue (Cr)'!$C:$FB,99)</f>
        <v>4432</v>
      </c>
      <c r="L69" s="81">
        <f>VLOOKUP(B69,'OI(Value)'!$A$7:$C$226,3,0)</f>
        <v>187</v>
      </c>
      <c r="M69" s="81">
        <f t="shared" si="22"/>
        <v>4.2193140794223831</v>
      </c>
      <c r="N69" s="81">
        <f>VLOOKUP($B69,'Data Vlaue (Cr)'!$C:$FB,67)</f>
        <v>5494</v>
      </c>
      <c r="O69" s="81">
        <f>VLOOKUP($B69,'Data Vlaue (Cr)'!$C:$FB,68)</f>
        <v>6412</v>
      </c>
      <c r="P69" s="81">
        <f t="shared" ref="P69:P85" si="26">(N69-O69)/N69*100</f>
        <v>-16.709137240626138</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859.5</v>
      </c>
      <c r="D70" s="165">
        <f>VLOOKUP($B70,'Data shares'!$C:$FB,98)</f>
        <v>17996275</v>
      </c>
      <c r="E70" s="165">
        <f>VLOOKUP(B70,'Snapshot (Volume)'!$A$7:$G$168,7,0)</f>
        <v>17311950</v>
      </c>
      <c r="F70" s="165">
        <f t="shared" si="23"/>
        <v>684325</v>
      </c>
      <c r="G70" s="166">
        <f t="shared" si="24"/>
        <v>3.9529053630584655E-2</v>
      </c>
      <c r="H70" s="165">
        <f>VLOOKUP($B70,'Data shares'!$C:$FB,66)</f>
        <v>5407950</v>
      </c>
      <c r="I70" s="165">
        <f>VLOOKUP($B70,'Data shares'!$C:$FB,67)</f>
        <v>4552350</v>
      </c>
      <c r="J70" s="81">
        <f t="shared" si="25"/>
        <v>18.794688457609805</v>
      </c>
      <c r="K70" s="81">
        <f>VLOOKUP($B70,'Data Vlaue (Cr)'!$C:$FB,99)</f>
        <v>1553</v>
      </c>
      <c r="L70" s="81">
        <f>VLOOKUP(B70,'OI(Value)'!$A$7:$C$226,3,0)</f>
        <v>59</v>
      </c>
      <c r="M70" s="81">
        <f t="shared" si="22"/>
        <v>3.7990985189954927</v>
      </c>
      <c r="N70" s="81">
        <f>VLOOKUP($B70,'Data Vlaue (Cr)'!$C:$FB,67)</f>
        <v>467</v>
      </c>
      <c r="O70" s="81">
        <f>VLOOKUP($B70,'Data Vlaue (Cr)'!$C:$FB,68)</f>
        <v>393</v>
      </c>
      <c r="P70" s="81">
        <f t="shared" si="26"/>
        <v>15.845824411134904</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152.35</v>
      </c>
      <c r="D71" s="82">
        <f>VLOOKUP($B71,'Data shares'!$C:$FB,98)</f>
        <v>186417000</v>
      </c>
      <c r="E71" s="165">
        <f>VLOOKUP(B71,'Snapshot (Volume)'!$A$7:$G$168,7,0)</f>
        <v>183638700</v>
      </c>
      <c r="F71" s="165">
        <f t="shared" si="23"/>
        <v>2778300</v>
      </c>
      <c r="G71" s="166">
        <f t="shared" si="24"/>
        <v>1.5129163950735875E-2</v>
      </c>
      <c r="H71" s="165">
        <f>VLOOKUP($B71,'Data shares'!$C:$FB,66)</f>
        <v>91413000</v>
      </c>
      <c r="I71" s="165">
        <f>VLOOKUP($B71,'Data shares'!$C:$FB,67)</f>
        <v>71476650</v>
      </c>
      <c r="J71" s="81">
        <f t="shared" si="25"/>
        <v>27.892115816843681</v>
      </c>
      <c r="K71" s="5">
        <f>VLOOKUP($B71,'Data Vlaue (Cr)'!$C:$FB,99)</f>
        <v>2851</v>
      </c>
      <c r="L71" s="81">
        <f>VLOOKUP(B71,'OI(Value)'!$A$7:$C$226,3,0)</f>
        <v>42</v>
      </c>
      <c r="M71" s="33">
        <f t="shared" si="22"/>
        <v>1.4731673097158891</v>
      </c>
      <c r="N71" s="5">
        <f>VLOOKUP($B71,'Data Vlaue (Cr)'!$C:$FB,67)</f>
        <v>1398</v>
      </c>
      <c r="O71" s="5">
        <f>VLOOKUP($B71,'Data Vlaue (Cr)'!$C:$FB,68)</f>
        <v>1093</v>
      </c>
      <c r="P71" s="5">
        <f t="shared" si="26"/>
        <v>21.816881258941343</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2256.4</v>
      </c>
      <c r="D72" s="82">
        <f>VLOOKUP($B72,'Data shares'!$C:$FB,98)</f>
        <v>14895750</v>
      </c>
      <c r="E72" s="165">
        <f>VLOOKUP(B72,'Snapshot (Volume)'!$A$7:$G$168,7,0)</f>
        <v>15076125</v>
      </c>
      <c r="F72" s="165">
        <f t="shared" si="23"/>
        <v>-180375</v>
      </c>
      <c r="G72" s="166">
        <f t="shared" si="24"/>
        <v>-1.196428127254185E-2</v>
      </c>
      <c r="H72" s="165">
        <f>VLOOKUP($B72,'Data shares'!$C:$FB,66)</f>
        <v>6997875</v>
      </c>
      <c r="I72" s="165">
        <f>VLOOKUP($B72,'Data shares'!$C:$FB,67)</f>
        <v>17075250</v>
      </c>
      <c r="J72" s="81">
        <f t="shared" si="25"/>
        <v>-59.017437519216408</v>
      </c>
      <c r="K72" s="5">
        <f>VLOOKUP($B72,'Data Vlaue (Cr)'!$C:$FB,99)</f>
        <v>3372</v>
      </c>
      <c r="L72" s="81">
        <f>VLOOKUP(B72,'OI(Value)'!$A$7:$C$226,3,0)</f>
        <v>-41</v>
      </c>
      <c r="M72" s="33">
        <f t="shared" si="22"/>
        <v>-1.2158956109134045</v>
      </c>
      <c r="N72" s="5">
        <f>VLOOKUP($B72,'Data Vlaue (Cr)'!$C:$FB,67)</f>
        <v>1584</v>
      </c>
      <c r="O72" s="5">
        <f>VLOOKUP($B72,'Data Vlaue (Cr)'!$C:$FB,68)</f>
        <v>3865</v>
      </c>
      <c r="P72" s="5">
        <f t="shared" si="26"/>
        <v>-144.00252525252526</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93.29</v>
      </c>
      <c r="D73" s="82">
        <f>VLOOKUP($B73,'Data shares'!$C:$FB,98)</f>
        <v>237645225</v>
      </c>
      <c r="E73" s="165">
        <f>VLOOKUP(B73,'Snapshot (Volume)'!$A$7:$G$168,7,0)</f>
        <v>236884950</v>
      </c>
      <c r="F73" s="165">
        <f t="shared" si="23"/>
        <v>760275</v>
      </c>
      <c r="G73" s="166">
        <f t="shared" si="24"/>
        <v>3.2094694069842765E-3</v>
      </c>
      <c r="H73" s="165">
        <f>VLOOKUP($B73,'Data shares'!$C:$FB,66)</f>
        <v>66136950</v>
      </c>
      <c r="I73" s="165">
        <f>VLOOKUP($B73,'Data shares'!$C:$FB,67)</f>
        <v>57711150</v>
      </c>
      <c r="J73" s="81">
        <f t="shared" si="25"/>
        <v>14.599951655789219</v>
      </c>
      <c r="K73" s="5">
        <f>VLOOKUP($B73,'Data Vlaue (Cr)'!$C:$FB,99)</f>
        <v>2226</v>
      </c>
      <c r="L73" s="81">
        <f>VLOOKUP(B73,'OI(Value)'!$A$7:$C$226,3,0)</f>
        <v>7</v>
      </c>
      <c r="M73" s="33">
        <f t="shared" si="22"/>
        <v>0.31446540880503149</v>
      </c>
      <c r="N73" s="5">
        <f>VLOOKUP($B73,'Data Vlaue (Cr)'!$C:$FB,67)</f>
        <v>620</v>
      </c>
      <c r="O73" s="5">
        <f>VLOOKUP($B73,'Data Vlaue (Cr)'!$C:$FB,68)</f>
        <v>541</v>
      </c>
      <c r="P73" s="5">
        <f t="shared" si="26"/>
        <v>12.741935483870966</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1052.3</v>
      </c>
      <c r="D74" s="82">
        <f>VLOOKUP($B74,'Data shares'!$C:$FB,98)</f>
        <v>12788000</v>
      </c>
      <c r="E74" s="165">
        <f>VLOOKUP(B74,'Snapshot (Volume)'!$A$7:$G$168,7,0)</f>
        <v>11636000</v>
      </c>
      <c r="F74" s="165">
        <f t="shared" si="23"/>
        <v>1152000</v>
      </c>
      <c r="G74" s="166">
        <f t="shared" si="24"/>
        <v>9.900309384668271E-2</v>
      </c>
      <c r="H74" s="165">
        <f>VLOOKUP($B74,'Data shares'!$C:$FB,66)</f>
        <v>8241000</v>
      </c>
      <c r="I74" s="165">
        <f>VLOOKUP($B74,'Data shares'!$C:$FB,67)</f>
        <v>3223500</v>
      </c>
      <c r="J74" s="81">
        <f t="shared" si="25"/>
        <v>155.65379246161004</v>
      </c>
      <c r="K74" s="5">
        <f>VLOOKUP($B74,'Data Vlaue (Cr)'!$C:$FB,99)</f>
        <v>1351</v>
      </c>
      <c r="L74" s="81">
        <f>VLOOKUP(B74,'OI(Value)'!$A$7:$C$226,3,0)</f>
        <v>122</v>
      </c>
      <c r="M74" s="33">
        <f t="shared" si="22"/>
        <v>9.0303478904515178</v>
      </c>
      <c r="N74" s="5">
        <f>VLOOKUP($B74,'Data Vlaue (Cr)'!$C:$FB,67)</f>
        <v>870</v>
      </c>
      <c r="O74" s="5">
        <f>VLOOKUP($B74,'Data Vlaue (Cr)'!$C:$FB,68)</f>
        <v>340</v>
      </c>
      <c r="P74" s="5">
        <f t="shared" si="26"/>
        <v>60.919540229885058</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1616.3</v>
      </c>
      <c r="D75" s="82">
        <f>VLOOKUP($B75,'Data shares'!$C:$FB,98)</f>
        <v>13504150</v>
      </c>
      <c r="E75" s="165">
        <f>VLOOKUP(B75,'Snapshot (Volume)'!$A$7:$G$168,7,0)</f>
        <v>13346575</v>
      </c>
      <c r="F75" s="165">
        <f t="shared" si="23"/>
        <v>157575</v>
      </c>
      <c r="G75" s="166">
        <f t="shared" si="24"/>
        <v>1.1806399769229184E-2</v>
      </c>
      <c r="H75" s="165">
        <f>VLOOKUP($B75,'Data shares'!$C:$FB,66)</f>
        <v>4727800</v>
      </c>
      <c r="I75" s="165">
        <f>VLOOKUP($B75,'Data shares'!$C:$FB,67)</f>
        <v>3972650</v>
      </c>
      <c r="J75" s="81">
        <f t="shared" si="25"/>
        <v>19.008722137615948</v>
      </c>
      <c r="K75" s="5">
        <f>VLOOKUP($B75,'Data Vlaue (Cr)'!$C:$FB,99)</f>
        <v>2191</v>
      </c>
      <c r="L75" s="81">
        <f>VLOOKUP(B75,'OI(Value)'!$A$7:$C$226,3,0)</f>
        <v>26</v>
      </c>
      <c r="M75" s="33">
        <f t="shared" si="22"/>
        <v>1.1866727521679599</v>
      </c>
      <c r="N75" s="5">
        <f>VLOOKUP($B75,'Data Vlaue (Cr)'!$C:$FB,67)</f>
        <v>767</v>
      </c>
      <c r="O75" s="5">
        <f>VLOOKUP($B75,'Data Vlaue (Cr)'!$C:$FB,68)</f>
        <v>645</v>
      </c>
      <c r="P75" s="5">
        <f t="shared" si="26"/>
        <v>15.90612777053455</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2673.1</v>
      </c>
      <c r="D76" s="82">
        <f>VLOOKUP($B76,'Data shares'!$C:$FB,98)</f>
        <v>18159250</v>
      </c>
      <c r="E76" s="165">
        <f>VLOOKUP(B76,'Snapshot (Volume)'!$A$7:$G$168,7,0)</f>
        <v>18004750</v>
      </c>
      <c r="F76" s="165">
        <f t="shared" si="23"/>
        <v>154500</v>
      </c>
      <c r="G76" s="166">
        <f t="shared" si="24"/>
        <v>8.5810688845998975E-3</v>
      </c>
      <c r="H76" s="165">
        <f>VLOOKUP($B76,'Data shares'!$C:$FB,66)</f>
        <v>3646750</v>
      </c>
      <c r="I76" s="165">
        <f>VLOOKUP($B76,'Data shares'!$C:$FB,67)</f>
        <v>4447250</v>
      </c>
      <c r="J76" s="81">
        <f t="shared" si="25"/>
        <v>-17.999887570970824</v>
      </c>
      <c r="K76" s="5">
        <f>VLOOKUP($B76,'Data Vlaue (Cr)'!$C:$FB,99)</f>
        <v>4859</v>
      </c>
      <c r="L76" s="81">
        <f>VLOOKUP(B76,'OI(Value)'!$A$7:$C$226,3,0)</f>
        <v>41</v>
      </c>
      <c r="M76" s="33">
        <f t="shared" si="22"/>
        <v>0.84379501955134795</v>
      </c>
      <c r="N76" s="5">
        <f>VLOOKUP($B76,'Data Vlaue (Cr)'!$C:$FB,67)</f>
        <v>976</v>
      </c>
      <c r="O76" s="5">
        <f>VLOOKUP($B76,'Data Vlaue (Cr)'!$C:$FB,68)</f>
        <v>1190</v>
      </c>
      <c r="P76" s="5">
        <f t="shared" si="26"/>
        <v>-21.92622950819672</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4013.5</v>
      </c>
      <c r="D77" s="82">
        <f>VLOOKUP($B77,'Data shares'!$C:$FB,98)</f>
        <v>19661100</v>
      </c>
      <c r="E77" s="165">
        <f>VLOOKUP(B77,'Snapshot (Volume)'!$A$7:$G$168,7,0)</f>
        <v>19924650</v>
      </c>
      <c r="F77" s="165">
        <f t="shared" si="23"/>
        <v>-263550</v>
      </c>
      <c r="G77" s="166">
        <f t="shared" si="24"/>
        <v>-1.3227333980772561E-2</v>
      </c>
      <c r="H77" s="165">
        <f>VLOOKUP($B77,'Data shares'!$C:$FB,66)</f>
        <v>7395750</v>
      </c>
      <c r="I77" s="165">
        <f>VLOOKUP($B77,'Data shares'!$C:$FB,67)</f>
        <v>9492750</v>
      </c>
      <c r="J77" s="81">
        <f t="shared" si="25"/>
        <v>-22.090542782649916</v>
      </c>
      <c r="K77" s="5">
        <f>VLOOKUP($B77,'Data Vlaue (Cr)'!$C:$FB,99)</f>
        <v>7899</v>
      </c>
      <c r="L77" s="81">
        <f>VLOOKUP(B77,'OI(Value)'!$A$7:$C$226,3,0)</f>
        <v>-106</v>
      </c>
      <c r="M77" s="33">
        <f t="shared" si="22"/>
        <v>-1.3419420179769592</v>
      </c>
      <c r="N77" s="5">
        <f>VLOOKUP($B77,'Data Vlaue (Cr)'!$C:$FB,67)</f>
        <v>2971</v>
      </c>
      <c r="O77" s="5">
        <f>VLOOKUP($B77,'Data Vlaue (Cr)'!$C:$FB,68)</f>
        <v>3814</v>
      </c>
      <c r="P77" s="5">
        <f t="shared" si="26"/>
        <v>-28.374284752608546</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1354</v>
      </c>
      <c r="D78" s="82">
        <f>VLOOKUP($B78,'Data shares'!$C:$FB,98)</f>
        <v>13604500</v>
      </c>
      <c r="E78" s="165">
        <f>VLOOKUP(B78,'Snapshot (Volume)'!$A$7:$G$168,7,0)</f>
        <v>13809500</v>
      </c>
      <c r="F78" s="165">
        <f t="shared" si="23"/>
        <v>-205000</v>
      </c>
      <c r="G78" s="166">
        <f t="shared" si="24"/>
        <v>-1.4844853180781346E-2</v>
      </c>
      <c r="H78" s="165">
        <f>VLOOKUP($B78,'Data shares'!$C:$FB,66)</f>
        <v>5612000</v>
      </c>
      <c r="I78" s="165">
        <f>VLOOKUP($B78,'Data shares'!$C:$FB,67)</f>
        <v>13172500</v>
      </c>
      <c r="J78" s="81">
        <f t="shared" si="25"/>
        <v>-57.396090339722903</v>
      </c>
      <c r="K78" s="5">
        <f>VLOOKUP($B78,'Data Vlaue (Cr)'!$C:$FB,99)</f>
        <v>1844</v>
      </c>
      <c r="L78" s="81">
        <f>VLOOKUP(B78,'OI(Value)'!$A$7:$C$226,3,0)</f>
        <v>-28</v>
      </c>
      <c r="M78" s="33">
        <f t="shared" si="22"/>
        <v>-1.5184381778741864</v>
      </c>
      <c r="N78" s="5">
        <f>VLOOKUP($B78,'Data Vlaue (Cr)'!$C:$FB,67)</f>
        <v>761</v>
      </c>
      <c r="O78" s="5">
        <f>VLOOKUP($B78,'Data Vlaue (Cr)'!$C:$FB,68)</f>
        <v>1786</v>
      </c>
      <c r="P78" s="5">
        <f t="shared" si="26"/>
        <v>-134.69119579500656</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1358.1</v>
      </c>
      <c r="D79" s="82">
        <f>VLOOKUP($B79,'Data shares'!$C:$FB,98)</f>
        <v>38261300</v>
      </c>
      <c r="E79" s="165">
        <f>VLOOKUP(B79,'Snapshot (Volume)'!$A$7:$G$168,7,0)</f>
        <v>36751050</v>
      </c>
      <c r="F79" s="165">
        <f t="shared" si="23"/>
        <v>1510250</v>
      </c>
      <c r="G79" s="166">
        <f t="shared" si="24"/>
        <v>4.1094063979124407E-2</v>
      </c>
      <c r="H79" s="165">
        <f>VLOOKUP($B79,'Data shares'!$C:$FB,66)</f>
        <v>13720700</v>
      </c>
      <c r="I79" s="165">
        <f>VLOOKUP($B79,'Data shares'!$C:$FB,67)</f>
        <v>9126250</v>
      </c>
      <c r="J79" s="81">
        <f t="shared" si="25"/>
        <v>50.34324065196548</v>
      </c>
      <c r="K79" s="5">
        <f>VLOOKUP($B79,'Data Vlaue (Cr)'!$C:$FB,99)</f>
        <v>5174</v>
      </c>
      <c r="L79" s="81">
        <f>VLOOKUP(B79,'OI(Value)'!$A$7:$C$226,3,0)</f>
        <v>204</v>
      </c>
      <c r="M79" s="33">
        <f t="shared" si="22"/>
        <v>3.9427908774642444</v>
      </c>
      <c r="N79" s="5">
        <f>VLOOKUP($B79,'Data Vlaue (Cr)'!$C:$FB,67)</f>
        <v>1856</v>
      </c>
      <c r="O79" s="5">
        <f>VLOOKUP($B79,'Data Vlaue (Cr)'!$C:$FB,68)</f>
        <v>1234</v>
      </c>
      <c r="P79" s="5">
        <f t="shared" si="26"/>
        <v>33.512931034482754</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2429</v>
      </c>
      <c r="D80" s="82">
        <f>VLOOKUP($B80,'Data shares'!$C:$FB,98)</f>
        <v>8312700</v>
      </c>
      <c r="E80" s="165">
        <f>VLOOKUP(B80,'Snapshot (Volume)'!$A$7:$G$168,7,0)</f>
        <v>8173200</v>
      </c>
      <c r="F80" s="165">
        <f t="shared" si="23"/>
        <v>139500</v>
      </c>
      <c r="G80" s="166">
        <f t="shared" si="24"/>
        <v>1.7067978270444869E-2</v>
      </c>
      <c r="H80" s="165">
        <f>VLOOKUP($B80,'Data shares'!$C:$FB,66)</f>
        <v>2721300</v>
      </c>
      <c r="I80" s="165">
        <f>VLOOKUP($B80,'Data shares'!$C:$FB,67)</f>
        <v>3235500</v>
      </c>
      <c r="J80" s="81">
        <f t="shared" si="25"/>
        <v>-15.892443208159483</v>
      </c>
      <c r="K80" s="5">
        <f>VLOOKUP($B80,'Data Vlaue (Cr)'!$C:$FB,99)</f>
        <v>2024</v>
      </c>
      <c r="L80" s="81">
        <f>VLOOKUP(B80,'OI(Value)'!$A$7:$C$226,3,0)</f>
        <v>34</v>
      </c>
      <c r="M80" s="33">
        <f t="shared" si="22"/>
        <v>1.6798418972332017</v>
      </c>
      <c r="N80" s="5">
        <f>VLOOKUP($B80,'Data Vlaue (Cr)'!$C:$FB,67)</f>
        <v>663</v>
      </c>
      <c r="O80" s="5">
        <f>VLOOKUP($B80,'Data Vlaue (Cr)'!$C:$FB,68)</f>
        <v>788</v>
      </c>
      <c r="P80" s="5">
        <f t="shared" si="26"/>
        <v>-18.85369532428356</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832.75</v>
      </c>
      <c r="D81" s="82">
        <f>VLOOKUP($B81,'Data shares'!$C:$FB,98)</f>
        <v>458392000</v>
      </c>
      <c r="E81" s="165">
        <f>VLOOKUP(B81,'Snapshot (Volume)'!$A$7:$G$168,7,0)</f>
        <v>462442750</v>
      </c>
      <c r="F81" s="165">
        <f t="shared" si="23"/>
        <v>-4050750</v>
      </c>
      <c r="G81" s="166">
        <f t="shared" si="24"/>
        <v>-8.7594626578100746E-3</v>
      </c>
      <c r="H81" s="165">
        <f>VLOOKUP($B81,'Data shares'!$C:$FB,66)</f>
        <v>123809950</v>
      </c>
      <c r="I81" s="165">
        <f>VLOOKUP($B81,'Data shares'!$C:$FB,67)</f>
        <v>169118950</v>
      </c>
      <c r="J81" s="81">
        <f t="shared" si="25"/>
        <v>-26.791202286911076</v>
      </c>
      <c r="K81" s="5">
        <f>VLOOKUP($B81,'Data Vlaue (Cr)'!$C:$FB,99)</f>
        <v>38289</v>
      </c>
      <c r="L81" s="81">
        <f>VLOOKUP(B81,'OI(Value)'!$A$7:$C$226,3,0)</f>
        <v>-338</v>
      </c>
      <c r="M81" s="33">
        <f t="shared" si="22"/>
        <v>-0.88276006163650145</v>
      </c>
      <c r="N81" s="5">
        <f>VLOOKUP($B81,'Data Vlaue (Cr)'!$C:$FB,67)</f>
        <v>10342</v>
      </c>
      <c r="O81" s="5">
        <f>VLOOKUP($B81,'Data Vlaue (Cr)'!$C:$FB,68)</f>
        <v>14127</v>
      </c>
      <c r="P81" s="5">
        <f t="shared" si="26"/>
        <v>-36.598336878746856</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645.70000000000005</v>
      </c>
      <c r="D82" s="82">
        <f>VLOOKUP($B82,'Data shares'!$C:$FB,98)</f>
        <v>57720300</v>
      </c>
      <c r="E82" s="165">
        <f>VLOOKUP(B82,'Snapshot (Volume)'!$A$7:$G$168,7,0)</f>
        <v>57817100</v>
      </c>
      <c r="F82" s="165">
        <f t="shared" si="23"/>
        <v>-96800</v>
      </c>
      <c r="G82" s="166">
        <f t="shared" si="24"/>
        <v>-1.6742451627632655E-3</v>
      </c>
      <c r="H82" s="165">
        <f>VLOOKUP($B82,'Data shares'!$C:$FB,66)</f>
        <v>13259400</v>
      </c>
      <c r="I82" s="165">
        <f>VLOOKUP($B82,'Data shares'!$C:$FB,67)</f>
        <v>13134000</v>
      </c>
      <c r="J82" s="81">
        <f t="shared" si="25"/>
        <v>0.95477386934673369</v>
      </c>
      <c r="K82" s="5">
        <f>VLOOKUP($B82,'Data Vlaue (Cr)'!$C:$FB,99)</f>
        <v>3732</v>
      </c>
      <c r="L82" s="81">
        <f>VLOOKUP(B82,'OI(Value)'!$A$7:$C$226,3,0)</f>
        <v>-6</v>
      </c>
      <c r="M82" s="33">
        <f t="shared" si="22"/>
        <v>-0.16077170418006431</v>
      </c>
      <c r="N82" s="5">
        <f>VLOOKUP($B82,'Data Vlaue (Cr)'!$C:$FB,67)</f>
        <v>857</v>
      </c>
      <c r="O82" s="5">
        <f>VLOOKUP($B82,'Data Vlaue (Cr)'!$C:$FB,68)</f>
        <v>849</v>
      </c>
      <c r="P82" s="5">
        <f t="shared" si="26"/>
        <v>0.93348891481913643</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5394.5</v>
      </c>
      <c r="D83" s="82">
        <f>VLOOKUP($B83,'Data shares'!$C:$FB,98)</f>
        <v>6841650</v>
      </c>
      <c r="E83" s="165">
        <f>VLOOKUP(B83,'Snapshot (Volume)'!$A$7:$G$168,7,0)</f>
        <v>6579150</v>
      </c>
      <c r="F83" s="165">
        <f t="shared" si="23"/>
        <v>262500</v>
      </c>
      <c r="G83" s="166">
        <f t="shared" si="24"/>
        <v>3.989877111784957E-2</v>
      </c>
      <c r="H83" s="165">
        <f>VLOOKUP($B83,'Data shares'!$C:$FB,66)</f>
        <v>6017250</v>
      </c>
      <c r="I83" s="165">
        <f>VLOOKUP($B83,'Data shares'!$C:$FB,67)</f>
        <v>6322050</v>
      </c>
      <c r="J83" s="81">
        <f t="shared" si="25"/>
        <v>-4.821220964718723</v>
      </c>
      <c r="K83" s="5">
        <f>VLOOKUP($B83,'Data Vlaue (Cr)'!$C:$FB,99)</f>
        <v>3697</v>
      </c>
      <c r="L83" s="81">
        <f>VLOOKUP(B83,'OI(Value)'!$A$7:$C$226,3,0)</f>
        <v>142</v>
      </c>
      <c r="M83" s="33">
        <f t="shared" si="22"/>
        <v>3.8409521233432513</v>
      </c>
      <c r="N83" s="5">
        <f>VLOOKUP($B83,'Data Vlaue (Cr)'!$C:$FB,67)</f>
        <v>3251</v>
      </c>
      <c r="O83" s="5">
        <f>VLOOKUP($B83,'Data Vlaue (Cr)'!$C:$FB,68)</f>
        <v>3416</v>
      </c>
      <c r="P83" s="5">
        <f t="shared" si="26"/>
        <v>-5.0753614272531529</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969.75</v>
      </c>
      <c r="D84" s="82">
        <f>VLOOKUP($B84,'Data shares'!$C:$FB,98)</f>
        <v>65163000</v>
      </c>
      <c r="E84" s="165">
        <f>VLOOKUP(B84,'Snapshot (Volume)'!$A$7:$G$168,7,0)</f>
        <v>65377900</v>
      </c>
      <c r="F84" s="165">
        <f t="shared" si="23"/>
        <v>-214900</v>
      </c>
      <c r="G84" s="166">
        <f t="shared" si="24"/>
        <v>-3.2870434810539952E-3</v>
      </c>
      <c r="H84" s="165">
        <f>VLOOKUP($B84,'Data shares'!$C:$FB,66)</f>
        <v>41243300</v>
      </c>
      <c r="I84" s="165">
        <f>VLOOKUP($B84,'Data shares'!$C:$FB,67)</f>
        <v>44989000</v>
      </c>
      <c r="J84" s="81">
        <f t="shared" si="25"/>
        <v>-8.3258129765053681</v>
      </c>
      <c r="K84" s="5">
        <f>VLOOKUP($B84,'Data Vlaue (Cr)'!$C:$FB,99)</f>
        <v>6327</v>
      </c>
      <c r="L84" s="81">
        <f>VLOOKUP(B84,'OI(Value)'!$A$7:$C$226,3,0)</f>
        <v>-21</v>
      </c>
      <c r="M84" s="33">
        <f t="shared" si="22"/>
        <v>-0.33191085822664773</v>
      </c>
      <c r="N84" s="5">
        <f>VLOOKUP($B84,'Data Vlaue (Cr)'!$C:$FB,67)</f>
        <v>4004</v>
      </c>
      <c r="O84" s="5">
        <f>VLOOKUP($B84,'Data Vlaue (Cr)'!$C:$FB,68)</f>
        <v>4368</v>
      </c>
      <c r="P84" s="5">
        <f t="shared" si="26"/>
        <v>-9.0909090909090917</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384.35</v>
      </c>
      <c r="D85" s="82">
        <f>VLOOKUP($B85,'Data shares'!$C:$FB,98)</f>
        <v>90756450</v>
      </c>
      <c r="E85" s="165">
        <f>VLOOKUP(B85,'Snapshot (Volume)'!$A$7:$G$168,7,0)</f>
        <v>86540400</v>
      </c>
      <c r="F85" s="165">
        <f t="shared" si="23"/>
        <v>4216050</v>
      </c>
      <c r="G85" s="166">
        <f t="shared" si="24"/>
        <v>4.87177087233246E-2</v>
      </c>
      <c r="H85" s="165">
        <f>VLOOKUP($B85,'Data shares'!$C:$FB,66)</f>
        <v>72266175</v>
      </c>
      <c r="I85" s="165">
        <f>VLOOKUP($B85,'Data shares'!$C:$FB,67)</f>
        <v>53836650</v>
      </c>
      <c r="J85" s="81">
        <f t="shared" si="25"/>
        <v>34.232302715715043</v>
      </c>
      <c r="K85" s="5">
        <f>VLOOKUP($B85,'Data Vlaue (Cr)'!$C:$FB,99)</f>
        <v>3476</v>
      </c>
      <c r="L85" s="81">
        <f>VLOOKUP(B85,'OI(Value)'!$A$7:$C$226,3,0)</f>
        <v>161</v>
      </c>
      <c r="M85" s="33">
        <f t="shared" si="22"/>
        <v>4.6317606444188728</v>
      </c>
      <c r="N85" s="5">
        <f>VLOOKUP($B85,'Data Vlaue (Cr)'!$C:$FB,67)</f>
        <v>2767</v>
      </c>
      <c r="O85" s="5">
        <f>VLOOKUP($B85,'Data Vlaue (Cr)'!$C:$FB,68)</f>
        <v>2062</v>
      </c>
      <c r="P85" s="5">
        <f t="shared" si="26"/>
        <v>25.478857968919407</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2136.9</v>
      </c>
      <c r="D86" s="82">
        <f>VLOOKUP($B86,'Data shares'!$C:$FB,98)</f>
        <v>26499000</v>
      </c>
      <c r="E86" s="165">
        <f>VLOOKUP(B86,'Snapshot (Volume)'!$A$7:$G$168,7,0)</f>
        <v>25338600</v>
      </c>
      <c r="F86" s="165">
        <f t="shared" ref="F86:F96" si="27">D86-E86</f>
        <v>1160400</v>
      </c>
      <c r="G86" s="166">
        <f t="shared" ref="G86:G96" si="28">F86/E86</f>
        <v>4.5795742464066681E-2</v>
      </c>
      <c r="H86" s="165">
        <f>VLOOKUP($B86,'Data shares'!$C:$FB,66)</f>
        <v>17023800</v>
      </c>
      <c r="I86" s="165">
        <f>VLOOKUP($B86,'Data shares'!$C:$FB,67)</f>
        <v>10680300</v>
      </c>
      <c r="J86" s="81">
        <f t="shared" ref="J86:J96" si="29">(H86-I86)/I86*100</f>
        <v>59.394399033735013</v>
      </c>
      <c r="K86" s="5">
        <f>VLOOKUP($B86,'Data Vlaue (Cr)'!$C:$FB,99)</f>
        <v>5668</v>
      </c>
      <c r="L86" s="81">
        <f>VLOOKUP(B86,'OI(Value)'!$A$7:$C$226,3,0)</f>
        <v>248</v>
      </c>
      <c r="M86" s="33">
        <f t="shared" si="22"/>
        <v>4.3754410726887798</v>
      </c>
      <c r="N86" s="5">
        <f>VLOOKUP($B86,'Data Vlaue (Cr)'!$C:$FB,67)</f>
        <v>3641</v>
      </c>
      <c r="O86" s="5">
        <f>VLOOKUP($B86,'Data Vlaue (Cr)'!$C:$FB,68)</f>
        <v>2285</v>
      </c>
      <c r="P86" s="5">
        <f t="shared" ref="P86:P96" si="30">(N86-O86)/N86*100</f>
        <v>37.242515792364735</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583</v>
      </c>
      <c r="D87" s="82">
        <f>VLOOKUP($B87,'Data shares'!$C:$FB,98)</f>
        <v>80048850</v>
      </c>
      <c r="E87" s="165">
        <f>VLOOKUP(B87,'Snapshot (Volume)'!$A$7:$G$168,7,0)</f>
        <v>80070900</v>
      </c>
      <c r="F87" s="165">
        <f t="shared" si="27"/>
        <v>-22050</v>
      </c>
      <c r="G87" s="166">
        <f t="shared" si="28"/>
        <v>-2.753809436387002E-4</v>
      </c>
      <c r="H87" s="165">
        <f>VLOOKUP($B87,'Data shares'!$C:$FB,66)</f>
        <v>35845950</v>
      </c>
      <c r="I87" s="165">
        <f>VLOOKUP($B87,'Data shares'!$C:$FB,67)</f>
        <v>56944125</v>
      </c>
      <c r="J87" s="81">
        <f t="shared" si="29"/>
        <v>-37.050661503710877</v>
      </c>
      <c r="K87" s="5">
        <f>VLOOKUP($B87,'Data Vlaue (Cr)'!$C:$FB,99)</f>
        <v>4672</v>
      </c>
      <c r="L87" s="81">
        <f>VLOOKUP(B87,'OI(Value)'!$A$7:$C$226,3,0)</f>
        <v>-1</v>
      </c>
      <c r="M87" s="33">
        <f t="shared" si="22"/>
        <v>-2.1404109589041095E-2</v>
      </c>
      <c r="N87" s="5">
        <f>VLOOKUP($B87,'Data Vlaue (Cr)'!$C:$FB,67)</f>
        <v>2092</v>
      </c>
      <c r="O87" s="5">
        <f>VLOOKUP($B87,'Data Vlaue (Cr)'!$C:$FB,68)</f>
        <v>3324</v>
      </c>
      <c r="P87" s="5">
        <f t="shared" si="30"/>
        <v>-58.891013384321219</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176.66</v>
      </c>
      <c r="D88" s="82">
        <f>VLOOKUP($B88,'Data shares'!$C:$FB,98)</f>
        <v>73648500</v>
      </c>
      <c r="E88" s="165">
        <f>VLOOKUP(B88,'Snapshot (Volume)'!$A$7:$G$168,7,0)</f>
        <v>72838200</v>
      </c>
      <c r="F88" s="165">
        <f t="shared" si="27"/>
        <v>810300</v>
      </c>
      <c r="G88" s="166">
        <f t="shared" si="28"/>
        <v>1.1124657116732703E-2</v>
      </c>
      <c r="H88" s="165">
        <f>VLOOKUP($B88,'Data shares'!$C:$FB,66)</f>
        <v>14715825</v>
      </c>
      <c r="I88" s="165">
        <f>VLOOKUP($B88,'Data shares'!$C:$FB,67)</f>
        <v>21728250</v>
      </c>
      <c r="J88" s="81">
        <f t="shared" si="29"/>
        <v>-32.273307790549168</v>
      </c>
      <c r="K88" s="5">
        <f>VLOOKUP($B88,'Data Vlaue (Cr)'!$C:$FB,99)</f>
        <v>1304</v>
      </c>
      <c r="L88" s="81">
        <f>VLOOKUP(B88,'OI(Value)'!$A$7:$C$226,3,0)</f>
        <v>14</v>
      </c>
      <c r="M88" s="33">
        <f t="shared" si="22"/>
        <v>1.0736196319018405</v>
      </c>
      <c r="N88" s="5">
        <f>VLOOKUP($B88,'Data Vlaue (Cr)'!$C:$FB,67)</f>
        <v>261</v>
      </c>
      <c r="O88" s="5">
        <f>VLOOKUP($B88,'Data Vlaue (Cr)'!$C:$FB,68)</f>
        <v>385</v>
      </c>
      <c r="P88" s="5">
        <f t="shared" si="30"/>
        <v>-47.509578544061306</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1266.5</v>
      </c>
      <c r="D89" s="82">
        <f>VLOOKUP($B89,'Data shares'!$C:$FB,98)</f>
        <v>186146800</v>
      </c>
      <c r="E89" s="165">
        <f>VLOOKUP(B89,'Snapshot (Volume)'!$A$7:$G$168,7,0)</f>
        <v>181717900</v>
      </c>
      <c r="F89" s="165">
        <f t="shared" si="27"/>
        <v>4428900</v>
      </c>
      <c r="G89" s="166">
        <f t="shared" si="28"/>
        <v>2.4372392593134742E-2</v>
      </c>
      <c r="H89" s="165">
        <f>VLOOKUP($B89,'Data shares'!$C:$FB,66)</f>
        <v>92103900</v>
      </c>
      <c r="I89" s="165">
        <f>VLOOKUP($B89,'Data shares'!$C:$FB,67)</f>
        <v>74773300</v>
      </c>
      <c r="J89" s="81">
        <f t="shared" si="29"/>
        <v>23.177524597683931</v>
      </c>
      <c r="K89" s="5">
        <f>VLOOKUP($B89,'Data Vlaue (Cr)'!$C:$FB,99)</f>
        <v>23670</v>
      </c>
      <c r="L89" s="81">
        <f>VLOOKUP(B89,'OI(Value)'!$A$7:$C$226,3,0)</f>
        <v>563</v>
      </c>
      <c r="M89" s="33">
        <f t="shared" si="22"/>
        <v>2.378538234051542</v>
      </c>
      <c r="N89" s="5">
        <f>VLOOKUP($B89,'Data Vlaue (Cr)'!$C:$FB,67)</f>
        <v>11712</v>
      </c>
      <c r="O89" s="5">
        <f>VLOOKUP($B89,'Data Vlaue (Cr)'!$C:$FB,68)</f>
        <v>9508</v>
      </c>
      <c r="P89" s="5">
        <f t="shared" si="30"/>
        <v>18.818306010928961</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1855.3</v>
      </c>
      <c r="D90" s="82">
        <f>VLOOKUP($B90,'Data shares'!$C:$FB,98)</f>
        <v>6759675</v>
      </c>
      <c r="E90" s="165">
        <f>VLOOKUP(B90,'Snapshot (Volume)'!$A$7:$G$168,7,0)</f>
        <v>6541925</v>
      </c>
      <c r="F90" s="165">
        <f t="shared" si="27"/>
        <v>217750</v>
      </c>
      <c r="G90" s="166">
        <f t="shared" si="28"/>
        <v>3.3285309752098959E-2</v>
      </c>
      <c r="H90" s="165">
        <f>VLOOKUP($B90,'Data shares'!$C:$FB,66)</f>
        <v>2255500</v>
      </c>
      <c r="I90" s="165">
        <f>VLOOKUP($B90,'Data shares'!$C:$FB,67)</f>
        <v>3110900</v>
      </c>
      <c r="J90" s="81">
        <f t="shared" si="29"/>
        <v>-27.496865858754699</v>
      </c>
      <c r="K90" s="5">
        <f>VLOOKUP($B90,'Data Vlaue (Cr)'!$C:$FB,99)</f>
        <v>1255</v>
      </c>
      <c r="L90" s="81">
        <f>VLOOKUP(B90,'OI(Value)'!$A$7:$C$226,3,0)</f>
        <v>40</v>
      </c>
      <c r="M90" s="33">
        <f t="shared" si="22"/>
        <v>3.1872509960159361</v>
      </c>
      <c r="N90" s="5">
        <f>VLOOKUP($B90,'Data Vlaue (Cr)'!$C:$FB,67)</f>
        <v>419</v>
      </c>
      <c r="O90" s="5">
        <f>VLOOKUP($B90,'Data Vlaue (Cr)'!$C:$FB,68)</f>
        <v>577</v>
      </c>
      <c r="P90" s="5">
        <f t="shared" si="30"/>
        <v>-37.708830548926016</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592.95000000000005</v>
      </c>
      <c r="D91" s="82">
        <f>VLOOKUP($B91,'Data shares'!$C:$FB,98)</f>
        <v>22753150</v>
      </c>
      <c r="E91" s="165">
        <f>VLOOKUP(B91,'Snapshot (Volume)'!$A$7:$G$168,7,0)</f>
        <v>22590350</v>
      </c>
      <c r="F91" s="165">
        <f t="shared" si="27"/>
        <v>162800</v>
      </c>
      <c r="G91" s="166">
        <f t="shared" si="28"/>
        <v>7.2066169846859386E-3</v>
      </c>
      <c r="H91" s="165">
        <f>VLOOKUP($B91,'Data shares'!$C:$FB,66)</f>
        <v>4071850</v>
      </c>
      <c r="I91" s="165">
        <f>VLOOKUP($B91,'Data shares'!$C:$FB,67)</f>
        <v>3703700</v>
      </c>
      <c r="J91" s="81">
        <f t="shared" si="29"/>
        <v>9.9400599400599408</v>
      </c>
      <c r="K91" s="5">
        <f>VLOOKUP($B91,'Data Vlaue (Cr)'!$C:$FB,99)</f>
        <v>1352</v>
      </c>
      <c r="L91" s="81">
        <f>VLOOKUP(B91,'OI(Value)'!$A$7:$C$226,3,0)</f>
        <v>10</v>
      </c>
      <c r="M91" s="33">
        <f t="shared" si="22"/>
        <v>0.73964497041420119</v>
      </c>
      <c r="N91" s="5">
        <f>VLOOKUP($B91,'Data Vlaue (Cr)'!$C:$FB,67)</f>
        <v>242</v>
      </c>
      <c r="O91" s="5">
        <f>VLOOKUP($B91,'Data Vlaue (Cr)'!$C:$FB,68)</f>
        <v>220</v>
      </c>
      <c r="P91" s="5">
        <f t="shared" si="30"/>
        <v>9.0909090909090917</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9.56</v>
      </c>
      <c r="D92" s="82">
        <f>VLOOKUP($B92,'Data shares'!$C:$FB,98)</f>
        <v>10123790475</v>
      </c>
      <c r="E92" s="165">
        <f>VLOOKUP(B92,'Snapshot (Volume)'!$A$7:$G$168,7,0)</f>
        <v>10074472725</v>
      </c>
      <c r="F92" s="165">
        <f t="shared" si="27"/>
        <v>49317750</v>
      </c>
      <c r="G92" s="166">
        <f t="shared" si="28"/>
        <v>4.895318231158346E-3</v>
      </c>
      <c r="H92" s="165">
        <f>VLOOKUP($B92,'Data shares'!$C:$FB,66)</f>
        <v>2358031725</v>
      </c>
      <c r="I92" s="165">
        <f>VLOOKUP($B92,'Data shares'!$C:$FB,67)</f>
        <v>1534782675</v>
      </c>
      <c r="J92" s="81">
        <f t="shared" si="29"/>
        <v>53.639454198295532</v>
      </c>
      <c r="K92" s="5">
        <f>VLOOKUP($B92,'Data Vlaue (Cr)'!$C:$FB,99)</f>
        <v>9719</v>
      </c>
      <c r="L92" s="81">
        <f>VLOOKUP(B92,'OI(Value)'!$A$7:$C$226,3,0)</f>
        <v>47</v>
      </c>
      <c r="M92" s="33">
        <f t="shared" si="22"/>
        <v>0.4835888465891553</v>
      </c>
      <c r="N92" s="5">
        <f>VLOOKUP($B92,'Data Vlaue (Cr)'!$C:$FB,67)</f>
        <v>2264</v>
      </c>
      <c r="O92" s="5">
        <f>VLOOKUP($B92,'Data Vlaue (Cr)'!$C:$FB,68)</f>
        <v>1473</v>
      </c>
      <c r="P92" s="5">
        <f t="shared" si="30"/>
        <v>34.938162544169607</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64.78</v>
      </c>
      <c r="D93" s="82">
        <f>VLOOKUP($B93,'Data shares'!$C:$FB,98)</f>
        <v>1041554675</v>
      </c>
      <c r="E93" s="165">
        <f>VLOOKUP(B93,'Snapshot (Volume)'!$A$7:$G$168,7,0)</f>
        <v>1035090000</v>
      </c>
      <c r="F93" s="165">
        <f t="shared" si="27"/>
        <v>6464675</v>
      </c>
      <c r="G93" s="166">
        <f t="shared" si="28"/>
        <v>6.2455197132616491E-3</v>
      </c>
      <c r="H93" s="165">
        <f>VLOOKUP($B93,'Data shares'!$C:$FB,66)</f>
        <v>339381525</v>
      </c>
      <c r="I93" s="165">
        <f>VLOOKUP($B93,'Data shares'!$C:$FB,67)</f>
        <v>261017050</v>
      </c>
      <c r="J93" s="81">
        <f t="shared" si="29"/>
        <v>30.02274180939521</v>
      </c>
      <c r="K93" s="5">
        <f>VLOOKUP($B93,'Data Vlaue (Cr)'!$C:$FB,99)</f>
        <v>6768</v>
      </c>
      <c r="L93" s="81">
        <f>VLOOKUP(B93,'OI(Value)'!$A$7:$C$226,3,0)</f>
        <v>42</v>
      </c>
      <c r="M93" s="33">
        <f t="shared" si="22"/>
        <v>0.62056737588652489</v>
      </c>
      <c r="N93" s="5">
        <f>VLOOKUP($B93,'Data Vlaue (Cr)'!$C:$FB,67)</f>
        <v>2205</v>
      </c>
      <c r="O93" s="5">
        <f>VLOOKUP($B93,'Data Vlaue (Cr)'!$C:$FB,68)</f>
        <v>1696</v>
      </c>
      <c r="P93" s="5">
        <f t="shared" si="30"/>
        <v>23.083900226757372</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122.76</v>
      </c>
      <c r="D94" s="82">
        <f>VLOOKUP($B94,'Data shares'!$C:$FB,98)</f>
        <v>148113750</v>
      </c>
      <c r="E94" s="165">
        <f>VLOOKUP(B94,'Snapshot (Volume)'!$A$7:$G$168,7,0)</f>
        <v>146835000</v>
      </c>
      <c r="F94" s="165">
        <f t="shared" si="27"/>
        <v>1278750</v>
      </c>
      <c r="G94" s="166">
        <f t="shared" si="28"/>
        <v>8.7087547246909799E-3</v>
      </c>
      <c r="H94" s="165">
        <f>VLOOKUP($B94,'Data shares'!$C:$FB,66)</f>
        <v>51041250</v>
      </c>
      <c r="I94" s="165">
        <f>VLOOKUP($B94,'Data shares'!$C:$FB,67)</f>
        <v>104516250</v>
      </c>
      <c r="J94" s="81">
        <f t="shared" si="29"/>
        <v>-51.16429263392056</v>
      </c>
      <c r="K94" s="5">
        <f>VLOOKUP($B94,'Data Vlaue (Cr)'!$C:$FB,99)</f>
        <v>1821</v>
      </c>
      <c r="L94" s="81">
        <f>VLOOKUP(B94,'OI(Value)'!$A$7:$C$226,3,0)</f>
        <v>16</v>
      </c>
      <c r="M94" s="33">
        <f t="shared" ref="M94:M122" si="31">L94/K94*100</f>
        <v>0.87863811092806154</v>
      </c>
      <c r="N94" s="5">
        <f>VLOOKUP($B94,'Data Vlaue (Cr)'!$C:$FB,67)</f>
        <v>628</v>
      </c>
      <c r="O94" s="5">
        <f>VLOOKUP($B94,'Data Vlaue (Cr)'!$C:$FB,68)</f>
        <v>1285</v>
      </c>
      <c r="P94" s="5">
        <f t="shared" si="30"/>
        <v>-104.61783439490446</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Realty</v>
      </c>
      <c r="B95" s="79" t="str">
        <f>'Data shares'!C90</f>
        <v>INDHOTEL</v>
      </c>
      <c r="C95" s="4">
        <f>VLOOKUP($B95,'Data shares'!$C:$FB,7)</f>
        <v>624.95000000000005</v>
      </c>
      <c r="D95" s="82">
        <f>VLOOKUP($B95,'Data shares'!$C:$FB,98)</f>
        <v>36223000</v>
      </c>
      <c r="E95" s="165">
        <f>VLOOKUP(B95,'Snapshot (Volume)'!$A$7:$G$168,7,0)</f>
        <v>36288000</v>
      </c>
      <c r="F95" s="165">
        <f t="shared" si="27"/>
        <v>-65000</v>
      </c>
      <c r="G95" s="166">
        <f t="shared" si="28"/>
        <v>-1.7912257495590828E-3</v>
      </c>
      <c r="H95" s="165">
        <f>VLOOKUP($B95,'Data shares'!$C:$FB,66)</f>
        <v>19515000</v>
      </c>
      <c r="I95" s="165">
        <f>VLOOKUP($B95,'Data shares'!$C:$FB,67)</f>
        <v>10341000</v>
      </c>
      <c r="J95" s="81">
        <f t="shared" si="29"/>
        <v>88.714824485059466</v>
      </c>
      <c r="K95" s="5">
        <f>VLOOKUP($B95,'Data Vlaue (Cr)'!$C:$FB,99)</f>
        <v>2266</v>
      </c>
      <c r="L95" s="81">
        <f>VLOOKUP(B95,'OI(Value)'!$A$7:$C$226,3,0)</f>
        <v>-4</v>
      </c>
      <c r="M95" s="33">
        <f t="shared" si="31"/>
        <v>-0.17652250661959401</v>
      </c>
      <c r="N95" s="5">
        <f>VLOOKUP($B95,'Data Vlaue (Cr)'!$C:$FB,67)</f>
        <v>1221</v>
      </c>
      <c r="O95" s="5">
        <f>VLOOKUP($B95,'Data Vlaue (Cr)'!$C:$FB,68)</f>
        <v>647</v>
      </c>
      <c r="P95" s="5">
        <f t="shared" si="30"/>
        <v>47.010647010647013</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Banking</v>
      </c>
      <c r="B96" s="79" t="str">
        <f>'Data shares'!C91</f>
        <v>INDIANB</v>
      </c>
      <c r="C96" s="4">
        <f>VLOOKUP($B96,'Data shares'!$C:$FB,7)</f>
        <v>909.6</v>
      </c>
      <c r="D96" s="82">
        <f>VLOOKUP($B96,'Data shares'!$C:$FB,98)</f>
        <v>17624000</v>
      </c>
      <c r="E96" s="165">
        <f>VLOOKUP(B96,'Snapshot (Volume)'!$A$7:$G$168,7,0)</f>
        <v>16758000</v>
      </c>
      <c r="F96" s="165">
        <f t="shared" si="27"/>
        <v>866000</v>
      </c>
      <c r="G96" s="166">
        <f t="shared" si="28"/>
        <v>5.1676811075307319E-2</v>
      </c>
      <c r="H96" s="165">
        <f>VLOOKUP($B96,'Data shares'!$C:$FB,66)</f>
        <v>9370000</v>
      </c>
      <c r="I96" s="165">
        <f>VLOOKUP($B96,'Data shares'!$C:$FB,67)</f>
        <v>7930000</v>
      </c>
      <c r="J96" s="81">
        <f t="shared" si="29"/>
        <v>18.158890290037832</v>
      </c>
      <c r="K96" s="5">
        <f>VLOOKUP($B96,'Data Vlaue (Cr)'!$C:$FB,99)</f>
        <v>1609</v>
      </c>
      <c r="L96" s="81">
        <f>VLOOKUP(B96,'OI(Value)'!$A$7:$C$226,3,0)</f>
        <v>79</v>
      </c>
      <c r="M96" s="33">
        <f t="shared" si="31"/>
        <v>4.9098819142324421</v>
      </c>
      <c r="N96" s="5">
        <f>VLOOKUP($B96,'Data Vlaue (Cr)'!$C:$FB,67)</f>
        <v>855</v>
      </c>
      <c r="O96" s="5">
        <f>VLOOKUP($B96,'Data Vlaue (Cr)'!$C:$FB,68)</f>
        <v>724</v>
      </c>
      <c r="P96" s="5">
        <f t="shared" si="30"/>
        <v>15.321637426900587</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Index</v>
      </c>
      <c r="B97" s="79" t="str">
        <f>'Data shares'!C92</f>
        <v>INDIAVIX</v>
      </c>
      <c r="C97" s="4">
        <f>VLOOKUP($B97,'Data shares'!$C:$FB,7)</f>
        <v>21.52</v>
      </c>
      <c r="D97" s="82">
        <f>VLOOKUP($B97,'Data shares'!$C:$FB,98)</f>
        <v>0</v>
      </c>
      <c r="E97" s="165">
        <f>VLOOKUP(B97,'Snapshot (Volume)'!$A$7:$G$168,7,0)</f>
        <v>0</v>
      </c>
      <c r="F97" s="165">
        <f t="shared" ref="F97:F105" si="32">D97-E97</f>
        <v>0</v>
      </c>
      <c r="G97" s="166" t="e">
        <f t="shared" ref="G97:G105" si="33">F97/E97</f>
        <v>#DIV/0!</v>
      </c>
      <c r="H97" s="165">
        <f>VLOOKUP($B97,'Data shares'!$C:$FB,66)</f>
        <v>0</v>
      </c>
      <c r="I97" s="165">
        <f>VLOOKUP($B97,'Data shares'!$C:$FB,67)</f>
        <v>0</v>
      </c>
      <c r="J97" s="81" t="e">
        <f t="shared" ref="J97:J105" si="34">(H97-I97)/I97*100</f>
        <v>#DIV/0!</v>
      </c>
      <c r="K97" s="5">
        <f>VLOOKUP($B97,'Data Vlaue (Cr)'!$C:$FB,99)</f>
        <v>0</v>
      </c>
      <c r="L97" s="81">
        <f>VLOOKUP(B97,'OI(Value)'!$A$7:$C$226,3,0)</f>
        <v>0</v>
      </c>
      <c r="M97" s="33" t="e">
        <f t="shared" si="31"/>
        <v>#DIV/0!</v>
      </c>
      <c r="N97" s="5">
        <f>VLOOKUP($B97,'Data Vlaue (Cr)'!$C:$FB,67)</f>
        <v>0</v>
      </c>
      <c r="O97" s="5">
        <f>VLOOKUP($B97,'Data Vlaue (Cr)'!$C:$FB,68)</f>
        <v>0</v>
      </c>
      <c r="P97" s="5" t="e">
        <f t="shared" ref="P97:P105" si="35">(N97-O97)/N97*100</f>
        <v>#DIV/0!</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Infrastructure</v>
      </c>
      <c r="B98" s="79" t="str">
        <f>'Data shares'!C93</f>
        <v>INDIGO</v>
      </c>
      <c r="C98" s="4">
        <f>VLOOKUP($B98,'Data shares'!$C:$FB,7)</f>
        <v>4251.7</v>
      </c>
      <c r="D98" s="82">
        <f>VLOOKUP($B98,'Data shares'!$C:$FB,98)</f>
        <v>21913500</v>
      </c>
      <c r="E98" s="165">
        <f>VLOOKUP(B98,'Snapshot (Volume)'!$A$7:$G$168,7,0)</f>
        <v>21936300</v>
      </c>
      <c r="F98" s="165">
        <f t="shared" si="32"/>
        <v>-22800</v>
      </c>
      <c r="G98" s="166">
        <f t="shared" si="33"/>
        <v>-1.0393730939128295E-3</v>
      </c>
      <c r="H98" s="165">
        <f>VLOOKUP($B98,'Data shares'!$C:$FB,66)</f>
        <v>16545600</v>
      </c>
      <c r="I98" s="165">
        <f>VLOOKUP($B98,'Data shares'!$C:$FB,67)</f>
        <v>30472950</v>
      </c>
      <c r="J98" s="81">
        <f t="shared" si="34"/>
        <v>-45.70397680565879</v>
      </c>
      <c r="K98" s="5">
        <f>VLOOKUP($B98,'Data Vlaue (Cr)'!$C:$FB,99)</f>
        <v>9331</v>
      </c>
      <c r="L98" s="81">
        <f>VLOOKUP(B98,'OI(Value)'!$A$7:$C$226,3,0)</f>
        <v>-10</v>
      </c>
      <c r="M98" s="33">
        <f t="shared" si="31"/>
        <v>-0.10716964955524595</v>
      </c>
      <c r="N98" s="5">
        <f>VLOOKUP($B98,'Data Vlaue (Cr)'!$C:$FB,67)</f>
        <v>7045</v>
      </c>
      <c r="O98" s="5">
        <f>VLOOKUP($B98,'Data Vlaue (Cr)'!$C:$FB,68)</f>
        <v>12976</v>
      </c>
      <c r="P98" s="5">
        <f t="shared" si="35"/>
        <v>-84.187366926898505</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INDUSINDBK</v>
      </c>
      <c r="C99" s="4">
        <f>VLOOKUP($B99,'Data shares'!$C:$FB,7)</f>
        <v>831.35</v>
      </c>
      <c r="D99" s="82">
        <f>VLOOKUP($B99,'Data shares'!$C:$FB,98)</f>
        <v>57665300</v>
      </c>
      <c r="E99" s="165">
        <f>VLOOKUP(B99,'Snapshot (Volume)'!$A$7:$G$168,7,0)</f>
        <v>52799600</v>
      </c>
      <c r="F99" s="165">
        <f t="shared" si="32"/>
        <v>4865700</v>
      </c>
      <c r="G99" s="166">
        <f t="shared" si="33"/>
        <v>9.2154107228085064E-2</v>
      </c>
      <c r="H99" s="165">
        <f>VLOOKUP($B99,'Data shares'!$C:$FB,66)</f>
        <v>59757600</v>
      </c>
      <c r="I99" s="165">
        <f>VLOOKUP($B99,'Data shares'!$C:$FB,67)</f>
        <v>20575800</v>
      </c>
      <c r="J99" s="81">
        <f t="shared" si="34"/>
        <v>190.42661767707696</v>
      </c>
      <c r="K99" s="5">
        <f>VLOOKUP($B99,'Data Vlaue (Cr)'!$C:$FB,99)</f>
        <v>4792</v>
      </c>
      <c r="L99" s="81">
        <f>VLOOKUP(B99,'OI(Value)'!$A$7:$C$226,3,0)</f>
        <v>404</v>
      </c>
      <c r="M99" s="33">
        <f t="shared" si="31"/>
        <v>8.4307178631051745</v>
      </c>
      <c r="N99" s="5">
        <f>VLOOKUP($B99,'Data Vlaue (Cr)'!$C:$FB,67)</f>
        <v>4966</v>
      </c>
      <c r="O99" s="5">
        <f>VLOOKUP($B99,'Data Vlaue (Cr)'!$C:$FB,68)</f>
        <v>1710</v>
      </c>
      <c r="P99" s="5">
        <f t="shared" si="35"/>
        <v>65.565847764800651</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Telecom</v>
      </c>
      <c r="B100" s="79" t="str">
        <f>'Data shares'!C95</f>
        <v>INDUSTOWER</v>
      </c>
      <c r="C100" s="4">
        <f>VLOOKUP($B100,'Data shares'!$C:$FB,7)</f>
        <v>442.05</v>
      </c>
      <c r="D100" s="82">
        <f>VLOOKUP($B100,'Data shares'!$C:$FB,98)</f>
        <v>92995100</v>
      </c>
      <c r="E100" s="165">
        <f>VLOOKUP(B100,'Snapshot (Volume)'!$A$7:$G$168,7,0)</f>
        <v>92349100</v>
      </c>
      <c r="F100" s="165">
        <f t="shared" si="32"/>
        <v>646000</v>
      </c>
      <c r="G100" s="166">
        <f t="shared" si="33"/>
        <v>6.9951954052611233E-3</v>
      </c>
      <c r="H100" s="165">
        <f>VLOOKUP($B100,'Data shares'!$C:$FB,66)</f>
        <v>42981100</v>
      </c>
      <c r="I100" s="165">
        <f>VLOOKUP($B100,'Data shares'!$C:$FB,67)</f>
        <v>18251200</v>
      </c>
      <c r="J100" s="81">
        <f t="shared" si="34"/>
        <v>135.49739195230998</v>
      </c>
      <c r="K100" s="5">
        <f>VLOOKUP($B100,'Data Vlaue (Cr)'!$C:$FB,99)</f>
        <v>4115</v>
      </c>
      <c r="L100" s="81">
        <f>VLOOKUP(B100,'OI(Value)'!$A$7:$C$226,3,0)</f>
        <v>29</v>
      </c>
      <c r="M100" s="33">
        <f t="shared" si="31"/>
        <v>0.70473876063183472</v>
      </c>
      <c r="N100" s="5">
        <f>VLOOKUP($B100,'Data Vlaue (Cr)'!$C:$FB,67)</f>
        <v>1902</v>
      </c>
      <c r="O100" s="5">
        <f>VLOOKUP($B100,'Data Vlaue (Cr)'!$C:$FB,68)</f>
        <v>808</v>
      </c>
      <c r="P100" s="5">
        <f t="shared" si="35"/>
        <v>57.518401682439531</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Technology</v>
      </c>
      <c r="B101" s="79" t="str">
        <f>'Data shares'!C96</f>
        <v>INFY</v>
      </c>
      <c r="C101" s="4">
        <f>VLOOKUP($B101,'Data shares'!$C:$FB,7)</f>
        <v>1265.8</v>
      </c>
      <c r="D101" s="82">
        <f>VLOOKUP($B101,'Data shares'!$C:$FB,98)</f>
        <v>139255200</v>
      </c>
      <c r="E101" s="165">
        <f>VLOOKUP(B101,'Snapshot (Volume)'!$A$7:$G$168,7,0)</f>
        <v>140021600</v>
      </c>
      <c r="F101" s="165">
        <f t="shared" si="32"/>
        <v>-766400</v>
      </c>
      <c r="G101" s="166">
        <f t="shared" si="33"/>
        <v>-5.473441240494324E-3</v>
      </c>
      <c r="H101" s="165">
        <f>VLOOKUP($B101,'Data shares'!$C:$FB,66)</f>
        <v>53620400</v>
      </c>
      <c r="I101" s="165">
        <f>VLOOKUP($B101,'Data shares'!$C:$FB,67)</f>
        <v>46398400</v>
      </c>
      <c r="J101" s="81">
        <f t="shared" si="34"/>
        <v>15.565191903169076</v>
      </c>
      <c r="K101" s="5">
        <f>VLOOKUP($B101,'Data Vlaue (Cr)'!$C:$FB,99)</f>
        <v>17688</v>
      </c>
      <c r="L101" s="81">
        <f>VLOOKUP(B101,'OI(Value)'!$A$7:$C$226,3,0)</f>
        <v>-97</v>
      </c>
      <c r="M101" s="33">
        <f t="shared" si="31"/>
        <v>-0.54839439167797377</v>
      </c>
      <c r="N101" s="5">
        <f>VLOOKUP($B101,'Data Vlaue (Cr)'!$C:$FB,67)</f>
        <v>6811</v>
      </c>
      <c r="O101" s="5">
        <f>VLOOKUP($B101,'Data Vlaue (Cr)'!$C:$FB,68)</f>
        <v>5894</v>
      </c>
      <c r="P101" s="5">
        <f t="shared" si="35"/>
        <v>13.463514902363825</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Power</v>
      </c>
      <c r="B102" s="79" t="str">
        <f>'Data shares'!C97</f>
        <v>INOXWIND</v>
      </c>
      <c r="C102" s="4">
        <f>VLOOKUP($B102,'Data shares'!$C:$FB,7)</f>
        <v>83.68</v>
      </c>
      <c r="D102" s="82">
        <f>VLOOKUP($B102,'Data shares'!$C:$FB,98)</f>
        <v>165029150</v>
      </c>
      <c r="E102" s="165">
        <f>VLOOKUP(B102,'Snapshot (Volume)'!$A$7:$G$168,7,0)</f>
        <v>166037300</v>
      </c>
      <c r="F102" s="165">
        <f t="shared" si="32"/>
        <v>-1008150</v>
      </c>
      <c r="G102" s="166">
        <f t="shared" si="33"/>
        <v>-6.0718284385496511E-3</v>
      </c>
      <c r="H102" s="165">
        <f>VLOOKUP($B102,'Data shares'!$C:$FB,66)</f>
        <v>86028800</v>
      </c>
      <c r="I102" s="165">
        <f>VLOOKUP($B102,'Data shares'!$C:$FB,67)</f>
        <v>41670200</v>
      </c>
      <c r="J102" s="81">
        <f t="shared" si="34"/>
        <v>106.45161290322579</v>
      </c>
      <c r="K102" s="5">
        <f>VLOOKUP($B102,'Data Vlaue (Cr)'!$C:$FB,99)</f>
        <v>1386</v>
      </c>
      <c r="L102" s="81">
        <f>VLOOKUP(B102,'OI(Value)'!$A$7:$C$226,3,0)</f>
        <v>-8</v>
      </c>
      <c r="M102" s="33">
        <f t="shared" si="31"/>
        <v>-0.57720057720057716</v>
      </c>
      <c r="N102" s="5">
        <f>VLOOKUP($B102,'Data Vlaue (Cr)'!$C:$FB,67)</f>
        <v>723</v>
      </c>
      <c r="O102" s="5">
        <f>VLOOKUP($B102,'Data Vlaue (Cr)'!$C:$FB,68)</f>
        <v>350</v>
      </c>
      <c r="P102" s="5">
        <f t="shared" si="35"/>
        <v>51.590594744121724</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Oil_Gas</v>
      </c>
      <c r="B103" s="79" t="str">
        <f>'Data shares'!C98</f>
        <v>IOC</v>
      </c>
      <c r="C103" s="4">
        <f>VLOOKUP($B103,'Data shares'!$C:$FB,7)</f>
        <v>160.16</v>
      </c>
      <c r="D103" s="82">
        <f>VLOOKUP($B103,'Data shares'!$C:$FB,98)</f>
        <v>232362000</v>
      </c>
      <c r="E103" s="165">
        <f>VLOOKUP(B103,'Snapshot (Volume)'!$A$7:$G$168,7,0)</f>
        <v>227287125</v>
      </c>
      <c r="F103" s="165">
        <f t="shared" si="32"/>
        <v>5074875</v>
      </c>
      <c r="G103" s="166">
        <f t="shared" si="33"/>
        <v>2.2328035518949876E-2</v>
      </c>
      <c r="H103" s="165">
        <f>VLOOKUP($B103,'Data shares'!$C:$FB,66)</f>
        <v>139737000</v>
      </c>
      <c r="I103" s="165">
        <f>VLOOKUP($B103,'Data shares'!$C:$FB,67)</f>
        <v>119242500</v>
      </c>
      <c r="J103" s="81">
        <f t="shared" si="34"/>
        <v>17.187244480784955</v>
      </c>
      <c r="K103" s="5">
        <f>VLOOKUP($B103,'Data Vlaue (Cr)'!$C:$FB,99)</f>
        <v>3735</v>
      </c>
      <c r="L103" s="81">
        <f>VLOOKUP(B103,'OI(Value)'!$A$7:$C$226,3,0)</f>
        <v>82</v>
      </c>
      <c r="M103" s="33">
        <f t="shared" si="31"/>
        <v>2.1954484605087017</v>
      </c>
      <c r="N103" s="5">
        <f>VLOOKUP($B103,'Data Vlaue (Cr)'!$C:$FB,67)</f>
        <v>2246</v>
      </c>
      <c r="O103" s="5">
        <f>VLOOKUP($B103,'Data Vlaue (Cr)'!$C:$FB,68)</f>
        <v>1917</v>
      </c>
      <c r="P103" s="5">
        <f t="shared" si="35"/>
        <v>14.64826357969724</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Finance</v>
      </c>
      <c r="B104" s="79" t="str">
        <f>'Data shares'!C99</f>
        <v>IREDA</v>
      </c>
      <c r="C104" s="4">
        <f>VLOOKUP($B104,'Data shares'!$C:$FB,7)</f>
        <v>117.03</v>
      </c>
      <c r="D104" s="82">
        <f>VLOOKUP($B104,'Data shares'!$C:$FB,98)</f>
        <v>113860350</v>
      </c>
      <c r="E104" s="165">
        <f>VLOOKUP(B104,'Snapshot (Volume)'!$A$7:$G$168,7,0)</f>
        <v>114281250</v>
      </c>
      <c r="F104" s="165">
        <f t="shared" si="32"/>
        <v>-420900</v>
      </c>
      <c r="G104" s="166">
        <f t="shared" si="33"/>
        <v>-3.6830188679245284E-3</v>
      </c>
      <c r="H104" s="165">
        <f>VLOOKUP($B104,'Data shares'!$C:$FB,66)</f>
        <v>30356550</v>
      </c>
      <c r="I104" s="165">
        <f>VLOOKUP($B104,'Data shares'!$C:$FB,67)</f>
        <v>18585150</v>
      </c>
      <c r="J104" s="81">
        <f t="shared" si="34"/>
        <v>63.337664748468534</v>
      </c>
      <c r="K104" s="5">
        <f>VLOOKUP($B104,'Data Vlaue (Cr)'!$C:$FB,99)</f>
        <v>1330</v>
      </c>
      <c r="L104" s="81">
        <f>VLOOKUP(B104,'OI(Value)'!$A$7:$C$226,3,0)</f>
        <v>-5</v>
      </c>
      <c r="M104" s="33">
        <f t="shared" si="31"/>
        <v>-0.37593984962406013</v>
      </c>
      <c r="N104" s="5">
        <f>VLOOKUP($B104,'Data Vlaue (Cr)'!$C:$FB,67)</f>
        <v>355</v>
      </c>
      <c r="O104" s="5">
        <f>VLOOKUP($B104,'Data Vlaue (Cr)'!$C:$FB,68)</f>
        <v>217</v>
      </c>
      <c r="P104" s="5">
        <f t="shared" si="35"/>
        <v>38.87323943661972</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Infrastructure</v>
      </c>
      <c r="B105" s="79" t="str">
        <f>'Data shares'!C100</f>
        <v>IRFC</v>
      </c>
      <c r="C105" s="4">
        <f>VLOOKUP($B105,'Data shares'!$C:$FB,7)</f>
        <v>99.92</v>
      </c>
      <c r="D105" s="82">
        <f>VLOOKUP($B105,'Data shares'!$C:$FB,98)</f>
        <v>203779000</v>
      </c>
      <c r="E105" s="165">
        <f>VLOOKUP(B105,'Snapshot (Volume)'!$A$7:$G$168,7,0)</f>
        <v>204403750</v>
      </c>
      <c r="F105" s="165">
        <f t="shared" si="32"/>
        <v>-624750</v>
      </c>
      <c r="G105" s="166">
        <f t="shared" si="33"/>
        <v>-3.0564507745087848E-3</v>
      </c>
      <c r="H105" s="165">
        <f>VLOOKUP($B105,'Data shares'!$C:$FB,66)</f>
        <v>72968250</v>
      </c>
      <c r="I105" s="165">
        <f>VLOOKUP($B105,'Data shares'!$C:$FB,67)</f>
        <v>60061000</v>
      </c>
      <c r="J105" s="81">
        <f t="shared" si="34"/>
        <v>21.49023492782338</v>
      </c>
      <c r="K105" s="5">
        <f>VLOOKUP($B105,'Data Vlaue (Cr)'!$C:$FB,99)</f>
        <v>2015</v>
      </c>
      <c r="L105" s="81">
        <f>VLOOKUP(B105,'OI(Value)'!$A$7:$C$226,3,0)</f>
        <v>-6</v>
      </c>
      <c r="M105" s="33">
        <f t="shared" si="31"/>
        <v>-0.29776674937965258</v>
      </c>
      <c r="N105" s="5">
        <f>VLOOKUP($B105,'Data Vlaue (Cr)'!$C:$FB,67)</f>
        <v>721</v>
      </c>
      <c r="O105" s="5">
        <f>VLOOKUP($B105,'Data Vlaue (Cr)'!$C:$FB,68)</f>
        <v>594</v>
      </c>
      <c r="P105" s="5">
        <f t="shared" si="35"/>
        <v>17.614424410540916</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FMCG</v>
      </c>
      <c r="B106" s="79" t="str">
        <f>'Data shares'!C101</f>
        <v>ITC</v>
      </c>
      <c r="C106" s="79">
        <f>VLOOKUP($B106,'Data shares'!$C:$FB,7)</f>
        <v>304.10000000000002</v>
      </c>
      <c r="D106" s="80">
        <f>VLOOKUP($B106,'Data shares'!$C:$FB,98)</f>
        <v>345281600</v>
      </c>
      <c r="E106" s="165">
        <f>VLOOKUP(B106,'Snapshot (Volume)'!$A$7:$G$168,7,0)</f>
        <v>342256000</v>
      </c>
      <c r="F106" s="165">
        <f t="shared" ref="F106:F114" si="36">D106-E106</f>
        <v>3025600</v>
      </c>
      <c r="G106" s="166">
        <f t="shared" ref="G106:G114" si="37">F106/E106</f>
        <v>8.840166425132065E-3</v>
      </c>
      <c r="H106" s="165">
        <f>VLOOKUP($B106,'Data shares'!$C:$FB,66)</f>
        <v>110051200</v>
      </c>
      <c r="I106" s="165">
        <f>VLOOKUP($B106,'Data shares'!$C:$FB,67)</f>
        <v>72800000</v>
      </c>
      <c r="J106" s="81">
        <f t="shared" ref="J106:J114" si="38">(H106-I106)/I106*100</f>
        <v>51.169230769230765</v>
      </c>
      <c r="K106" s="81">
        <f>VLOOKUP($B106,'Data Vlaue (Cr)'!$C:$FB,99)</f>
        <v>10529</v>
      </c>
      <c r="L106" s="81">
        <f>VLOOKUP(B106,'OI(Value)'!$A$7:$C$226,3,0)</f>
        <v>92</v>
      </c>
      <c r="M106" s="81">
        <f t="shared" si="31"/>
        <v>0.87377718681736161</v>
      </c>
      <c r="N106" s="81">
        <f>VLOOKUP($B106,'Data Vlaue (Cr)'!$C:$FB,67)</f>
        <v>3356</v>
      </c>
      <c r="O106" s="81">
        <f>VLOOKUP($B106,'Data Vlaue (Cr)'!$C:$FB,68)</f>
        <v>2220</v>
      </c>
      <c r="P106" s="81">
        <f t="shared" ref="P106:P114" si="39">(N106-O106)/N106*100</f>
        <v>33.849821215733016</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Metals</v>
      </c>
      <c r="B107" s="79" t="str">
        <f>'Data shares'!C102</f>
        <v>JINDALSTEL</v>
      </c>
      <c r="C107" s="79">
        <f>VLOOKUP($B107,'Data shares'!$C:$FB,7)</f>
        <v>1225</v>
      </c>
      <c r="D107" s="80">
        <f>VLOOKUP($B107,'Data shares'!$C:$FB,98)</f>
        <v>17154375</v>
      </c>
      <c r="E107" s="165">
        <f>VLOOKUP(B107,'Snapshot (Volume)'!$A$7:$G$168,7,0)</f>
        <v>17281250</v>
      </c>
      <c r="F107" s="165">
        <f t="shared" si="36"/>
        <v>-126875</v>
      </c>
      <c r="G107" s="166">
        <f t="shared" si="37"/>
        <v>-7.3417721518987339E-3</v>
      </c>
      <c r="H107" s="165">
        <f>VLOOKUP($B107,'Data shares'!$C:$FB,66)</f>
        <v>14536250</v>
      </c>
      <c r="I107" s="165">
        <f>VLOOKUP($B107,'Data shares'!$C:$FB,67)</f>
        <v>9065000</v>
      </c>
      <c r="J107" s="81">
        <f t="shared" si="38"/>
        <v>60.355763927192498</v>
      </c>
      <c r="K107" s="81">
        <f>VLOOKUP($B107,'Data Vlaue (Cr)'!$C:$FB,99)</f>
        <v>2106</v>
      </c>
      <c r="L107" s="81">
        <f>VLOOKUP(B107,'OI(Value)'!$A$7:$C$226,3,0)</f>
        <v>-16</v>
      </c>
      <c r="M107" s="81">
        <f t="shared" si="31"/>
        <v>-0.75973409306742645</v>
      </c>
      <c r="N107" s="81">
        <f>VLOOKUP($B107,'Data Vlaue (Cr)'!$C:$FB,67)</f>
        <v>1785</v>
      </c>
      <c r="O107" s="81">
        <f>VLOOKUP($B107,'Data Vlaue (Cr)'!$C:$FB,68)</f>
        <v>1113</v>
      </c>
      <c r="P107" s="81">
        <f t="shared" si="39"/>
        <v>37.647058823529413</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JIOFIN</v>
      </c>
      <c r="C108" s="4">
        <f>VLOOKUP($B108,'Data shares'!$C:$FB,7)</f>
        <v>242.2</v>
      </c>
      <c r="D108" s="82">
        <f>VLOOKUP($B108,'Data shares'!$C:$FB,98)</f>
        <v>269389900</v>
      </c>
      <c r="E108" s="165">
        <f>VLOOKUP(B108,'Snapshot (Volume)'!$A$7:$G$168,7,0)</f>
        <v>269761200</v>
      </c>
      <c r="F108" s="165">
        <f t="shared" si="36"/>
        <v>-371300</v>
      </c>
      <c r="G108" s="166">
        <f t="shared" si="37"/>
        <v>-1.3764025367621437E-3</v>
      </c>
      <c r="H108" s="165">
        <f>VLOOKUP($B108,'Data shares'!$C:$FB,66)</f>
        <v>101033550</v>
      </c>
      <c r="I108" s="165">
        <f>VLOOKUP($B108,'Data shares'!$C:$FB,67)</f>
        <v>117937100</v>
      </c>
      <c r="J108" s="81">
        <f t="shared" si="38"/>
        <v>-14.33268242139242</v>
      </c>
      <c r="K108" s="5">
        <f>VLOOKUP($B108,'Data Vlaue (Cr)'!$C:$FB,99)</f>
        <v>6537</v>
      </c>
      <c r="L108" s="81">
        <f>VLOOKUP(B108,'OI(Value)'!$A$7:$C$226,3,0)</f>
        <v>-9</v>
      </c>
      <c r="M108" s="33">
        <f t="shared" si="31"/>
        <v>-0.13767783386874713</v>
      </c>
      <c r="N108" s="5">
        <f>VLOOKUP($B108,'Data Vlaue (Cr)'!$C:$FB,67)</f>
        <v>2452</v>
      </c>
      <c r="O108" s="5">
        <f>VLOOKUP($B108,'Data Vlaue (Cr)'!$C:$FB,68)</f>
        <v>2862</v>
      </c>
      <c r="P108" s="5">
        <f t="shared" si="39"/>
        <v>-16.721044045676997</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Power</v>
      </c>
      <c r="B109" s="79" t="str">
        <f>'Data shares'!C104</f>
        <v>JSWENERGY</v>
      </c>
      <c r="C109" s="4">
        <f>VLOOKUP($B109,'Data shares'!$C:$FB,7)</f>
        <v>518.29999999999995</v>
      </c>
      <c r="D109" s="82">
        <f>VLOOKUP($B109,'Data shares'!$C:$FB,98)</f>
        <v>40134000</v>
      </c>
      <c r="E109" s="165">
        <f>VLOOKUP(B109,'Snapshot (Volume)'!$A$7:$G$168,7,0)</f>
        <v>39169000</v>
      </c>
      <c r="F109" s="165">
        <f t="shared" si="36"/>
        <v>965000</v>
      </c>
      <c r="G109" s="166">
        <f t="shared" si="37"/>
        <v>2.4636830146289156E-2</v>
      </c>
      <c r="H109" s="165">
        <f>VLOOKUP($B109,'Data shares'!$C:$FB,66)</f>
        <v>111300000</v>
      </c>
      <c r="I109" s="165">
        <f>VLOOKUP($B109,'Data shares'!$C:$FB,67)</f>
        <v>8414000</v>
      </c>
      <c r="J109" s="81">
        <f t="shared" si="38"/>
        <v>1222.7953410981697</v>
      </c>
      <c r="K109" s="5">
        <f>VLOOKUP($B109,'Data Vlaue (Cr)'!$C:$FB,99)</f>
        <v>2087</v>
      </c>
      <c r="L109" s="81">
        <f>VLOOKUP(B109,'OI(Value)'!$A$7:$C$226,3,0)</f>
        <v>50</v>
      </c>
      <c r="M109" s="33">
        <f t="shared" si="31"/>
        <v>2.3957834211787254</v>
      </c>
      <c r="N109" s="5">
        <f>VLOOKUP($B109,'Data Vlaue (Cr)'!$C:$FB,67)</f>
        <v>5788</v>
      </c>
      <c r="O109" s="5">
        <f>VLOOKUP($B109,'Data Vlaue (Cr)'!$C:$FB,68)</f>
        <v>438</v>
      </c>
      <c r="P109" s="5">
        <f t="shared" si="39"/>
        <v>92.43261921216309</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Metals</v>
      </c>
      <c r="B110" s="79" t="str">
        <f>'Data shares'!C105</f>
        <v>JSWSTEEL</v>
      </c>
      <c r="C110" s="4">
        <f>VLOOKUP($B110,'Data shares'!$C:$FB,7)</f>
        <v>1172.5999999999999</v>
      </c>
      <c r="D110" s="82">
        <f>VLOOKUP($B110,'Data shares'!$C:$FB,98)</f>
        <v>63227925</v>
      </c>
      <c r="E110" s="165">
        <f>VLOOKUP(B110,'Snapshot (Volume)'!$A$7:$G$168,7,0)</f>
        <v>62809425</v>
      </c>
      <c r="F110" s="165">
        <f t="shared" si="36"/>
        <v>418500</v>
      </c>
      <c r="G110" s="166">
        <f t="shared" si="37"/>
        <v>6.6630127564453901E-3</v>
      </c>
      <c r="H110" s="165">
        <f>VLOOKUP($B110,'Data shares'!$C:$FB,66)</f>
        <v>13065975</v>
      </c>
      <c r="I110" s="165">
        <f>VLOOKUP($B110,'Data shares'!$C:$FB,67)</f>
        <v>15662700</v>
      </c>
      <c r="J110" s="81">
        <f t="shared" si="38"/>
        <v>-16.579038096879849</v>
      </c>
      <c r="K110" s="5">
        <f>VLOOKUP($B110,'Data Vlaue (Cr)'!$C:$FB,99)</f>
        <v>7425</v>
      </c>
      <c r="L110" s="81">
        <f>VLOOKUP(B110,'OI(Value)'!$A$7:$C$226,3,0)</f>
        <v>49</v>
      </c>
      <c r="M110" s="33">
        <f t="shared" si="31"/>
        <v>0.65993265993265993</v>
      </c>
      <c r="N110" s="5">
        <f>VLOOKUP($B110,'Data Vlaue (Cr)'!$C:$FB,67)</f>
        <v>1534</v>
      </c>
      <c r="O110" s="5">
        <f>VLOOKUP($B110,'Data Vlaue (Cr)'!$C:$FB,68)</f>
        <v>1839</v>
      </c>
      <c r="P110" s="5">
        <f t="shared" si="39"/>
        <v>-19.882659713168188</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FMCG</v>
      </c>
      <c r="B111" s="79" t="str">
        <f>'Data shares'!C106</f>
        <v>JUBLFOOD</v>
      </c>
      <c r="C111" s="4">
        <f>VLOOKUP($B111,'Data shares'!$C:$FB,7)</f>
        <v>461.75</v>
      </c>
      <c r="D111" s="82">
        <f>VLOOKUP($B111,'Data shares'!$C:$FB,98)</f>
        <v>45052500</v>
      </c>
      <c r="E111" s="165">
        <f>VLOOKUP(B111,'Snapshot (Volume)'!$A$7:$G$168,7,0)</f>
        <v>42395000</v>
      </c>
      <c r="F111" s="165">
        <f t="shared" si="36"/>
        <v>2657500</v>
      </c>
      <c r="G111" s="166">
        <f t="shared" si="37"/>
        <v>6.2684278806463031E-2</v>
      </c>
      <c r="H111" s="165">
        <f>VLOOKUP($B111,'Data shares'!$C:$FB,66)</f>
        <v>38280000</v>
      </c>
      <c r="I111" s="165">
        <f>VLOOKUP($B111,'Data shares'!$C:$FB,67)</f>
        <v>21872500</v>
      </c>
      <c r="J111" s="81">
        <f t="shared" si="38"/>
        <v>75.014287347125389</v>
      </c>
      <c r="K111" s="5">
        <f>VLOOKUP($B111,'Data Vlaue (Cr)'!$C:$FB,99)</f>
        <v>2082</v>
      </c>
      <c r="L111" s="81">
        <f>VLOOKUP(B111,'OI(Value)'!$A$7:$C$226,3,0)</f>
        <v>123</v>
      </c>
      <c r="M111" s="33">
        <f t="shared" si="31"/>
        <v>5.9077809798270895</v>
      </c>
      <c r="N111" s="5">
        <f>VLOOKUP($B111,'Data Vlaue (Cr)'!$C:$FB,67)</f>
        <v>1769</v>
      </c>
      <c r="O111" s="5">
        <f>VLOOKUP($B111,'Data Vlaue (Cr)'!$C:$FB,68)</f>
        <v>1011</v>
      </c>
      <c r="P111" s="5">
        <f t="shared" si="39"/>
        <v>42.849067269643868</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FMCG</v>
      </c>
      <c r="B112" s="79" t="str">
        <f>'Data shares'!C107</f>
        <v>KALYANKJIL</v>
      </c>
      <c r="C112" s="4">
        <f>VLOOKUP($B112,'Data shares'!$C:$FB,7)</f>
        <v>389.95</v>
      </c>
      <c r="D112" s="82">
        <f>VLOOKUP($B112,'Data shares'!$C:$FB,98)</f>
        <v>38953600</v>
      </c>
      <c r="E112" s="165">
        <f>VLOOKUP(B112,'Snapshot (Volume)'!$A$7:$G$168,7,0)</f>
        <v>39212100</v>
      </c>
      <c r="F112" s="165">
        <f t="shared" si="36"/>
        <v>-258500</v>
      </c>
      <c r="G112" s="166">
        <f t="shared" si="37"/>
        <v>-6.5923528706700232E-3</v>
      </c>
      <c r="H112" s="165">
        <f>VLOOKUP($B112,'Data shares'!$C:$FB,66)</f>
        <v>15135175</v>
      </c>
      <c r="I112" s="165">
        <f>VLOOKUP($B112,'Data shares'!$C:$FB,67)</f>
        <v>16619200</v>
      </c>
      <c r="J112" s="81">
        <f t="shared" si="38"/>
        <v>-8.9295814479638018</v>
      </c>
      <c r="K112" s="5">
        <f>VLOOKUP($B112,'Data Vlaue (Cr)'!$C:$FB,99)</f>
        <v>1521</v>
      </c>
      <c r="L112" s="81">
        <f>VLOOKUP(B112,'OI(Value)'!$A$7:$C$226,3,0)</f>
        <v>-10</v>
      </c>
      <c r="M112" s="33">
        <f t="shared" si="31"/>
        <v>-0.65746219592373445</v>
      </c>
      <c r="N112" s="5">
        <f>VLOOKUP($B112,'Data Vlaue (Cr)'!$C:$FB,67)</f>
        <v>591</v>
      </c>
      <c r="O112" s="5">
        <f>VLOOKUP($B112,'Data Vlaue (Cr)'!$C:$FB,68)</f>
        <v>649</v>
      </c>
      <c r="P112" s="5">
        <f t="shared" si="39"/>
        <v>-9.8138747884940774</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Capital_Goods</v>
      </c>
      <c r="B113" s="79" t="str">
        <f>'Data shares'!C108</f>
        <v>KAYNES</v>
      </c>
      <c r="C113" s="4">
        <f>VLOOKUP($B113,'Data shares'!$C:$FB,7)</f>
        <v>3700.3</v>
      </c>
      <c r="D113" s="82">
        <f>VLOOKUP($B113,'Data shares'!$C:$FB,98)</f>
        <v>7035300</v>
      </c>
      <c r="E113" s="165">
        <f>VLOOKUP(B113,'Snapshot (Volume)'!$A$7:$G$168,7,0)</f>
        <v>6805000</v>
      </c>
      <c r="F113" s="165">
        <f t="shared" si="36"/>
        <v>230300</v>
      </c>
      <c r="G113" s="166">
        <f t="shared" si="37"/>
        <v>3.3842762674504041E-2</v>
      </c>
      <c r="H113" s="165">
        <f>VLOOKUP($B113,'Data shares'!$C:$FB,66)</f>
        <v>5244500</v>
      </c>
      <c r="I113" s="165">
        <f>VLOOKUP($B113,'Data shares'!$C:$FB,67)</f>
        <v>6351400</v>
      </c>
      <c r="J113" s="81">
        <f t="shared" si="38"/>
        <v>-17.427653745630884</v>
      </c>
      <c r="K113" s="5">
        <f>VLOOKUP($B113,'Data Vlaue (Cr)'!$C:$FB,99)</f>
        <v>2611</v>
      </c>
      <c r="L113" s="81">
        <f>VLOOKUP(B113,'OI(Value)'!$A$7:$C$226,3,0)</f>
        <v>85</v>
      </c>
      <c r="M113" s="33">
        <f t="shared" si="31"/>
        <v>3.2554576790501724</v>
      </c>
      <c r="N113" s="5">
        <f>VLOOKUP($B113,'Data Vlaue (Cr)'!$C:$FB,67)</f>
        <v>1946</v>
      </c>
      <c r="O113" s="5">
        <f>VLOOKUP($B113,'Data Vlaue (Cr)'!$C:$FB,68)</f>
        <v>2357</v>
      </c>
      <c r="P113" s="5">
        <f t="shared" si="39"/>
        <v>-21.120246659815006</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Power</v>
      </c>
      <c r="B114" s="79" t="str">
        <f>'Data shares'!C109</f>
        <v>KEI</v>
      </c>
      <c r="C114" s="4">
        <f>VLOOKUP($B114,'Data shares'!$C:$FB,7)</f>
        <v>4330</v>
      </c>
      <c r="D114" s="82">
        <f>VLOOKUP($B114,'Data shares'!$C:$FB,98)</f>
        <v>3715425</v>
      </c>
      <c r="E114" s="165">
        <f>VLOOKUP(B114,'Snapshot (Volume)'!$A$7:$G$168,7,0)</f>
        <v>3680600</v>
      </c>
      <c r="F114" s="165">
        <f t="shared" si="36"/>
        <v>34825</v>
      </c>
      <c r="G114" s="166">
        <f t="shared" si="37"/>
        <v>9.4617725370863444E-3</v>
      </c>
      <c r="H114" s="165">
        <f>VLOOKUP($B114,'Data shares'!$C:$FB,66)</f>
        <v>3704575</v>
      </c>
      <c r="I114" s="165">
        <f>VLOOKUP($B114,'Data shares'!$C:$FB,67)</f>
        <v>5779200</v>
      </c>
      <c r="J114" s="81">
        <f t="shared" si="38"/>
        <v>-35.898134689922479</v>
      </c>
      <c r="K114" s="5">
        <f>VLOOKUP($B114,'Data Vlaue (Cr)'!$C:$FB,99)</f>
        <v>1611</v>
      </c>
      <c r="L114" s="81">
        <f>VLOOKUP(B114,'OI(Value)'!$A$7:$C$226,3,0)</f>
        <v>15</v>
      </c>
      <c r="M114" s="33">
        <f t="shared" si="31"/>
        <v>0.93109869646182497</v>
      </c>
      <c r="N114" s="5">
        <f>VLOOKUP($B114,'Data Vlaue (Cr)'!$C:$FB,67)</f>
        <v>1606</v>
      </c>
      <c r="O114" s="5">
        <f>VLOOKUP($B114,'Data Vlaue (Cr)'!$C:$FB,68)</f>
        <v>2506</v>
      </c>
      <c r="P114" s="5">
        <f t="shared" si="39"/>
        <v>-56.039850560398506</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Finance</v>
      </c>
      <c r="B115" s="79" t="str">
        <f>'Data shares'!C110</f>
        <v>KFINTECH</v>
      </c>
      <c r="C115" s="79">
        <f>VLOOKUP($B115,'Data shares'!$C:$FB,7)</f>
        <v>907.6</v>
      </c>
      <c r="D115" s="80">
        <f>VLOOKUP($B115,'Data shares'!$C:$FB,98)</f>
        <v>5436000</v>
      </c>
      <c r="E115" s="165">
        <f>VLOOKUP(B115,'Snapshot (Volume)'!$A$7:$G$168,7,0)</f>
        <v>5504000</v>
      </c>
      <c r="F115" s="165">
        <f t="shared" ref="F115:F126" si="40">D115-E115</f>
        <v>-68000</v>
      </c>
      <c r="G115" s="166">
        <f t="shared" ref="G115:G126" si="41">F115/E115</f>
        <v>-1.2354651162790697E-2</v>
      </c>
      <c r="H115" s="165">
        <f>VLOOKUP($B115,'Data shares'!$C:$FB,66)</f>
        <v>2547000</v>
      </c>
      <c r="I115" s="165">
        <f>VLOOKUP($B115,'Data shares'!$C:$FB,67)</f>
        <v>1446500</v>
      </c>
      <c r="J115" s="81">
        <f t="shared" ref="J115:J126" si="42">(H115-I115)/I115*100</f>
        <v>76.080193570687868</v>
      </c>
      <c r="K115" s="81">
        <f>VLOOKUP($B115,'Data Vlaue (Cr)'!$C:$FB,99)</f>
        <v>495</v>
      </c>
      <c r="L115" s="81">
        <f>VLOOKUP(B115,'OI(Value)'!$A$7:$C$226,3,0)</f>
        <v>-6</v>
      </c>
      <c r="M115" s="81">
        <f t="shared" si="31"/>
        <v>-1.2121212121212122</v>
      </c>
      <c r="N115" s="81">
        <f>VLOOKUP($B115,'Data Vlaue (Cr)'!$C:$FB,67)</f>
        <v>232</v>
      </c>
      <c r="O115" s="81">
        <f>VLOOKUP($B115,'Data Vlaue (Cr)'!$C:$FB,68)</f>
        <v>132</v>
      </c>
      <c r="P115" s="81">
        <f t="shared" ref="P115:P126" si="43">(N115-O115)/N115*100</f>
        <v>43.103448275862064</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Banking</v>
      </c>
      <c r="B116" s="79" t="str">
        <f>'Data shares'!C111</f>
        <v>KOTAKBANK</v>
      </c>
      <c r="C116" s="4">
        <f>VLOOKUP($B116,'Data shares'!$C:$FB,7)</f>
        <v>375.3</v>
      </c>
      <c r="D116" s="82">
        <f>VLOOKUP($B116,'Data shares'!$C:$FB,98)</f>
        <v>289916000</v>
      </c>
      <c r="E116" s="165">
        <f>VLOOKUP(B116,'Snapshot (Volume)'!$A$7:$G$168,7,0)</f>
        <v>281094000</v>
      </c>
      <c r="F116" s="165">
        <f t="shared" si="40"/>
        <v>8822000</v>
      </c>
      <c r="G116" s="166">
        <f t="shared" si="41"/>
        <v>3.1384519057681769E-2</v>
      </c>
      <c r="H116" s="165">
        <f>VLOOKUP($B116,'Data shares'!$C:$FB,66)</f>
        <v>75882000</v>
      </c>
      <c r="I116" s="165">
        <f>VLOOKUP($B116,'Data shares'!$C:$FB,67)</f>
        <v>77326000</v>
      </c>
      <c r="J116" s="81">
        <f t="shared" si="42"/>
        <v>-1.8674184620955436</v>
      </c>
      <c r="K116" s="5">
        <f>VLOOKUP($B116,'Data Vlaue (Cr)'!$C:$FB,99)</f>
        <v>10923</v>
      </c>
      <c r="L116" s="81">
        <f>VLOOKUP(B116,'OI(Value)'!$A$7:$C$226,3,0)</f>
        <v>332</v>
      </c>
      <c r="M116" s="33">
        <f t="shared" si="31"/>
        <v>3.039458024352284</v>
      </c>
      <c r="N116" s="5">
        <f>VLOOKUP($B116,'Data Vlaue (Cr)'!$C:$FB,67)</f>
        <v>2859</v>
      </c>
      <c r="O116" s="5">
        <f>VLOOKUP($B116,'Data Vlaue (Cr)'!$C:$FB,68)</f>
        <v>2913</v>
      </c>
      <c r="P116" s="5">
        <f t="shared" si="43"/>
        <v>-1.888772298006296</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Technology</v>
      </c>
      <c r="B117" s="79" t="str">
        <f>'Data shares'!C112</f>
        <v>KPITTECH</v>
      </c>
      <c r="C117" s="4">
        <f>VLOOKUP($B117,'Data shares'!$C:$FB,7)</f>
        <v>671.25</v>
      </c>
      <c r="D117" s="82">
        <f>VLOOKUP($B117,'Data shares'!$C:$FB,98)</f>
        <v>16935400</v>
      </c>
      <c r="E117" s="165">
        <f>VLOOKUP(B117,'Snapshot (Volume)'!$A$7:$G$168,7,0)</f>
        <v>16175500</v>
      </c>
      <c r="F117" s="165">
        <f t="shared" si="40"/>
        <v>759900</v>
      </c>
      <c r="G117" s="166">
        <f t="shared" si="41"/>
        <v>4.6978455070940617E-2</v>
      </c>
      <c r="H117" s="165">
        <f>VLOOKUP($B117,'Data shares'!$C:$FB,66)</f>
        <v>7044800</v>
      </c>
      <c r="I117" s="165">
        <f>VLOOKUP($B117,'Data shares'!$C:$FB,67)</f>
        <v>9978150</v>
      </c>
      <c r="J117" s="81">
        <f t="shared" si="42"/>
        <v>-29.39773404889684</v>
      </c>
      <c r="K117" s="5">
        <f>VLOOKUP($B117,'Data Vlaue (Cr)'!$C:$FB,99)</f>
        <v>1138</v>
      </c>
      <c r="L117" s="81">
        <f>VLOOKUP(B117,'OI(Value)'!$A$7:$C$226,3,0)</f>
        <v>51</v>
      </c>
      <c r="M117" s="33">
        <f t="shared" si="31"/>
        <v>4.4815465729349739</v>
      </c>
      <c r="N117" s="5">
        <f>VLOOKUP($B117,'Data Vlaue (Cr)'!$C:$FB,67)</f>
        <v>473</v>
      </c>
      <c r="O117" s="5">
        <f>VLOOKUP($B117,'Data Vlaue (Cr)'!$C:$FB,68)</f>
        <v>670</v>
      </c>
      <c r="P117" s="5">
        <f t="shared" si="43"/>
        <v>-41.649048625792808</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Pharma</v>
      </c>
      <c r="B118" s="79" t="str">
        <f>'Data shares'!C113</f>
        <v>LAURUSLABS</v>
      </c>
      <c r="C118" s="4">
        <f>VLOOKUP($B118,'Data shares'!$C:$FB,7)</f>
        <v>1046.8</v>
      </c>
      <c r="D118" s="82">
        <f>VLOOKUP($B118,'Data shares'!$C:$FB,98)</f>
        <v>34129200</v>
      </c>
      <c r="E118" s="165">
        <f>VLOOKUP(B118,'Snapshot (Volume)'!$A$7:$G$168,7,0)</f>
        <v>33663400</v>
      </c>
      <c r="F118" s="165">
        <f t="shared" si="40"/>
        <v>465800</v>
      </c>
      <c r="G118" s="166">
        <f t="shared" si="41"/>
        <v>1.3836986163013838E-2</v>
      </c>
      <c r="H118" s="165">
        <f>VLOOKUP($B118,'Data shares'!$C:$FB,66)</f>
        <v>15013550</v>
      </c>
      <c r="I118" s="165">
        <f>VLOOKUP($B118,'Data shares'!$C:$FB,67)</f>
        <v>30836300</v>
      </c>
      <c r="J118" s="81">
        <f t="shared" si="42"/>
        <v>-51.312089971883793</v>
      </c>
      <c r="K118" s="5">
        <f>VLOOKUP($B118,'Data Vlaue (Cr)'!$C:$FB,99)</f>
        <v>3578</v>
      </c>
      <c r="L118" s="81">
        <f>VLOOKUP(B118,'OI(Value)'!$A$7:$C$226,3,0)</f>
        <v>49</v>
      </c>
      <c r="M118" s="33">
        <f t="shared" si="31"/>
        <v>1.3694801565120178</v>
      </c>
      <c r="N118" s="5">
        <f>VLOOKUP($B118,'Data Vlaue (Cr)'!$C:$FB,67)</f>
        <v>1574</v>
      </c>
      <c r="O118" s="5">
        <f>VLOOKUP($B118,'Data Vlaue (Cr)'!$C:$FB,68)</f>
        <v>3233</v>
      </c>
      <c r="P118" s="5">
        <f t="shared" si="43"/>
        <v>-105.4002541296061</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LICHSGFIN</v>
      </c>
      <c r="C119" s="4">
        <f>VLOOKUP($B119,'Data shares'!$C:$FB,7)</f>
        <v>498.5</v>
      </c>
      <c r="D119" s="82">
        <f>VLOOKUP($B119,'Data shares'!$C:$FB,98)</f>
        <v>46828000</v>
      </c>
      <c r="E119" s="165">
        <f>VLOOKUP(B119,'Snapshot (Volume)'!$A$7:$G$168,7,0)</f>
        <v>45380000</v>
      </c>
      <c r="F119" s="165">
        <f t="shared" si="40"/>
        <v>1448000</v>
      </c>
      <c r="G119" s="166">
        <f t="shared" si="41"/>
        <v>3.1908329660643456E-2</v>
      </c>
      <c r="H119" s="165">
        <f>VLOOKUP($B119,'Data shares'!$C:$FB,66)</f>
        <v>10485000</v>
      </c>
      <c r="I119" s="165">
        <f>VLOOKUP($B119,'Data shares'!$C:$FB,67)</f>
        <v>10168000</v>
      </c>
      <c r="J119" s="81">
        <f t="shared" si="42"/>
        <v>3.1176239181746657</v>
      </c>
      <c r="K119" s="5">
        <f>VLOOKUP($B119,'Data Vlaue (Cr)'!$C:$FB,99)</f>
        <v>2344</v>
      </c>
      <c r="L119" s="81">
        <f>VLOOKUP(B119,'OI(Value)'!$A$7:$C$226,3,0)</f>
        <v>72</v>
      </c>
      <c r="M119" s="33">
        <f t="shared" si="31"/>
        <v>3.0716723549488054</v>
      </c>
      <c r="N119" s="5">
        <f>VLOOKUP($B119,'Data Vlaue (Cr)'!$C:$FB,67)</f>
        <v>525</v>
      </c>
      <c r="O119" s="5">
        <f>VLOOKUP($B119,'Data Vlaue (Cr)'!$C:$FB,68)</f>
        <v>509</v>
      </c>
      <c r="P119" s="5">
        <f t="shared" si="43"/>
        <v>3.0476190476190474</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Finance</v>
      </c>
      <c r="B120" s="79" t="str">
        <f>'Data shares'!C115</f>
        <v>LICI</v>
      </c>
      <c r="C120" s="4">
        <f>VLOOKUP($B120,'Data shares'!$C:$FB,7)</f>
        <v>796.65</v>
      </c>
      <c r="D120" s="82">
        <f>VLOOKUP($B120,'Data shares'!$C:$FB,98)</f>
        <v>19142200</v>
      </c>
      <c r="E120" s="165">
        <f>VLOOKUP(B120,'Snapshot (Volume)'!$A$7:$G$168,7,0)</f>
        <v>18594800</v>
      </c>
      <c r="F120" s="165">
        <f t="shared" si="40"/>
        <v>547400</v>
      </c>
      <c r="G120" s="166">
        <f t="shared" si="41"/>
        <v>2.9438337599759071E-2</v>
      </c>
      <c r="H120" s="165">
        <f>VLOOKUP($B120,'Data shares'!$C:$FB,66)</f>
        <v>4568200</v>
      </c>
      <c r="I120" s="165">
        <f>VLOOKUP($B120,'Data shares'!$C:$FB,67)</f>
        <v>4269300</v>
      </c>
      <c r="J120" s="81">
        <f t="shared" si="42"/>
        <v>7.0011477291359245</v>
      </c>
      <c r="K120" s="5">
        <f>VLOOKUP($B120,'Data Vlaue (Cr)'!$C:$FB,99)</f>
        <v>1528</v>
      </c>
      <c r="L120" s="81">
        <f>VLOOKUP(B120,'OI(Value)'!$A$7:$C$226,3,0)</f>
        <v>44</v>
      </c>
      <c r="M120" s="33">
        <f t="shared" si="31"/>
        <v>2.8795811518324608</v>
      </c>
      <c r="N120" s="5">
        <f>VLOOKUP($B120,'Data Vlaue (Cr)'!$C:$FB,67)</f>
        <v>365</v>
      </c>
      <c r="O120" s="5">
        <f>VLOOKUP($B120,'Data Vlaue (Cr)'!$C:$FB,68)</f>
        <v>341</v>
      </c>
      <c r="P120" s="5">
        <f t="shared" si="43"/>
        <v>6.5753424657534243</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Realty</v>
      </c>
      <c r="B121" s="79" t="str">
        <f>'Data shares'!C116</f>
        <v>LODHA</v>
      </c>
      <c r="C121" s="4">
        <f>VLOOKUP($B121,'Data shares'!$C:$FB,7)</f>
        <v>869.05</v>
      </c>
      <c r="D121" s="82">
        <f>VLOOKUP($B121,'Data shares'!$C:$FB,98)</f>
        <v>15189300</v>
      </c>
      <c r="E121" s="165">
        <f>VLOOKUP(B121,'Snapshot (Volume)'!$A$7:$G$168,7,0)</f>
        <v>14616000</v>
      </c>
      <c r="F121" s="165">
        <f t="shared" si="40"/>
        <v>573300</v>
      </c>
      <c r="G121" s="166">
        <f t="shared" si="41"/>
        <v>3.9224137931034485E-2</v>
      </c>
      <c r="H121" s="165">
        <f>VLOOKUP($B121,'Data shares'!$C:$FB,66)</f>
        <v>3447900</v>
      </c>
      <c r="I121" s="165">
        <f>VLOOKUP($B121,'Data shares'!$C:$FB,67)</f>
        <v>3735000</v>
      </c>
      <c r="J121" s="81">
        <f t="shared" si="42"/>
        <v>-7.6867469879518078</v>
      </c>
      <c r="K121" s="5">
        <f>VLOOKUP($B121,'Data Vlaue (Cr)'!$C:$FB,99)</f>
        <v>1323</v>
      </c>
      <c r="L121" s="81">
        <f>VLOOKUP(B121,'OI(Value)'!$A$7:$C$226,3,0)</f>
        <v>50</v>
      </c>
      <c r="M121" s="33">
        <f t="shared" si="31"/>
        <v>3.7792894935752082</v>
      </c>
      <c r="N121" s="5">
        <f>VLOOKUP($B121,'Data Vlaue (Cr)'!$C:$FB,67)</f>
        <v>300</v>
      </c>
      <c r="O121" s="5">
        <f>VLOOKUP($B121,'Data Vlaue (Cr)'!$C:$FB,68)</f>
        <v>325</v>
      </c>
      <c r="P121" s="5">
        <f t="shared" si="43"/>
        <v>-8.3333333333333321</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Capital_Goods</v>
      </c>
      <c r="B122" s="79" t="str">
        <f>'Data shares'!C117</f>
        <v>LT</v>
      </c>
      <c r="C122" s="4">
        <f>VLOOKUP($B122,'Data shares'!$C:$FB,7)</f>
        <v>3719.5</v>
      </c>
      <c r="D122" s="82">
        <f>VLOOKUP($B122,'Data shares'!$C:$FB,98)</f>
        <v>33486600</v>
      </c>
      <c r="E122" s="165">
        <f>VLOOKUP(B122,'Snapshot (Volume)'!$A$7:$G$168,7,0)</f>
        <v>31346350</v>
      </c>
      <c r="F122" s="165">
        <f t="shared" si="40"/>
        <v>2140250</v>
      </c>
      <c r="G122" s="166">
        <f t="shared" si="41"/>
        <v>6.8277486852536262E-2</v>
      </c>
      <c r="H122" s="165">
        <f>VLOOKUP($B122,'Data shares'!$C:$FB,66)</f>
        <v>21964075</v>
      </c>
      <c r="I122" s="165">
        <f>VLOOKUP($B122,'Data shares'!$C:$FB,67)</f>
        <v>11861675</v>
      </c>
      <c r="J122" s="81">
        <f t="shared" si="42"/>
        <v>85.16841002640858</v>
      </c>
      <c r="K122" s="5">
        <f>VLOOKUP($B122,'Data Vlaue (Cr)'!$C:$FB,99)</f>
        <v>12494</v>
      </c>
      <c r="L122" s="81">
        <f>VLOOKUP(B122,'OI(Value)'!$A$7:$C$226,3,0)</f>
        <v>799</v>
      </c>
      <c r="M122" s="33">
        <f t="shared" si="31"/>
        <v>6.3950696334240442</v>
      </c>
      <c r="N122" s="5">
        <f>VLOOKUP($B122,'Data Vlaue (Cr)'!$C:$FB,67)</f>
        <v>8195</v>
      </c>
      <c r="O122" s="5">
        <f>VLOOKUP($B122,'Data Vlaue (Cr)'!$C:$FB,68)</f>
        <v>4425</v>
      </c>
      <c r="P122" s="5">
        <f t="shared" si="43"/>
        <v>46.003660768761442</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LTF</v>
      </c>
      <c r="C123" s="4">
        <f>VLOOKUP($B123,'Data shares'!$C:$FB,7)</f>
        <v>265.5</v>
      </c>
      <c r="D123" s="82">
        <f>VLOOKUP($B123,'Data shares'!$C:$FB,98)</f>
        <v>120525750</v>
      </c>
      <c r="E123" s="165">
        <f>VLOOKUP(B123,'Snapshot (Volume)'!$A$7:$G$168,7,0)</f>
        <v>121745250</v>
      </c>
      <c r="F123" s="165">
        <f t="shared" si="40"/>
        <v>-1219500</v>
      </c>
      <c r="G123" s="166">
        <f t="shared" si="41"/>
        <v>-1.0016817904599974E-2</v>
      </c>
      <c r="H123" s="165">
        <f>VLOOKUP($B123,'Data shares'!$C:$FB,66)</f>
        <v>42684750</v>
      </c>
      <c r="I123" s="165">
        <f>VLOOKUP($B123,'Data shares'!$C:$FB,67)</f>
        <v>38355750</v>
      </c>
      <c r="J123" s="81">
        <f t="shared" si="42"/>
        <v>11.28644336246847</v>
      </c>
      <c r="K123" s="5">
        <f>VLOOKUP($B123,'Data Vlaue (Cr)'!$C:$FB,99)</f>
        <v>3199</v>
      </c>
      <c r="L123" s="81">
        <f>VLOOKUP(B123,'OI(Value)'!$A$7:$C$226,3,0)</f>
        <v>-32</v>
      </c>
      <c r="M123" s="33">
        <f t="shared" ref="M123:M144" si="44">L123/K123*100</f>
        <v>-1.000312597686777</v>
      </c>
      <c r="N123" s="5">
        <f>VLOOKUP($B123,'Data Vlaue (Cr)'!$C:$FB,67)</f>
        <v>1133</v>
      </c>
      <c r="O123" s="5">
        <f>VLOOKUP($B123,'Data Vlaue (Cr)'!$C:$FB,68)</f>
        <v>1018</v>
      </c>
      <c r="P123" s="5">
        <f t="shared" si="43"/>
        <v>10.150044130626656</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Technology</v>
      </c>
      <c r="B124" s="79" t="str">
        <f>'Data shares'!C119</f>
        <v>LTM</v>
      </c>
      <c r="C124" s="4">
        <f>VLOOKUP($B124,'Data shares'!$C:$FB,7)</f>
        <v>4323.6000000000004</v>
      </c>
      <c r="D124" s="82">
        <f>VLOOKUP($B124,'Data shares'!$C:$FB,98)</f>
        <v>5791050</v>
      </c>
      <c r="E124" s="165">
        <f>VLOOKUP(B124,'Snapshot (Volume)'!$A$7:$G$168,7,0)</f>
        <v>5687700</v>
      </c>
      <c r="F124" s="165">
        <f t="shared" si="40"/>
        <v>103350</v>
      </c>
      <c r="G124" s="166">
        <f t="shared" si="41"/>
        <v>1.8170789598607521E-2</v>
      </c>
      <c r="H124" s="165">
        <f>VLOOKUP($B124,'Data shares'!$C:$FB,66)</f>
        <v>1952550</v>
      </c>
      <c r="I124" s="165">
        <f>VLOOKUP($B124,'Data shares'!$C:$FB,67)</f>
        <v>1630350</v>
      </c>
      <c r="J124" s="81">
        <f t="shared" si="42"/>
        <v>19.762627656638145</v>
      </c>
      <c r="K124" s="5">
        <f>VLOOKUP($B124,'Data Vlaue (Cr)'!$C:$FB,99)</f>
        <v>2483</v>
      </c>
      <c r="L124" s="81">
        <f>VLOOKUP(B124,'OI(Value)'!$A$7:$C$226,3,0)</f>
        <v>44</v>
      </c>
      <c r="M124" s="33">
        <f t="shared" si="44"/>
        <v>1.7720499395892066</v>
      </c>
      <c r="N124" s="5">
        <f>VLOOKUP($B124,'Data Vlaue (Cr)'!$C:$FB,67)</f>
        <v>837</v>
      </c>
      <c r="O124" s="5">
        <f>VLOOKUP($B124,'Data Vlaue (Cr)'!$C:$FB,68)</f>
        <v>699</v>
      </c>
      <c r="P124" s="5">
        <f t="shared" si="43"/>
        <v>16.487455197132618</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Pharma</v>
      </c>
      <c r="B125" s="79" t="str">
        <f>'Data shares'!C120</f>
        <v>LUPIN</v>
      </c>
      <c r="C125" s="4">
        <f>VLOOKUP($B125,'Data shares'!$C:$FB,7)</f>
        <v>2357.3000000000002</v>
      </c>
      <c r="D125" s="82">
        <f>VLOOKUP($B125,'Data shares'!$C:$FB,98)</f>
        <v>13235350</v>
      </c>
      <c r="E125" s="165">
        <f>VLOOKUP(B125,'Snapshot (Volume)'!$A$7:$G$168,7,0)</f>
        <v>12898325</v>
      </c>
      <c r="F125" s="165">
        <f t="shared" si="40"/>
        <v>337025</v>
      </c>
      <c r="G125" s="166">
        <f t="shared" si="41"/>
        <v>2.6129361758212791E-2</v>
      </c>
      <c r="H125" s="165">
        <f>VLOOKUP($B125,'Data shares'!$C:$FB,66)</f>
        <v>7991275</v>
      </c>
      <c r="I125" s="165">
        <f>VLOOKUP($B125,'Data shares'!$C:$FB,67)</f>
        <v>13580875</v>
      </c>
      <c r="J125" s="81">
        <f t="shared" si="42"/>
        <v>-41.157878266312004</v>
      </c>
      <c r="K125" s="5">
        <f>VLOOKUP($B125,'Data Vlaue (Cr)'!$C:$FB,99)</f>
        <v>3122</v>
      </c>
      <c r="L125" s="81">
        <f>VLOOKUP(B125,'OI(Value)'!$A$7:$C$226,3,0)</f>
        <v>80</v>
      </c>
      <c r="M125" s="33">
        <f t="shared" si="44"/>
        <v>2.5624599615631007</v>
      </c>
      <c r="N125" s="5">
        <f>VLOOKUP($B125,'Data Vlaue (Cr)'!$C:$FB,67)</f>
        <v>1885</v>
      </c>
      <c r="O125" s="5">
        <f>VLOOKUP($B125,'Data Vlaue (Cr)'!$C:$FB,68)</f>
        <v>3204</v>
      </c>
      <c r="P125" s="5">
        <f t="shared" si="43"/>
        <v>-69.973474801061002</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Automobile</v>
      </c>
      <c r="B126" s="79" t="str">
        <f>'Data shares'!C121</f>
        <v>M&amp;M</v>
      </c>
      <c r="C126" s="4">
        <f>VLOOKUP($B126,'Data shares'!$C:$FB,7)</f>
        <v>3031.2</v>
      </c>
      <c r="D126" s="82">
        <f>VLOOKUP($B126,'Data shares'!$C:$FB,98)</f>
        <v>28936200</v>
      </c>
      <c r="E126" s="165">
        <f>VLOOKUP(B126,'Snapshot (Volume)'!$A$7:$G$168,7,0)</f>
        <v>26917200</v>
      </c>
      <c r="F126" s="165">
        <f t="shared" si="40"/>
        <v>2019000</v>
      </c>
      <c r="G126" s="166">
        <f t="shared" si="41"/>
        <v>7.500780170300031E-2</v>
      </c>
      <c r="H126" s="165">
        <f>VLOOKUP($B126,'Data shares'!$C:$FB,66)</f>
        <v>23287600</v>
      </c>
      <c r="I126" s="165">
        <f>VLOOKUP($B126,'Data shares'!$C:$FB,67)</f>
        <v>14470400</v>
      </c>
      <c r="J126" s="81">
        <f t="shared" si="42"/>
        <v>60.932662538699688</v>
      </c>
      <c r="K126" s="5">
        <f>VLOOKUP($B126,'Data Vlaue (Cr)'!$C:$FB,99)</f>
        <v>8806</v>
      </c>
      <c r="L126" s="81">
        <f>VLOOKUP(B126,'OI(Value)'!$A$7:$C$226,3,0)</f>
        <v>614</v>
      </c>
      <c r="M126" s="33">
        <f t="shared" si="44"/>
        <v>6.97251873722462</v>
      </c>
      <c r="N126" s="5">
        <f>VLOOKUP($B126,'Data Vlaue (Cr)'!$C:$FB,67)</f>
        <v>7087</v>
      </c>
      <c r="O126" s="5">
        <f>VLOOKUP($B126,'Data Vlaue (Cr)'!$C:$FB,68)</f>
        <v>4404</v>
      </c>
      <c r="P126" s="5">
        <f t="shared" si="43"/>
        <v>37.858049950613797</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MANAPPURAM</v>
      </c>
      <c r="C127" s="4">
        <f>VLOOKUP($B127,'Data shares'!$C:$FB,7)</f>
        <v>255.55</v>
      </c>
      <c r="D127" s="82">
        <f>VLOOKUP($B127,'Data shares'!$C:$FB,98)</f>
        <v>102237000</v>
      </c>
      <c r="E127" s="165">
        <f>VLOOKUP(B127,'Snapshot (Volume)'!$A$7:$G$168,7,0)</f>
        <v>99033000</v>
      </c>
      <c r="F127" s="165">
        <f>D127-E127</f>
        <v>3204000</v>
      </c>
      <c r="G127" s="166">
        <f>F127/E127</f>
        <v>3.2352852079609827E-2</v>
      </c>
      <c r="H127" s="165">
        <f>VLOOKUP($B127,'Data shares'!$C:$FB,66)</f>
        <v>19485000</v>
      </c>
      <c r="I127" s="165">
        <f>VLOOKUP($B127,'Data shares'!$C:$FB,67)</f>
        <v>27576000</v>
      </c>
      <c r="J127" s="81">
        <f>(H127-I127)/I127*100</f>
        <v>-29.340731070496084</v>
      </c>
      <c r="K127" s="5">
        <f>VLOOKUP($B127,'Data Vlaue (Cr)'!$C:$FB,99)</f>
        <v>2621</v>
      </c>
      <c r="L127" s="81">
        <f>VLOOKUP(B127,'OI(Value)'!$A$7:$C$226,3,0)</f>
        <v>82</v>
      </c>
      <c r="M127" s="33">
        <f t="shared" si="44"/>
        <v>3.1285768790537958</v>
      </c>
      <c r="N127" s="5">
        <f>VLOOKUP($B127,'Data Vlaue (Cr)'!$C:$FB,67)</f>
        <v>500</v>
      </c>
      <c r="O127" s="5">
        <f>VLOOKUP($B127,'Data Vlaue (Cr)'!$C:$FB,68)</f>
        <v>707</v>
      </c>
      <c r="P127" s="5">
        <f>(N127-O127)/N127*100</f>
        <v>-41.4</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Pharma</v>
      </c>
      <c r="B128" s="79" t="str">
        <f>'Data shares'!C123</f>
        <v>MANKIND</v>
      </c>
      <c r="C128" s="4">
        <f>VLOOKUP($B128,'Data shares'!$C:$FB,7)</f>
        <v>2207.9</v>
      </c>
      <c r="D128" s="82">
        <f>VLOOKUP($B128,'Data shares'!$C:$FB,98)</f>
        <v>4400775</v>
      </c>
      <c r="E128" s="165">
        <f>VLOOKUP(B128,'Snapshot (Volume)'!$A$7:$G$168,7,0)</f>
        <v>4400325</v>
      </c>
      <c r="F128" s="165">
        <f>D128-E128</f>
        <v>450</v>
      </c>
      <c r="G128" s="166">
        <f>F128/E128</f>
        <v>1.0226517359513218E-4</v>
      </c>
      <c r="H128" s="165">
        <f>VLOOKUP($B128,'Data shares'!$C:$FB,66)</f>
        <v>1458000</v>
      </c>
      <c r="I128" s="165">
        <f>VLOOKUP($B128,'Data shares'!$C:$FB,67)</f>
        <v>2179350</v>
      </c>
      <c r="J128" s="81">
        <f>(H128-I128)/I128*100</f>
        <v>-33.099318604170968</v>
      </c>
      <c r="K128" s="5">
        <f>VLOOKUP($B128,'Data Vlaue (Cr)'!$C:$FB,99)</f>
        <v>976</v>
      </c>
      <c r="L128" s="81">
        <f>VLOOKUP(B128,'OI(Value)'!$A$7:$C$226,3,0)</f>
        <v>0</v>
      </c>
      <c r="M128" s="33">
        <f t="shared" si="44"/>
        <v>0</v>
      </c>
      <c r="N128" s="5">
        <f>VLOOKUP($B128,'Data Vlaue (Cr)'!$C:$FB,67)</f>
        <v>323</v>
      </c>
      <c r="O128" s="5">
        <f>VLOOKUP($B128,'Data Vlaue (Cr)'!$C:$FB,68)</f>
        <v>483</v>
      </c>
      <c r="P128" s="5">
        <f>(N128-O128)/N128*100</f>
        <v>-49.535603715170282</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FMCG</v>
      </c>
      <c r="B129" s="79" t="str">
        <f>'Data shares'!C124</f>
        <v>MARICO</v>
      </c>
      <c r="C129" s="4">
        <f>VLOOKUP($B129,'Data shares'!$C:$FB,7)</f>
        <v>757.15</v>
      </c>
      <c r="D129" s="82">
        <f>VLOOKUP($B129,'Data shares'!$C:$FB,98)</f>
        <v>34574400</v>
      </c>
      <c r="E129" s="165">
        <f>VLOOKUP(B129,'Snapshot (Volume)'!$A$7:$G$168,7,0)</f>
        <v>34275600</v>
      </c>
      <c r="F129" s="165">
        <f>D129-E129</f>
        <v>298800</v>
      </c>
      <c r="G129" s="166">
        <f>F129/E129</f>
        <v>8.7175716836466761E-3</v>
      </c>
      <c r="H129" s="165">
        <f>VLOOKUP($B129,'Data shares'!$C:$FB,66)</f>
        <v>44691600</v>
      </c>
      <c r="I129" s="165">
        <f>VLOOKUP($B129,'Data shares'!$C:$FB,67)</f>
        <v>14521200</v>
      </c>
      <c r="J129" s="81">
        <f>(H129-I129)/I129*100</f>
        <v>207.76795306173042</v>
      </c>
      <c r="K129" s="5">
        <f>VLOOKUP($B129,'Data Vlaue (Cr)'!$C:$FB,99)</f>
        <v>2614</v>
      </c>
      <c r="L129" s="81">
        <f>VLOOKUP(B129,'OI(Value)'!$A$7:$C$226,3,0)</f>
        <v>23</v>
      </c>
      <c r="M129" s="33">
        <f t="shared" si="44"/>
        <v>0.87987758224942625</v>
      </c>
      <c r="N129" s="5">
        <f>VLOOKUP($B129,'Data Vlaue (Cr)'!$C:$FB,67)</f>
        <v>3379</v>
      </c>
      <c r="O129" s="5">
        <f>VLOOKUP($B129,'Data Vlaue (Cr)'!$C:$FB,68)</f>
        <v>1098</v>
      </c>
      <c r="P129" s="5">
        <f>(N129-O129)/N129*100</f>
        <v>67.505179047055336</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MARUTI</v>
      </c>
      <c r="C130" s="4">
        <f>VLOOKUP($B130,'Data shares'!$C:$FB,7)</f>
        <v>13011</v>
      </c>
      <c r="D130" s="82">
        <f>VLOOKUP($B130,'Data shares'!$C:$FB,98)</f>
        <v>6659350</v>
      </c>
      <c r="E130" s="165">
        <f>VLOOKUP(B130,'Snapshot (Volume)'!$A$7:$G$168,7,0)</f>
        <v>6159850</v>
      </c>
      <c r="F130" s="165">
        <f>D130-E130</f>
        <v>499500</v>
      </c>
      <c r="G130" s="166">
        <f>F130/E130</f>
        <v>8.1089636922977021E-2</v>
      </c>
      <c r="H130" s="165">
        <f>VLOOKUP($B130,'Data shares'!$C:$FB,66)</f>
        <v>7348000</v>
      </c>
      <c r="I130" s="165">
        <f>VLOOKUP($B130,'Data shares'!$C:$FB,67)</f>
        <v>5411850</v>
      </c>
      <c r="J130" s="81">
        <f>(H130-I130)/I130*100</f>
        <v>35.776120919833325</v>
      </c>
      <c r="K130" s="5">
        <f>VLOOKUP($B130,'Data Vlaue (Cr)'!$C:$FB,99)</f>
        <v>8696</v>
      </c>
      <c r="L130" s="81">
        <f>VLOOKUP(B130,'OI(Value)'!$A$7:$C$226,3,0)</f>
        <v>652</v>
      </c>
      <c r="M130" s="33">
        <f t="shared" si="44"/>
        <v>7.4977000919963208</v>
      </c>
      <c r="N130" s="5">
        <f>VLOOKUP($B130,'Data Vlaue (Cr)'!$C:$FB,67)</f>
        <v>9596</v>
      </c>
      <c r="O130" s="5">
        <f>VLOOKUP($B130,'Data Vlaue (Cr)'!$C:$FB,68)</f>
        <v>7067</v>
      </c>
      <c r="P130" s="5">
        <f>(N130-O130)/N130*100</f>
        <v>26.354731137974159</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Pharma</v>
      </c>
      <c r="B131" s="79" t="str">
        <f>'Data shares'!C126</f>
        <v>MAXHEALTH</v>
      </c>
      <c r="C131" s="4">
        <f>VLOOKUP($B131,'Data shares'!$C:$FB,7)</f>
        <v>1020.4</v>
      </c>
      <c r="D131" s="82">
        <f>VLOOKUP($B131,'Data shares'!$C:$FB,98)</f>
        <v>18439050</v>
      </c>
      <c r="E131" s="165">
        <f>VLOOKUP(B131,'Snapshot (Volume)'!$A$7:$G$168,7,0)</f>
        <v>18394425</v>
      </c>
      <c r="F131" s="165">
        <f>D131-E131</f>
        <v>44625</v>
      </c>
      <c r="G131" s="166">
        <f>F131/E131</f>
        <v>2.4260067928190197E-3</v>
      </c>
      <c r="H131" s="165">
        <f>VLOOKUP($B131,'Data shares'!$C:$FB,66)</f>
        <v>6460125</v>
      </c>
      <c r="I131" s="165">
        <f>VLOOKUP($B131,'Data shares'!$C:$FB,67)</f>
        <v>6564600</v>
      </c>
      <c r="J131" s="81">
        <f>(H131-I131)/I131*100</f>
        <v>-1.5914907229686501</v>
      </c>
      <c r="K131" s="5">
        <f>VLOOKUP($B131,'Data Vlaue (Cr)'!$C:$FB,99)</f>
        <v>1886</v>
      </c>
      <c r="L131" s="81">
        <f>VLOOKUP(B131,'OI(Value)'!$A$7:$C$226,3,0)</f>
        <v>5</v>
      </c>
      <c r="M131" s="33">
        <f t="shared" si="44"/>
        <v>0.26511134676564158</v>
      </c>
      <c r="N131" s="5">
        <f>VLOOKUP($B131,'Data Vlaue (Cr)'!$C:$FB,67)</f>
        <v>661</v>
      </c>
      <c r="O131" s="5">
        <f>VLOOKUP($B131,'Data Vlaue (Cr)'!$C:$FB,68)</f>
        <v>671</v>
      </c>
      <c r="P131" s="5">
        <f>(N131-O131)/N131*100</f>
        <v>-1.5128593040847202</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Infrastructure</v>
      </c>
      <c r="B132" s="79" t="str">
        <f>'Data shares'!C127</f>
        <v>MAZDOCK</v>
      </c>
      <c r="C132" s="79">
        <f>VLOOKUP($B132,'Data shares'!$C:$FB,7)</f>
        <v>2443.3000000000002</v>
      </c>
      <c r="D132" s="165">
        <f>VLOOKUP($B132,'Data shares'!$C:$FB,98)</f>
        <v>12564800</v>
      </c>
      <c r="E132" s="165">
        <f>VLOOKUP(B132,'Snapshot (Volume)'!$A$7:$G$168,7,0)</f>
        <v>12211400</v>
      </c>
      <c r="F132" s="165">
        <f t="shared" ref="F132:F139" si="45">D132-E132</f>
        <v>353400</v>
      </c>
      <c r="G132" s="166">
        <f t="shared" ref="G132:G139" si="46">F132/E132</f>
        <v>2.8940170660202762E-2</v>
      </c>
      <c r="H132" s="165">
        <f>VLOOKUP($B132,'Data shares'!$C:$FB,66)</f>
        <v>12380800</v>
      </c>
      <c r="I132" s="165">
        <f>VLOOKUP($B132,'Data shares'!$C:$FB,67)</f>
        <v>14599200</v>
      </c>
      <c r="J132" s="81">
        <f t="shared" ref="J132:J139" si="47">(H132-I132)/I132*100</f>
        <v>-15.195353170036716</v>
      </c>
      <c r="K132" s="81">
        <f>VLOOKUP($B132,'Data Vlaue (Cr)'!$C:$FB,99)</f>
        <v>3091</v>
      </c>
      <c r="L132" s="81">
        <f>VLOOKUP(B132,'OI(Value)'!$A$7:$C$226,3,0)</f>
        <v>87</v>
      </c>
      <c r="M132" s="81">
        <f t="shared" si="44"/>
        <v>2.8146230993206083</v>
      </c>
      <c r="N132" s="81">
        <f>VLOOKUP($B132,'Data Vlaue (Cr)'!$C:$FB,67)</f>
        <v>3046</v>
      </c>
      <c r="O132" s="81">
        <f>VLOOKUP($B132,'Data Vlaue (Cr)'!$C:$FB,68)</f>
        <v>3592</v>
      </c>
      <c r="P132" s="81">
        <f t="shared" ref="P132:P139" si="48">(N132-O132)/N132*100</f>
        <v>-17.925147734734079</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Finance</v>
      </c>
      <c r="B133" s="79" t="str">
        <f>'Data shares'!C128</f>
        <v>MCX</v>
      </c>
      <c r="C133" s="79">
        <f>VLOOKUP($B133,'Data shares'!$C:$FB,7)</f>
        <v>2526.1</v>
      </c>
      <c r="D133" s="165">
        <f>VLOOKUP($B133,'Data shares'!$C:$FB,98)</f>
        <v>27298125</v>
      </c>
      <c r="E133" s="165">
        <f>VLOOKUP(B133,'Snapshot (Volume)'!$A$7:$G$168,7,0)</f>
        <v>27295625</v>
      </c>
      <c r="F133" s="165">
        <f t="shared" si="45"/>
        <v>2500</v>
      </c>
      <c r="G133" s="166">
        <f t="shared" si="46"/>
        <v>9.1589769422755483E-5</v>
      </c>
      <c r="H133" s="165">
        <f>VLOOKUP($B133,'Data shares'!$C:$FB,66)</f>
        <v>16658125</v>
      </c>
      <c r="I133" s="165">
        <f>VLOOKUP($B133,'Data shares'!$C:$FB,67)</f>
        <v>17020625</v>
      </c>
      <c r="J133" s="81">
        <f t="shared" si="47"/>
        <v>-2.1297690302206882</v>
      </c>
      <c r="K133" s="81">
        <f>VLOOKUP($B133,'Data Vlaue (Cr)'!$C:$FB,99)</f>
        <v>6919</v>
      </c>
      <c r="L133" s="81">
        <f>VLOOKUP(B133,'OI(Value)'!$A$7:$C$226,3,0)</f>
        <v>1</v>
      </c>
      <c r="M133" s="81">
        <f t="shared" si="44"/>
        <v>1.4452955629426219E-2</v>
      </c>
      <c r="N133" s="81">
        <f>VLOOKUP($B133,'Data Vlaue (Cr)'!$C:$FB,67)</f>
        <v>4222</v>
      </c>
      <c r="O133" s="81">
        <f>VLOOKUP($B133,'Data Vlaue (Cr)'!$C:$FB,68)</f>
        <v>4314</v>
      </c>
      <c r="P133" s="81">
        <f t="shared" si="48"/>
        <v>-2.179062055897679</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Finance</v>
      </c>
      <c r="B134" s="79" t="str">
        <f>'Data shares'!C129</f>
        <v>MFSL</v>
      </c>
      <c r="C134" s="4">
        <f>VLOOKUP($B134,'Data shares'!$C:$FB,7)</f>
        <v>1696.2</v>
      </c>
      <c r="D134" s="82">
        <f>VLOOKUP($B134,'Data shares'!$C:$FB,98)</f>
        <v>11172800</v>
      </c>
      <c r="E134" s="165">
        <f>VLOOKUP(B134,'Snapshot (Volume)'!$A$7:$G$168,7,0)</f>
        <v>11036000</v>
      </c>
      <c r="F134" s="165">
        <f t="shared" si="45"/>
        <v>136800</v>
      </c>
      <c r="G134" s="166">
        <f t="shared" si="46"/>
        <v>1.239579557810801E-2</v>
      </c>
      <c r="H134" s="165">
        <f>VLOOKUP($B134,'Data shares'!$C:$FB,66)</f>
        <v>2114800</v>
      </c>
      <c r="I134" s="165">
        <f>VLOOKUP($B134,'Data shares'!$C:$FB,67)</f>
        <v>2383600</v>
      </c>
      <c r="J134" s="81">
        <f t="shared" si="47"/>
        <v>-11.277059909380768</v>
      </c>
      <c r="K134" s="5">
        <f>VLOOKUP($B134,'Data Vlaue (Cr)'!$C:$FB,99)</f>
        <v>1898</v>
      </c>
      <c r="L134" s="81">
        <f>VLOOKUP(B134,'OI(Value)'!$A$7:$C$226,3,0)</f>
        <v>23</v>
      </c>
      <c r="M134" s="33">
        <f t="shared" si="44"/>
        <v>1.2118018967334034</v>
      </c>
      <c r="N134" s="5">
        <f>VLOOKUP($B134,'Data Vlaue (Cr)'!$C:$FB,67)</f>
        <v>359</v>
      </c>
      <c r="O134" s="5">
        <f>VLOOKUP($B134,'Data Vlaue (Cr)'!$C:$FB,68)</f>
        <v>405</v>
      </c>
      <c r="P134" s="5">
        <f t="shared" si="48"/>
        <v>-12.813370473537605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Index</v>
      </c>
      <c r="B135" s="79" t="str">
        <f>'Data shares'!C130</f>
        <v>MIDCPNIFTY</v>
      </c>
      <c r="C135" s="4">
        <f>VLOOKUP($B135,'Data shares'!$C:$FB,7)</f>
        <v>12961.15</v>
      </c>
      <c r="D135" s="82">
        <f>VLOOKUP($B135,'Data shares'!$C:$FB,98)</f>
        <v>15640440</v>
      </c>
      <c r="E135" s="165">
        <f>VLOOKUP(B135,'Snapshot (Volume)'!$A$7:$G$168,7,0)</f>
        <v>15286800</v>
      </c>
      <c r="F135" s="165">
        <f t="shared" si="45"/>
        <v>353640</v>
      </c>
      <c r="G135" s="166">
        <f t="shared" si="46"/>
        <v>2.3133683962634429E-2</v>
      </c>
      <c r="H135" s="165">
        <f>VLOOKUP($B135,'Data shares'!$C:$FB,66)</f>
        <v>25557120</v>
      </c>
      <c r="I135" s="165">
        <f>VLOOKUP($B135,'Data shares'!$C:$FB,67)</f>
        <v>25501560</v>
      </c>
      <c r="J135" s="81">
        <f t="shared" si="47"/>
        <v>0.21786902448320808</v>
      </c>
      <c r="K135" s="5">
        <f>VLOOKUP($B135,'Data Vlaue (Cr)'!$C:$FB,99)</f>
        <v>20274</v>
      </c>
      <c r="L135" s="81">
        <f>VLOOKUP(B135,'OI(Value)'!$A$7:$C$226,3,0)</f>
        <v>458</v>
      </c>
      <c r="M135" s="33">
        <f t="shared" si="44"/>
        <v>2.2590510012824305</v>
      </c>
      <c r="N135" s="5">
        <f>VLOOKUP($B135,'Data Vlaue (Cr)'!$C:$FB,67)</f>
        <v>33129</v>
      </c>
      <c r="O135" s="5">
        <f>VLOOKUP($B135,'Data Vlaue (Cr)'!$C:$FB,68)</f>
        <v>33057</v>
      </c>
      <c r="P135" s="5">
        <f t="shared" si="48"/>
        <v>0.21733224667209997</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Automobile</v>
      </c>
      <c r="B136" s="79" t="str">
        <f>'Data shares'!C131</f>
        <v>MOTHERSON</v>
      </c>
      <c r="C136" s="4">
        <f>VLOOKUP($B136,'Data shares'!$C:$FB,7)</f>
        <v>120.17</v>
      </c>
      <c r="D136" s="82">
        <f>VLOOKUP($B136,'Data shares'!$C:$FB,98)</f>
        <v>209905650</v>
      </c>
      <c r="E136" s="165">
        <f>VLOOKUP(B136,'Snapshot (Volume)'!$A$7:$G$168,7,0)</f>
        <v>208854000</v>
      </c>
      <c r="F136" s="165">
        <f t="shared" si="45"/>
        <v>1051650</v>
      </c>
      <c r="G136" s="166">
        <f t="shared" si="46"/>
        <v>5.0353356890459368E-3</v>
      </c>
      <c r="H136" s="165">
        <f>VLOOKUP($B136,'Data shares'!$C:$FB,66)</f>
        <v>101290500</v>
      </c>
      <c r="I136" s="165">
        <f>VLOOKUP($B136,'Data shares'!$C:$FB,67)</f>
        <v>84802350</v>
      </c>
      <c r="J136" s="81">
        <f t="shared" si="47"/>
        <v>19.443034302705055</v>
      </c>
      <c r="K136" s="5">
        <f>VLOOKUP($B136,'Data Vlaue (Cr)'!$C:$FB,99)</f>
        <v>2511</v>
      </c>
      <c r="L136" s="81">
        <f>VLOOKUP(B136,'OI(Value)'!$A$7:$C$226,3,0)</f>
        <v>13</v>
      </c>
      <c r="M136" s="33">
        <f t="shared" si="44"/>
        <v>0.51772202309836723</v>
      </c>
      <c r="N136" s="5">
        <f>VLOOKUP($B136,'Data Vlaue (Cr)'!$C:$FB,67)</f>
        <v>1212</v>
      </c>
      <c r="O136" s="5">
        <f>VLOOKUP($B136,'Data Vlaue (Cr)'!$C:$FB,68)</f>
        <v>1014</v>
      </c>
      <c r="P136" s="5">
        <f t="shared" si="48"/>
        <v>16.336633663366339</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Technology</v>
      </c>
      <c r="B137" s="79" t="str">
        <f>'Data shares'!C132</f>
        <v>MPHASIS</v>
      </c>
      <c r="C137" s="4">
        <f>VLOOKUP($B137,'Data shares'!$C:$FB,7)</f>
        <v>2185.1999999999998</v>
      </c>
      <c r="D137" s="82">
        <f>VLOOKUP($B137,'Data shares'!$C:$FB,98)</f>
        <v>7737125</v>
      </c>
      <c r="E137" s="165">
        <f>VLOOKUP(B137,'Snapshot (Volume)'!$A$7:$G$168,7,0)</f>
        <v>7625200</v>
      </c>
      <c r="F137" s="165">
        <f t="shared" si="45"/>
        <v>111925</v>
      </c>
      <c r="G137" s="166">
        <f t="shared" si="46"/>
        <v>1.4678303519907674E-2</v>
      </c>
      <c r="H137" s="165">
        <f>VLOOKUP($B137,'Data shares'!$C:$FB,66)</f>
        <v>2484350</v>
      </c>
      <c r="I137" s="165">
        <f>VLOOKUP($B137,'Data shares'!$C:$FB,67)</f>
        <v>1574100</v>
      </c>
      <c r="J137" s="81">
        <f t="shared" si="47"/>
        <v>57.826694619147446</v>
      </c>
      <c r="K137" s="5">
        <f>VLOOKUP($B137,'Data Vlaue (Cr)'!$C:$FB,99)</f>
        <v>1698</v>
      </c>
      <c r="L137" s="81">
        <f>VLOOKUP(B137,'OI(Value)'!$A$7:$C$226,3,0)</f>
        <v>25</v>
      </c>
      <c r="M137" s="33">
        <f t="shared" si="44"/>
        <v>1.4723203769140165</v>
      </c>
      <c r="N137" s="5">
        <f>VLOOKUP($B137,'Data Vlaue (Cr)'!$C:$FB,67)</f>
        <v>545</v>
      </c>
      <c r="O137" s="5">
        <f>VLOOKUP($B137,'Data Vlaue (Cr)'!$C:$FB,68)</f>
        <v>345</v>
      </c>
      <c r="P137" s="5">
        <f t="shared" si="48"/>
        <v>36.697247706422019</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MUTHOOTFIN</v>
      </c>
      <c r="C138" s="4">
        <f>VLOOKUP($B138,'Data shares'!$C:$FB,7)</f>
        <v>3244</v>
      </c>
      <c r="D138" s="82">
        <f>VLOOKUP($B138,'Data shares'!$C:$FB,98)</f>
        <v>9778175</v>
      </c>
      <c r="E138" s="165">
        <f>VLOOKUP(B138,'Snapshot (Volume)'!$A$7:$G$168,7,0)</f>
        <v>9846100</v>
      </c>
      <c r="F138" s="165">
        <f t="shared" si="45"/>
        <v>-67925</v>
      </c>
      <c r="G138" s="166">
        <f t="shared" si="46"/>
        <v>-6.8986705396045138E-3</v>
      </c>
      <c r="H138" s="165">
        <f>VLOOKUP($B138,'Data shares'!$C:$FB,66)</f>
        <v>6390450</v>
      </c>
      <c r="I138" s="165">
        <f>VLOOKUP($B138,'Data shares'!$C:$FB,67)</f>
        <v>6197675</v>
      </c>
      <c r="J138" s="81">
        <f t="shared" si="47"/>
        <v>3.1104406087766785</v>
      </c>
      <c r="K138" s="5">
        <f>VLOOKUP($B138,'Data Vlaue (Cr)'!$C:$FB,99)</f>
        <v>3183</v>
      </c>
      <c r="L138" s="81">
        <f>VLOOKUP(B138,'OI(Value)'!$A$7:$C$226,3,0)</f>
        <v>-22</v>
      </c>
      <c r="M138" s="33">
        <f t="shared" si="44"/>
        <v>-0.69117185045554508</v>
      </c>
      <c r="N138" s="5">
        <f>VLOOKUP($B138,'Data Vlaue (Cr)'!$C:$FB,67)</f>
        <v>2081</v>
      </c>
      <c r="O138" s="5">
        <f>VLOOKUP($B138,'Data Vlaue (Cr)'!$C:$FB,68)</f>
        <v>2018</v>
      </c>
      <c r="P138" s="5">
        <f t="shared" si="48"/>
        <v>3.0273906775588659</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Metals</v>
      </c>
      <c r="B139" s="79" t="str">
        <f>'Data shares'!C134</f>
        <v>NATIONALUM</v>
      </c>
      <c r="C139" s="4">
        <f>VLOOKUP($B139,'Data shares'!$C:$FB,7)</f>
        <v>409.15</v>
      </c>
      <c r="D139" s="82">
        <f>VLOOKUP($B139,'Data shares'!$C:$FB,98)</f>
        <v>131141250</v>
      </c>
      <c r="E139" s="165">
        <f>VLOOKUP(B139,'Snapshot (Volume)'!$A$7:$G$168,7,0)</f>
        <v>129577500</v>
      </c>
      <c r="F139" s="165">
        <f t="shared" si="45"/>
        <v>1563750</v>
      </c>
      <c r="G139" s="166">
        <f t="shared" si="46"/>
        <v>1.2068067372807779E-2</v>
      </c>
      <c r="H139" s="165">
        <f>VLOOKUP($B139,'Data shares'!$C:$FB,66)</f>
        <v>168558750</v>
      </c>
      <c r="I139" s="165">
        <f>VLOOKUP($B139,'Data shares'!$C:$FB,67)</f>
        <v>158400000</v>
      </c>
      <c r="J139" s="81">
        <f t="shared" si="47"/>
        <v>6.4133522727272725</v>
      </c>
      <c r="K139" s="5">
        <f>VLOOKUP($B139,'Data Vlaue (Cr)'!$C:$FB,99)</f>
        <v>5368</v>
      </c>
      <c r="L139" s="81">
        <f>VLOOKUP(B139,'OI(Value)'!$A$7:$C$226,3,0)</f>
        <v>64</v>
      </c>
      <c r="M139" s="33">
        <f t="shared" si="44"/>
        <v>1.1922503725782414</v>
      </c>
      <c r="N139" s="5">
        <f>VLOOKUP($B139,'Data Vlaue (Cr)'!$C:$FB,67)</f>
        <v>6900</v>
      </c>
      <c r="O139" s="5">
        <f>VLOOKUP($B139,'Data Vlaue (Cr)'!$C:$FB,68)</f>
        <v>6484</v>
      </c>
      <c r="P139" s="5">
        <f t="shared" si="48"/>
        <v>6.0289855072463769</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New_Age</v>
      </c>
      <c r="B140" s="79" t="str">
        <f>'Data shares'!C135</f>
        <v>NAUKRI</v>
      </c>
      <c r="C140" s="79">
        <f>VLOOKUP($B140,'Data shares'!$C:$FB,7)</f>
        <v>955.4</v>
      </c>
      <c r="D140" s="165">
        <f>VLOOKUP($B140,'Data shares'!$C:$FB,98)</f>
        <v>16894875</v>
      </c>
      <c r="E140" s="165">
        <f>VLOOKUP(B140,'Snapshot (Volume)'!$A$7:$G$168,7,0)</f>
        <v>16654500</v>
      </c>
      <c r="F140" s="165">
        <f>D140-E140</f>
        <v>240375</v>
      </c>
      <c r="G140" s="166">
        <f>F140/E140</f>
        <v>1.4433036116364947E-2</v>
      </c>
      <c r="H140" s="165">
        <f>VLOOKUP($B140,'Data shares'!$C:$FB,66)</f>
        <v>5082750</v>
      </c>
      <c r="I140" s="165">
        <f>VLOOKUP($B140,'Data shares'!$C:$FB,67)</f>
        <v>4880625</v>
      </c>
      <c r="J140" s="81">
        <f>(H140-I140)/I140*100</f>
        <v>4.1413753361505954</v>
      </c>
      <c r="K140" s="81">
        <f>VLOOKUP($B140,'Data Vlaue (Cr)'!$C:$FB,99)</f>
        <v>1617</v>
      </c>
      <c r="L140" s="81">
        <f>VLOOKUP(B140,'OI(Value)'!$A$7:$C$226,3,0)</f>
        <v>23</v>
      </c>
      <c r="M140" s="81">
        <f t="shared" si="44"/>
        <v>1.4223871366728509</v>
      </c>
      <c r="N140" s="81">
        <f>VLOOKUP($B140,'Data Vlaue (Cr)'!$C:$FB,67)</f>
        <v>486</v>
      </c>
      <c r="O140" s="81">
        <f>VLOOKUP($B140,'Data Vlaue (Cr)'!$C:$FB,68)</f>
        <v>467</v>
      </c>
      <c r="P140" s="81">
        <f>(N140-O140)/N140*100</f>
        <v>3.9094650205761319</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Realty</v>
      </c>
      <c r="B141" s="79" t="str">
        <f>'Data shares'!C136</f>
        <v>NBCC</v>
      </c>
      <c r="C141" s="4">
        <f>VLOOKUP($B141,'Data shares'!$C:$FB,7)</f>
        <v>86.58</v>
      </c>
      <c r="D141" s="82">
        <f>VLOOKUP($B141,'Data shares'!$C:$FB,98)</f>
        <v>141583000</v>
      </c>
      <c r="E141" s="165">
        <f>VLOOKUP(B141,'Snapshot (Volume)'!$A$7:$G$168,7,0)</f>
        <v>140003500</v>
      </c>
      <c r="F141" s="165">
        <f>D141-E141</f>
        <v>1579500</v>
      </c>
      <c r="G141" s="166">
        <f>F141/E141</f>
        <v>1.1281860810622591E-2</v>
      </c>
      <c r="H141" s="165">
        <f>VLOOKUP($B141,'Data shares'!$C:$FB,66)</f>
        <v>30420000</v>
      </c>
      <c r="I141" s="165">
        <f>VLOOKUP($B141,'Data shares'!$C:$FB,67)</f>
        <v>25109500</v>
      </c>
      <c r="J141" s="81">
        <f>(H141-I141)/I141*100</f>
        <v>21.149365777892829</v>
      </c>
      <c r="K141" s="5">
        <f>VLOOKUP($B141,'Data Vlaue (Cr)'!$C:$FB,99)</f>
        <v>1229</v>
      </c>
      <c r="L141" s="81">
        <f>VLOOKUP(B141,'OI(Value)'!$A$7:$C$226,3,0)</f>
        <v>14</v>
      </c>
      <c r="M141" s="33">
        <f t="shared" si="44"/>
        <v>1.1391375101708707</v>
      </c>
      <c r="N141" s="5">
        <f>VLOOKUP($B141,'Data Vlaue (Cr)'!$C:$FB,67)</f>
        <v>264</v>
      </c>
      <c r="O141" s="5">
        <f>VLOOKUP($B141,'Data Vlaue (Cr)'!$C:$FB,68)</f>
        <v>218</v>
      </c>
      <c r="P141" s="5">
        <f>(N141-O141)/N141*100</f>
        <v>17.424242424242426</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FMCG</v>
      </c>
      <c r="B142" s="79" t="str">
        <f>'Data shares'!C137</f>
        <v>NESTLEIND</v>
      </c>
      <c r="C142" s="4">
        <f>VLOOKUP($B142,'Data shares'!$C:$FB,7)</f>
        <v>1220.8</v>
      </c>
      <c r="D142" s="82">
        <f>VLOOKUP($B142,'Data shares'!$C:$FB,98)</f>
        <v>21872000</v>
      </c>
      <c r="E142" s="165">
        <f>VLOOKUP(B142,'Snapshot (Volume)'!$A$7:$G$168,7,0)</f>
        <v>21819000</v>
      </c>
      <c r="F142" s="165">
        <f>D142-E142</f>
        <v>53000</v>
      </c>
      <c r="G142" s="166">
        <f>F142/E142</f>
        <v>2.4290755763325543E-3</v>
      </c>
      <c r="H142" s="165">
        <f>VLOOKUP($B142,'Data shares'!$C:$FB,66)</f>
        <v>4508000</v>
      </c>
      <c r="I142" s="165">
        <f>VLOOKUP($B142,'Data shares'!$C:$FB,67)</f>
        <v>4098500</v>
      </c>
      <c r="J142" s="81">
        <f>(H142-I142)/I142*100</f>
        <v>9.9914602903501279</v>
      </c>
      <c r="K142" s="5">
        <f>VLOOKUP($B142,'Data Vlaue (Cr)'!$C:$FB,99)</f>
        <v>2675</v>
      </c>
      <c r="L142" s="81">
        <f>VLOOKUP(B142,'OI(Value)'!$A$7:$C$226,3,0)</f>
        <v>6</v>
      </c>
      <c r="M142" s="33">
        <f t="shared" si="44"/>
        <v>0.22429906542056074</v>
      </c>
      <c r="N142" s="5">
        <f>VLOOKUP($B142,'Data Vlaue (Cr)'!$C:$FB,67)</f>
        <v>551</v>
      </c>
      <c r="O142" s="5">
        <f>VLOOKUP($B142,'Data Vlaue (Cr)'!$C:$FB,68)</f>
        <v>501</v>
      </c>
      <c r="P142" s="5">
        <f>(N142-O142)/N142*100</f>
        <v>9.0744101633393832</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Power</v>
      </c>
      <c r="B143" s="79" t="str">
        <f>'Data shares'!C138</f>
        <v>NHPC</v>
      </c>
      <c r="C143" s="4">
        <f>VLOOKUP($B143,'Data shares'!$C:$FB,7)</f>
        <v>74.78</v>
      </c>
      <c r="D143" s="82">
        <f>VLOOKUP($B143,'Data shares'!$C:$FB,98)</f>
        <v>135507200</v>
      </c>
      <c r="E143" s="165">
        <f>VLOOKUP(B143,'Snapshot (Volume)'!$A$7:$G$168,7,0)</f>
        <v>139264000</v>
      </c>
      <c r="F143" s="165">
        <f>D143-E143</f>
        <v>-3756800</v>
      </c>
      <c r="G143" s="166">
        <f>F143/E143</f>
        <v>-2.6976102941176472E-2</v>
      </c>
      <c r="H143" s="165">
        <f>VLOOKUP($B143,'Data shares'!$C:$FB,66)</f>
        <v>111955200</v>
      </c>
      <c r="I143" s="165">
        <f>VLOOKUP($B143,'Data shares'!$C:$FB,67)</f>
        <v>73414400</v>
      </c>
      <c r="J143" s="81">
        <f>(H143-I143)/I143*100</f>
        <v>52.497602650161276</v>
      </c>
      <c r="K143" s="5">
        <f>VLOOKUP($B143,'Data Vlaue (Cr)'!$C:$FB,99)</f>
        <v>1016</v>
      </c>
      <c r="L143" s="81">
        <f>VLOOKUP(B143,'OI(Value)'!$A$7:$C$226,3,0)</f>
        <v>-28</v>
      </c>
      <c r="M143" s="33">
        <f t="shared" si="44"/>
        <v>-2.7559055118110236</v>
      </c>
      <c r="N143" s="5">
        <f>VLOOKUP($B143,'Data Vlaue (Cr)'!$C:$FB,67)</f>
        <v>840</v>
      </c>
      <c r="O143" s="5">
        <f>VLOOKUP($B143,'Data Vlaue (Cr)'!$C:$FB,68)</f>
        <v>551</v>
      </c>
      <c r="P143" s="5">
        <f>(N143-O143)/N143*100</f>
        <v>34.404761904761905</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Index</v>
      </c>
      <c r="B144" s="79" t="str">
        <f>'Data shares'!C139</f>
        <v>NIFTY</v>
      </c>
      <c r="C144" s="4">
        <f>VLOOKUP($B144,'Data shares'!$C:$FB,7)</f>
        <v>23639.15</v>
      </c>
      <c r="D144" s="82">
        <f>VLOOKUP($B144,'Data shares'!$C:$FB,98)</f>
        <v>469361895</v>
      </c>
      <c r="E144" s="165">
        <f>VLOOKUP(B144,'Snapshot (Volume)'!$A$7:$G$168,7,0)</f>
        <v>430676035</v>
      </c>
      <c r="F144" s="165">
        <f>D144-E144</f>
        <v>38685860</v>
      </c>
      <c r="G144" s="166">
        <f>F144/E144</f>
        <v>8.9825894305913728E-2</v>
      </c>
      <c r="H144" s="165">
        <f>VLOOKUP($B144,'Data shares'!$C:$FB,66)</f>
        <v>3201855020</v>
      </c>
      <c r="I144" s="165">
        <f>VLOOKUP($B144,'Data shares'!$C:$FB,67)</f>
        <v>3203394155</v>
      </c>
      <c r="J144" s="81">
        <f>(H144-I144)/I144*100</f>
        <v>-4.8047006566383652E-2</v>
      </c>
      <c r="K144" s="5">
        <f>VLOOKUP($B144,'Data Vlaue (Cr)'!$C:$FB,99)</f>
        <v>1113725</v>
      </c>
      <c r="L144" s="81">
        <f>VLOOKUP(B144,'OI(Value)'!$A$7:$C$226,3,0)</f>
        <v>91796</v>
      </c>
      <c r="M144" s="33">
        <f t="shared" si="44"/>
        <v>8.2422501066241658</v>
      </c>
      <c r="N144" s="5">
        <f>VLOOKUP($B144,'Data Vlaue (Cr)'!$C:$FB,67)</f>
        <v>7597522</v>
      </c>
      <c r="O144" s="5">
        <f>VLOOKUP($B144,'Data Vlaue (Cr)'!$C:$FB,68)</f>
        <v>7601174</v>
      </c>
      <c r="P144" s="5">
        <f>(N144-O144)/N144*100</f>
        <v>-4.8068304376084732E-2</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Index</v>
      </c>
      <c r="B145" s="79" t="str">
        <f>'Data shares'!C140</f>
        <v>NIFTYNXT50</v>
      </c>
      <c r="C145" s="4">
        <f>VLOOKUP($B145,'Data shares'!$C:$FB,7)</f>
        <v>66424.55</v>
      </c>
      <c r="D145" s="82">
        <f>VLOOKUP($B145,'Data shares'!$C:$FB,98)</f>
        <v>34975</v>
      </c>
      <c r="E145" s="165">
        <f>VLOOKUP(B145,'Snapshot (Volume)'!$A$7:$G$168,7,0)</f>
        <v>33375</v>
      </c>
      <c r="F145" s="165">
        <f t="shared" ref="F145:F152" si="49">D145-E145</f>
        <v>1600</v>
      </c>
      <c r="G145" s="166">
        <f t="shared" ref="G145:G153" si="50">F145/E145</f>
        <v>4.7940074906367043E-2</v>
      </c>
      <c r="H145" s="165">
        <f>VLOOKUP($B145,'Data shares'!$C:$FB,66)</f>
        <v>13325</v>
      </c>
      <c r="I145" s="165">
        <f>VLOOKUP($B145,'Data shares'!$C:$FB,67)</f>
        <v>24625</v>
      </c>
      <c r="J145" s="81">
        <f t="shared" ref="J145:J153" si="51">(H145-I145)/I145*100</f>
        <v>-45.888324873096451</v>
      </c>
      <c r="K145" s="5">
        <f>VLOOKUP($B145,'Data Vlaue (Cr)'!$C:$FB,99)</f>
        <v>233</v>
      </c>
      <c r="L145" s="81">
        <f>VLOOKUP(B145,'OI(Value)'!$A$7:$C$226,3,0)</f>
        <v>11</v>
      </c>
      <c r="M145" s="33">
        <f t="shared" ref="M145:M153" si="52">L145/K145*100</f>
        <v>4.7210300429184553</v>
      </c>
      <c r="N145" s="5">
        <f>VLOOKUP($B145,'Data Vlaue (Cr)'!$C:$FB,67)</f>
        <v>89</v>
      </c>
      <c r="O145" s="5">
        <f>VLOOKUP($B145,'Data Vlaue (Cr)'!$C:$FB,68)</f>
        <v>164</v>
      </c>
      <c r="P145" s="5">
        <f t="shared" ref="P145:P152" si="53">(N145-O145)/N145*100</f>
        <v>-84.269662921348313</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Metals</v>
      </c>
      <c r="B146" s="79" t="str">
        <f>'Data shares'!C141</f>
        <v>NMDC</v>
      </c>
      <c r="C146" s="4">
        <f>VLOOKUP($B146,'Data shares'!$C:$FB,7)</f>
        <v>80.87</v>
      </c>
      <c r="D146" s="82">
        <f>VLOOKUP($B146,'Data shares'!$C:$FB,98)</f>
        <v>472743000</v>
      </c>
      <c r="E146" s="165">
        <f>VLOOKUP(B146,'Snapshot (Volume)'!$A$7:$G$168,7,0)</f>
        <v>470549250</v>
      </c>
      <c r="F146" s="165">
        <f t="shared" si="49"/>
        <v>2193750</v>
      </c>
      <c r="G146" s="166">
        <f t="shared" si="50"/>
        <v>4.6621049762591267E-3</v>
      </c>
      <c r="H146" s="165">
        <f>VLOOKUP($B146,'Data shares'!$C:$FB,66)</f>
        <v>125590500</v>
      </c>
      <c r="I146" s="165">
        <f>VLOOKUP($B146,'Data shares'!$C:$FB,67)</f>
        <v>90949500</v>
      </c>
      <c r="J146" s="81">
        <f t="shared" si="51"/>
        <v>38.088169808520114</v>
      </c>
      <c r="K146" s="5">
        <f>VLOOKUP($B146,'Data Vlaue (Cr)'!$C:$FB,99)</f>
        <v>3839</v>
      </c>
      <c r="L146" s="81">
        <f>VLOOKUP(B146,'OI(Value)'!$A$7:$C$226,3,0)</f>
        <v>18</v>
      </c>
      <c r="M146" s="33">
        <f t="shared" si="52"/>
        <v>0.46887210210992447</v>
      </c>
      <c r="N146" s="5">
        <f>VLOOKUP($B146,'Data Vlaue (Cr)'!$C:$FB,67)</f>
        <v>1020</v>
      </c>
      <c r="O146" s="5">
        <f>VLOOKUP($B146,'Data Vlaue (Cr)'!$C:$FB,68)</f>
        <v>739</v>
      </c>
      <c r="P146" s="5">
        <f t="shared" si="53"/>
        <v>27.549019607843139</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Power</v>
      </c>
      <c r="B147" s="79" t="str">
        <f>'Data shares'!C142</f>
        <v>NTPC</v>
      </c>
      <c r="C147" s="4">
        <f>VLOOKUP($B147,'Data shares'!$C:$FB,7)</f>
        <v>390.55</v>
      </c>
      <c r="D147" s="82">
        <f>VLOOKUP($B147,'Data shares'!$C:$FB,98)</f>
        <v>228325500</v>
      </c>
      <c r="E147" s="165">
        <f>VLOOKUP(B147,'Snapshot (Volume)'!$A$7:$G$168,7,0)</f>
        <v>198072000</v>
      </c>
      <c r="F147" s="165">
        <f t="shared" si="49"/>
        <v>30253500</v>
      </c>
      <c r="G147" s="166">
        <f t="shared" si="50"/>
        <v>0.15273991275899673</v>
      </c>
      <c r="H147" s="165">
        <f>VLOOKUP($B147,'Data shares'!$C:$FB,66)</f>
        <v>344547000</v>
      </c>
      <c r="I147" s="165">
        <f>VLOOKUP($B147,'Data shares'!$C:$FB,67)</f>
        <v>105799500</v>
      </c>
      <c r="J147" s="81">
        <f t="shared" si="51"/>
        <v>225.66032920760497</v>
      </c>
      <c r="K147" s="5">
        <f>VLOOKUP($B147,'Data Vlaue (Cr)'!$C:$FB,99)</f>
        <v>8925</v>
      </c>
      <c r="L147" s="81">
        <f>VLOOKUP(B147,'OI(Value)'!$A$7:$C$226,3,0)</f>
        <v>1183</v>
      </c>
      <c r="M147" s="33">
        <f t="shared" si="52"/>
        <v>13.254901960784313</v>
      </c>
      <c r="N147" s="5">
        <f>VLOOKUP($B147,'Data Vlaue (Cr)'!$C:$FB,67)</f>
        <v>13468</v>
      </c>
      <c r="O147" s="5">
        <f>VLOOKUP($B147,'Data Vlaue (Cr)'!$C:$FB,68)</f>
        <v>4136</v>
      </c>
      <c r="P147" s="5">
        <f t="shared" si="53"/>
        <v>69.290169290169288</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Finance</v>
      </c>
      <c r="B148" s="79" t="str">
        <f>'Data shares'!C143</f>
        <v>NUVAMA</v>
      </c>
      <c r="C148" s="4">
        <f>VLOOKUP($B148,'Data shares'!$C:$FB,7)</f>
        <v>1183.8</v>
      </c>
      <c r="D148" s="82">
        <f>VLOOKUP($B148,'Data shares'!$C:$FB,98)</f>
        <v>3660500</v>
      </c>
      <c r="E148" s="165">
        <f>VLOOKUP(B148,'Snapshot (Volume)'!$A$7:$G$168,7,0)</f>
        <v>3640000</v>
      </c>
      <c r="F148" s="165">
        <f t="shared" si="49"/>
        <v>20500</v>
      </c>
      <c r="G148" s="166">
        <f t="shared" si="50"/>
        <v>5.6318681318681318E-3</v>
      </c>
      <c r="H148" s="165">
        <f>VLOOKUP($B148,'Data shares'!$C:$FB,66)</f>
        <v>1370000</v>
      </c>
      <c r="I148" s="165">
        <f>VLOOKUP($B148,'Data shares'!$C:$FB,67)</f>
        <v>1382500</v>
      </c>
      <c r="J148" s="81">
        <f t="shared" si="51"/>
        <v>-0.9041591320072333</v>
      </c>
      <c r="K148" s="5">
        <f>VLOOKUP($B148,'Data Vlaue (Cr)'!$C:$FB,99)</f>
        <v>435</v>
      </c>
      <c r="L148" s="81">
        <f>VLOOKUP(B148,'OI(Value)'!$A$7:$C$226,3,0)</f>
        <v>2</v>
      </c>
      <c r="M148" s="33">
        <f t="shared" si="52"/>
        <v>0.45977011494252873</v>
      </c>
      <c r="N148" s="5">
        <f>VLOOKUP($B148,'Data Vlaue (Cr)'!$C:$FB,67)</f>
        <v>163</v>
      </c>
      <c r="O148" s="5">
        <f>VLOOKUP($B148,'Data Vlaue (Cr)'!$C:$FB,68)</f>
        <v>164</v>
      </c>
      <c r="P148" s="5">
        <f t="shared" si="53"/>
        <v>-0.61349693251533743</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New_Age</v>
      </c>
      <c r="B149" s="79" t="str">
        <f>'Data shares'!C144</f>
        <v>NYKAA</v>
      </c>
      <c r="C149" s="4">
        <f>VLOOKUP($B149,'Data shares'!$C:$FB,7)</f>
        <v>244.95</v>
      </c>
      <c r="D149" s="82">
        <f>VLOOKUP($B149,'Data shares'!$C:$FB,98)</f>
        <v>57068750</v>
      </c>
      <c r="E149" s="165">
        <f>VLOOKUP(B149,'Snapshot (Volume)'!$A$7:$G$168,7,0)</f>
        <v>56765625</v>
      </c>
      <c r="F149" s="165">
        <f t="shared" si="49"/>
        <v>303125</v>
      </c>
      <c r="G149" s="166">
        <f t="shared" si="50"/>
        <v>5.3399394439856869E-3</v>
      </c>
      <c r="H149" s="165">
        <f>VLOOKUP($B149,'Data shares'!$C:$FB,66)</f>
        <v>11453125</v>
      </c>
      <c r="I149" s="165">
        <f>VLOOKUP($B149,'Data shares'!$C:$FB,67)</f>
        <v>11790625</v>
      </c>
      <c r="J149" s="81">
        <f t="shared" si="51"/>
        <v>-2.8624436787702092</v>
      </c>
      <c r="K149" s="5">
        <f>VLOOKUP($B149,'Data Vlaue (Cr)'!$C:$FB,99)</f>
        <v>1403</v>
      </c>
      <c r="L149" s="81">
        <f>VLOOKUP(B149,'OI(Value)'!$A$7:$C$226,3,0)</f>
        <v>7</v>
      </c>
      <c r="M149" s="33">
        <f t="shared" si="52"/>
        <v>0.49893086243763368</v>
      </c>
      <c r="N149" s="5">
        <f>VLOOKUP($B149,'Data Vlaue (Cr)'!$C:$FB,67)</f>
        <v>282</v>
      </c>
      <c r="O149" s="5">
        <f>VLOOKUP($B149,'Data Vlaue (Cr)'!$C:$FB,68)</f>
        <v>290</v>
      </c>
      <c r="P149" s="5">
        <f t="shared" si="53"/>
        <v>-2.8368794326241136</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Realty</v>
      </c>
      <c r="B150" s="79" t="str">
        <f>'Data shares'!C145</f>
        <v>OBEROIRLTY</v>
      </c>
      <c r="C150" s="4">
        <f>VLOOKUP($B150,'Data shares'!$C:$FB,7)</f>
        <v>1470.3</v>
      </c>
      <c r="D150" s="82">
        <f>VLOOKUP($B150,'Data shares'!$C:$FB,98)</f>
        <v>9873500</v>
      </c>
      <c r="E150" s="165">
        <f>VLOOKUP(B150,'Snapshot (Volume)'!$A$7:$G$168,7,0)</f>
        <v>9891350</v>
      </c>
      <c r="F150" s="165">
        <f t="shared" si="49"/>
        <v>-17850</v>
      </c>
      <c r="G150" s="166">
        <f t="shared" si="50"/>
        <v>-1.804607055659743E-3</v>
      </c>
      <c r="H150" s="165">
        <f>VLOOKUP($B150,'Data shares'!$C:$FB,66)</f>
        <v>2295650</v>
      </c>
      <c r="I150" s="165">
        <f>VLOOKUP($B150,'Data shares'!$C:$FB,67)</f>
        <v>3090850</v>
      </c>
      <c r="J150" s="81">
        <f t="shared" si="51"/>
        <v>-25.727550673762885</v>
      </c>
      <c r="K150" s="5">
        <f>VLOOKUP($B150,'Data Vlaue (Cr)'!$C:$FB,99)</f>
        <v>1438</v>
      </c>
      <c r="L150" s="81">
        <f>VLOOKUP(B150,'OI(Value)'!$A$7:$C$226,3,0)</f>
        <v>-3</v>
      </c>
      <c r="M150" s="33">
        <f t="shared" si="52"/>
        <v>-0.20862308762169679</v>
      </c>
      <c r="N150" s="5">
        <f>VLOOKUP($B150,'Data Vlaue (Cr)'!$C:$FB,67)</f>
        <v>334</v>
      </c>
      <c r="O150" s="5">
        <f>VLOOKUP($B150,'Data Vlaue (Cr)'!$C:$FB,68)</f>
        <v>450</v>
      </c>
      <c r="P150" s="5">
        <f t="shared" si="53"/>
        <v>-34.730538922155688</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Technology</v>
      </c>
      <c r="B151" s="79" t="str">
        <f>'Data shares'!C146</f>
        <v>OFSS</v>
      </c>
      <c r="C151" s="4">
        <f>VLOOKUP($B151,'Data shares'!$C:$FB,7)</f>
        <v>6694.5</v>
      </c>
      <c r="D151" s="82">
        <f>VLOOKUP($B151,'Data shares'!$C:$FB,98)</f>
        <v>2455350</v>
      </c>
      <c r="E151" s="165">
        <f>VLOOKUP(B151,'Snapshot (Volume)'!$A$7:$G$168,7,0)</f>
        <v>2465550</v>
      </c>
      <c r="F151" s="165">
        <f t="shared" si="49"/>
        <v>-10200</v>
      </c>
      <c r="G151" s="166">
        <f t="shared" si="50"/>
        <v>-4.1370079698241774E-3</v>
      </c>
      <c r="H151" s="165">
        <f>VLOOKUP($B151,'Data shares'!$C:$FB,66)</f>
        <v>1345125</v>
      </c>
      <c r="I151" s="165">
        <f>VLOOKUP($B151,'Data shares'!$C:$FB,67)</f>
        <v>2686875</v>
      </c>
      <c r="J151" s="81">
        <f t="shared" si="51"/>
        <v>-49.937194696441033</v>
      </c>
      <c r="K151" s="5">
        <f>VLOOKUP($B151,'Data Vlaue (Cr)'!$C:$FB,99)</f>
        <v>1640</v>
      </c>
      <c r="L151" s="81">
        <f>VLOOKUP(B151,'OI(Value)'!$A$7:$C$226,3,0)</f>
        <v>-7</v>
      </c>
      <c r="M151" s="33">
        <f t="shared" si="52"/>
        <v>-0.42682926829268297</v>
      </c>
      <c r="N151" s="5">
        <f>VLOOKUP($B151,'Data Vlaue (Cr)'!$C:$FB,67)</f>
        <v>898</v>
      </c>
      <c r="O151" s="5">
        <f>VLOOKUP($B151,'Data Vlaue (Cr)'!$C:$FB,68)</f>
        <v>1795</v>
      </c>
      <c r="P151" s="5">
        <f t="shared" si="53"/>
        <v>-99.88864142538975</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Oil_Gas</v>
      </c>
      <c r="B152" s="79" t="str">
        <f>'Data shares'!C147</f>
        <v>OIL</v>
      </c>
      <c r="C152" s="4">
        <f>VLOOKUP($B152,'Data shares'!$C:$FB,7)</f>
        <v>479.3</v>
      </c>
      <c r="D152" s="82">
        <f>VLOOKUP($B152,'Data shares'!$C:$FB,98)</f>
        <v>55045200</v>
      </c>
      <c r="E152" s="165">
        <f>VLOOKUP(B152,'Snapshot (Volume)'!$A$7:$G$168,7,0)</f>
        <v>55419000</v>
      </c>
      <c r="F152" s="165">
        <f t="shared" si="49"/>
        <v>-373800</v>
      </c>
      <c r="G152" s="166">
        <f t="shared" si="50"/>
        <v>-6.7449791587722626E-3</v>
      </c>
      <c r="H152" s="165">
        <f>VLOOKUP($B152,'Data shares'!$C:$FB,66)</f>
        <v>43531600</v>
      </c>
      <c r="I152" s="165">
        <f>VLOOKUP($B152,'Data shares'!$C:$FB,67)</f>
        <v>47114200</v>
      </c>
      <c r="J152" s="81">
        <f t="shared" si="51"/>
        <v>-7.6040769025049775</v>
      </c>
      <c r="K152" s="5">
        <f>VLOOKUP($B152,'Data Vlaue (Cr)'!$C:$FB,99)</f>
        <v>2632</v>
      </c>
      <c r="L152" s="81">
        <f>VLOOKUP(B152,'OI(Value)'!$A$7:$C$226,3,0)</f>
        <v>-18</v>
      </c>
      <c r="M152" s="33">
        <f t="shared" si="52"/>
        <v>-0.68389057750759874</v>
      </c>
      <c r="N152" s="5">
        <f>VLOOKUP($B152,'Data Vlaue (Cr)'!$C:$FB,67)</f>
        <v>2081</v>
      </c>
      <c r="O152" s="5">
        <f>VLOOKUP($B152,'Data Vlaue (Cr)'!$C:$FB,68)</f>
        <v>2253</v>
      </c>
      <c r="P152" s="5">
        <f t="shared" si="53"/>
        <v>-8.2652570879384903</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Oil_Gas</v>
      </c>
      <c r="B153" s="79" t="str">
        <f>'Data shares'!C148</f>
        <v>ONGC</v>
      </c>
      <c r="C153" s="4">
        <f>VLOOKUP($B153,'Data shares'!$C:$FB,7)</f>
        <v>270.55</v>
      </c>
      <c r="D153" s="82">
        <f>VLOOKUP($B153,'Data shares'!$C:$FB,98)</f>
        <v>258183000</v>
      </c>
      <c r="E153" s="165">
        <f>VLOOKUP(B153,'Snapshot (Volume)'!$A$7:$G$168,7,0)</f>
        <v>254997000</v>
      </c>
      <c r="F153" s="165">
        <f>D153-E153</f>
        <v>3186000</v>
      </c>
      <c r="G153" s="166">
        <f t="shared" si="50"/>
        <v>1.2494264638407511E-2</v>
      </c>
      <c r="H153" s="165">
        <f>VLOOKUP($B153,'Data shares'!$C:$FB,66)</f>
        <v>111377250</v>
      </c>
      <c r="I153" s="165">
        <f>VLOOKUP($B153,'Data shares'!$C:$FB,67)</f>
        <v>98291250</v>
      </c>
      <c r="J153" s="81">
        <f t="shared" si="51"/>
        <v>13.313494334439739</v>
      </c>
      <c r="K153" s="5">
        <f>VLOOKUP($B153,'Data Vlaue (Cr)'!$C:$FB,99)</f>
        <v>7010</v>
      </c>
      <c r="L153" s="81">
        <f>VLOOKUP(B153,'OI(Value)'!$A$7:$C$226,3,0)</f>
        <v>86</v>
      </c>
      <c r="M153" s="33">
        <f t="shared" si="52"/>
        <v>1.2268188302425107</v>
      </c>
      <c r="N153" s="5">
        <f>VLOOKUP($B153,'Data Vlaue (Cr)'!$C:$FB,67)</f>
        <v>3024</v>
      </c>
      <c r="O153" s="5">
        <f>VLOOKUP($B153,'Data Vlaue (Cr)'!$C:$FB,68)</f>
        <v>2669</v>
      </c>
      <c r="P153" s="5">
        <f>(N153-O153)/N153*100</f>
        <v>11.739417989417991</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Textile</v>
      </c>
      <c r="B154" s="79" t="str">
        <f>'Data shares'!C149</f>
        <v>PAGEIND</v>
      </c>
      <c r="C154" s="4">
        <f>VLOOKUP($B154,'Data shares'!$C:$FB,7)</f>
        <v>30860</v>
      </c>
      <c r="D154" s="82">
        <f>VLOOKUP($B154,'Data shares'!$C:$FB,98)</f>
        <v>423255</v>
      </c>
      <c r="E154" s="165">
        <f>VLOOKUP(B154,'Snapshot (Volume)'!$A$7:$G$168,7,0)</f>
        <v>393585</v>
      </c>
      <c r="F154" s="165">
        <f t="shared" ref="F154:F166" si="54">D154-E154</f>
        <v>29670</v>
      </c>
      <c r="G154" s="166">
        <f t="shared" ref="G154:G166" si="55">F154/E154</f>
        <v>7.5383970425702204E-2</v>
      </c>
      <c r="H154" s="165">
        <f>VLOOKUP($B154,'Data shares'!$C:$FB,66)</f>
        <v>241605</v>
      </c>
      <c r="I154" s="165">
        <f>VLOOKUP($B154,'Data shares'!$C:$FB,67)</f>
        <v>225405</v>
      </c>
      <c r="J154" s="81">
        <f t="shared" ref="J154:J166" si="56">(H154-I154)/I154*100</f>
        <v>7.1870632860850465</v>
      </c>
      <c r="K154" s="5">
        <f>VLOOKUP($B154,'Data Vlaue (Cr)'!$C:$FB,99)</f>
        <v>1308</v>
      </c>
      <c r="L154" s="81">
        <f>VLOOKUP(B154,'OI(Value)'!$A$7:$C$226,3,0)</f>
        <v>92</v>
      </c>
      <c r="M154" s="33">
        <f t="shared" ref="M154:M166" si="57">L154/K154*100</f>
        <v>7.0336391437308867</v>
      </c>
      <c r="N154" s="5">
        <f>VLOOKUP($B154,'Data Vlaue (Cr)'!$C:$FB,67)</f>
        <v>747</v>
      </c>
      <c r="O154" s="5">
        <f>VLOOKUP($B154,'Data Vlaue (Cr)'!$C:$FB,68)</f>
        <v>697</v>
      </c>
      <c r="P154" s="5">
        <f t="shared" ref="P154:P161" si="58">(N154-O154)/N154*100</f>
        <v>6.6934404283801872</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FMCG</v>
      </c>
      <c r="B155" s="79" t="str">
        <f>'Data shares'!C150</f>
        <v>PATANJALI</v>
      </c>
      <c r="C155" s="4">
        <f>VLOOKUP($B155,'Data shares'!$C:$FB,7)</f>
        <v>490.6</v>
      </c>
      <c r="D155" s="82">
        <f>VLOOKUP($B155,'Data shares'!$C:$FB,98)</f>
        <v>43995600</v>
      </c>
      <c r="E155" s="165">
        <f>VLOOKUP(B155,'Snapshot (Volume)'!$A$7:$G$168,7,0)</f>
        <v>42738300</v>
      </c>
      <c r="F155" s="165">
        <f t="shared" si="54"/>
        <v>1257300</v>
      </c>
      <c r="G155" s="166">
        <f t="shared" si="55"/>
        <v>2.9418577716006485E-2</v>
      </c>
      <c r="H155" s="165">
        <f>VLOOKUP($B155,'Data shares'!$C:$FB,66)</f>
        <v>9160200</v>
      </c>
      <c r="I155" s="165">
        <f>VLOOKUP($B155,'Data shares'!$C:$FB,67)</f>
        <v>6253200</v>
      </c>
      <c r="J155" s="81">
        <f t="shared" si="56"/>
        <v>46.488198042602185</v>
      </c>
      <c r="K155" s="5">
        <f>VLOOKUP($B155,'Data Vlaue (Cr)'!$C:$FB,99)</f>
        <v>2158</v>
      </c>
      <c r="L155" s="81">
        <f>VLOOKUP(B155,'OI(Value)'!$A$7:$C$226,3,0)</f>
        <v>62</v>
      </c>
      <c r="M155" s="33">
        <f t="shared" si="57"/>
        <v>2.8730305838739572</v>
      </c>
      <c r="N155" s="5">
        <f>VLOOKUP($B155,'Data Vlaue (Cr)'!$C:$FB,67)</f>
        <v>449</v>
      </c>
      <c r="O155" s="5">
        <f>VLOOKUP($B155,'Data Vlaue (Cr)'!$C:$FB,68)</f>
        <v>307</v>
      </c>
      <c r="P155" s="5">
        <f t="shared" si="58"/>
        <v>31.625835189309576</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New_Age</v>
      </c>
      <c r="B156" s="79" t="str">
        <f>'Data shares'!C151</f>
        <v>PAYTM</v>
      </c>
      <c r="C156" s="4">
        <f>VLOOKUP($B156,'Data shares'!$C:$FB,7)</f>
        <v>1009.1</v>
      </c>
      <c r="D156" s="82">
        <f>VLOOKUP($B156,'Data shares'!$C:$FB,98)</f>
        <v>36619750</v>
      </c>
      <c r="E156" s="165">
        <f>VLOOKUP(B156,'Snapshot (Volume)'!$A$7:$G$168,7,0)</f>
        <v>36344250</v>
      </c>
      <c r="F156" s="165">
        <f t="shared" si="54"/>
        <v>275500</v>
      </c>
      <c r="G156" s="166">
        <f t="shared" si="55"/>
        <v>7.580291242768801E-3</v>
      </c>
      <c r="H156" s="165">
        <f>VLOOKUP($B156,'Data shares'!$C:$FB,66)</f>
        <v>11462250</v>
      </c>
      <c r="I156" s="165">
        <f>VLOOKUP($B156,'Data shares'!$C:$FB,67)</f>
        <v>11366550</v>
      </c>
      <c r="J156" s="81">
        <f t="shared" si="56"/>
        <v>0.84194412552621511</v>
      </c>
      <c r="K156" s="5">
        <f>VLOOKUP($B156,'Data Vlaue (Cr)'!$C:$FB,99)</f>
        <v>3709</v>
      </c>
      <c r="L156" s="81">
        <f>VLOOKUP(B156,'OI(Value)'!$A$7:$C$226,3,0)</f>
        <v>28</v>
      </c>
      <c r="M156" s="33">
        <f t="shared" si="57"/>
        <v>0.75492046373685628</v>
      </c>
      <c r="N156" s="5">
        <f>VLOOKUP($B156,'Data Vlaue (Cr)'!$C:$FB,67)</f>
        <v>1161</v>
      </c>
      <c r="O156" s="5">
        <f>VLOOKUP($B156,'Data Vlaue (Cr)'!$C:$FB,68)</f>
        <v>1151</v>
      </c>
      <c r="P156" s="5">
        <f t="shared" si="58"/>
        <v>0.8613264427217916</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Technology</v>
      </c>
      <c r="B157" s="79" t="str">
        <f>'Data shares'!C152</f>
        <v>PERSISTENT</v>
      </c>
      <c r="C157" s="4">
        <f>VLOOKUP($B157,'Data shares'!$C:$FB,7)</f>
        <v>4714.3999999999996</v>
      </c>
      <c r="D157" s="82">
        <f>VLOOKUP($B157,'Data shares'!$C:$FB,98)</f>
        <v>7380400</v>
      </c>
      <c r="E157" s="165">
        <f>VLOOKUP(B157,'Snapshot (Volume)'!$A$7:$G$168,7,0)</f>
        <v>7261400</v>
      </c>
      <c r="F157" s="165">
        <f t="shared" si="54"/>
        <v>119000</v>
      </c>
      <c r="G157" s="166">
        <f t="shared" si="55"/>
        <v>1.6388024347921887E-2</v>
      </c>
      <c r="H157" s="165">
        <f>VLOOKUP($B157,'Data shares'!$C:$FB,66)</f>
        <v>3261500</v>
      </c>
      <c r="I157" s="165">
        <f>VLOOKUP($B157,'Data shares'!$C:$FB,67)</f>
        <v>2878300</v>
      </c>
      <c r="J157" s="81">
        <f t="shared" si="56"/>
        <v>13.313414168085327</v>
      </c>
      <c r="K157" s="5">
        <f>VLOOKUP($B157,'Data Vlaue (Cr)'!$C:$FB,99)</f>
        <v>3462</v>
      </c>
      <c r="L157" s="81">
        <f>VLOOKUP(B157,'OI(Value)'!$A$7:$C$226,3,0)</f>
        <v>56</v>
      </c>
      <c r="M157" s="33">
        <f t="shared" si="57"/>
        <v>1.6175621028307337</v>
      </c>
      <c r="N157" s="5">
        <f>VLOOKUP($B157,'Data Vlaue (Cr)'!$C:$FB,67)</f>
        <v>1530</v>
      </c>
      <c r="O157" s="5">
        <f>VLOOKUP($B157,'Data Vlaue (Cr)'!$C:$FB,68)</f>
        <v>1350</v>
      </c>
      <c r="P157" s="5">
        <f t="shared" si="58"/>
        <v>11.76470588235294</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PETRONET</v>
      </c>
      <c r="C158" s="4">
        <f>VLOOKUP($B158,'Data shares'!$C:$FB,7)</f>
        <v>296.7</v>
      </c>
      <c r="D158" s="82">
        <f>VLOOKUP($B158,'Data shares'!$C:$FB,98)</f>
        <v>65793200</v>
      </c>
      <c r="E158" s="165">
        <f>VLOOKUP(B158,'Snapshot (Volume)'!$A$7:$G$168,7,0)</f>
        <v>65675400</v>
      </c>
      <c r="F158" s="165">
        <f t="shared" si="54"/>
        <v>117800</v>
      </c>
      <c r="G158" s="166">
        <f t="shared" si="55"/>
        <v>1.793670080425852E-3</v>
      </c>
      <c r="H158" s="165">
        <f>VLOOKUP($B158,'Data shares'!$C:$FB,66)</f>
        <v>70569800</v>
      </c>
      <c r="I158" s="165">
        <f>VLOOKUP($B158,'Data shares'!$C:$FB,67)</f>
        <v>29288500</v>
      </c>
      <c r="J158" s="81">
        <f t="shared" si="56"/>
        <v>140.94712941939667</v>
      </c>
      <c r="K158" s="5">
        <f>VLOOKUP($B158,'Data Vlaue (Cr)'!$C:$FB,99)</f>
        <v>1950</v>
      </c>
      <c r="L158" s="81">
        <f>VLOOKUP(B158,'OI(Value)'!$A$7:$C$226,3,0)</f>
        <v>3</v>
      </c>
      <c r="M158" s="33">
        <f t="shared" si="57"/>
        <v>0.15384615384615385</v>
      </c>
      <c r="N158" s="5">
        <f>VLOOKUP($B158,'Data Vlaue (Cr)'!$C:$FB,67)</f>
        <v>2091</v>
      </c>
      <c r="O158" s="5">
        <f>VLOOKUP($B158,'Data Vlaue (Cr)'!$C:$FB,68)</f>
        <v>868</v>
      </c>
      <c r="P158" s="5">
        <f t="shared" si="58"/>
        <v>58.488761358201813</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Finance</v>
      </c>
      <c r="B159" s="79" t="str">
        <f>'Data shares'!C154</f>
        <v>PFC</v>
      </c>
      <c r="C159" s="4">
        <f>VLOOKUP($B159,'Data shares'!$C:$FB,7)</f>
        <v>415.9</v>
      </c>
      <c r="D159" s="82">
        <f>VLOOKUP($B159,'Data shares'!$C:$FB,98)</f>
        <v>122014100</v>
      </c>
      <c r="E159" s="165">
        <f>VLOOKUP(B159,'Snapshot (Volume)'!$A$7:$G$168,7,0)</f>
        <v>116793300</v>
      </c>
      <c r="F159" s="165">
        <f t="shared" si="54"/>
        <v>5220800</v>
      </c>
      <c r="G159" s="166">
        <f t="shared" si="55"/>
        <v>4.4701194332209128E-2</v>
      </c>
      <c r="H159" s="165">
        <f>VLOOKUP($B159,'Data shares'!$C:$FB,66)</f>
        <v>87721400</v>
      </c>
      <c r="I159" s="165">
        <f>VLOOKUP($B159,'Data shares'!$C:$FB,67)</f>
        <v>42261700</v>
      </c>
      <c r="J159" s="81">
        <f t="shared" si="56"/>
        <v>107.5671352548525</v>
      </c>
      <c r="K159" s="5">
        <f>VLOOKUP($B159,'Data Vlaue (Cr)'!$C:$FB,99)</f>
        <v>5065</v>
      </c>
      <c r="L159" s="81">
        <f>VLOOKUP(B159,'OI(Value)'!$A$7:$C$226,3,0)</f>
        <v>217</v>
      </c>
      <c r="M159" s="33">
        <f t="shared" si="57"/>
        <v>4.2843040473840075</v>
      </c>
      <c r="N159" s="5">
        <f>VLOOKUP($B159,'Data Vlaue (Cr)'!$C:$FB,67)</f>
        <v>3641</v>
      </c>
      <c r="O159" s="5">
        <f>VLOOKUP($B159,'Data Vlaue (Cr)'!$C:$FB,68)</f>
        <v>1754</v>
      </c>
      <c r="P159" s="5">
        <f t="shared" si="58"/>
        <v>51.826421312826142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Capital_Goods</v>
      </c>
      <c r="B160" s="79" t="str">
        <f>'Data shares'!C155</f>
        <v>PGEL</v>
      </c>
      <c r="C160" s="4">
        <f>VLOOKUP($B160,'Data shares'!$C:$FB,7)</f>
        <v>532.20000000000005</v>
      </c>
      <c r="D160" s="82">
        <f>VLOOKUP($B160,'Data shares'!$C:$FB,98)</f>
        <v>27883450</v>
      </c>
      <c r="E160" s="165">
        <f>VLOOKUP(B160,'Snapshot (Volume)'!$A$7:$G$168,7,0)</f>
        <v>28633950</v>
      </c>
      <c r="F160" s="165">
        <f t="shared" si="54"/>
        <v>-750500</v>
      </c>
      <c r="G160" s="166">
        <f t="shared" si="55"/>
        <v>-2.6210145648784048E-2</v>
      </c>
      <c r="H160" s="165">
        <f>VLOOKUP($B160,'Data shares'!$C:$FB,66)</f>
        <v>23010900</v>
      </c>
      <c r="I160" s="165">
        <f>VLOOKUP($B160,'Data shares'!$C:$FB,67)</f>
        <v>35093950</v>
      </c>
      <c r="J160" s="81">
        <f t="shared" si="56"/>
        <v>-34.430578490024629</v>
      </c>
      <c r="K160" s="5">
        <f>VLOOKUP($B160,'Data Vlaue (Cr)'!$C:$FB,99)</f>
        <v>1483</v>
      </c>
      <c r="L160" s="81">
        <f>VLOOKUP(B160,'OI(Value)'!$A$7:$C$226,3,0)</f>
        <v>-40</v>
      </c>
      <c r="M160" s="33">
        <f t="shared" si="57"/>
        <v>-2.6972353337828725</v>
      </c>
      <c r="N160" s="5">
        <f>VLOOKUP($B160,'Data Vlaue (Cr)'!$C:$FB,67)</f>
        <v>1224</v>
      </c>
      <c r="O160" s="5">
        <f>VLOOKUP($B160,'Data Vlaue (Cr)'!$C:$FB,68)</f>
        <v>1866</v>
      </c>
      <c r="P160" s="5">
        <f t="shared" si="58"/>
        <v>-52.450980392156865</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Realty</v>
      </c>
      <c r="B161" s="79" t="str">
        <f>'Data shares'!C156</f>
        <v>PHOENIXLTD</v>
      </c>
      <c r="C161" s="4">
        <f>VLOOKUP($B161,'Data shares'!$C:$FB,7)</f>
        <v>1560.2</v>
      </c>
      <c r="D161" s="82">
        <f>VLOOKUP($B161,'Data shares'!$C:$FB,98)</f>
        <v>5974850</v>
      </c>
      <c r="E161" s="165">
        <f>VLOOKUP(B161,'Snapshot (Volume)'!$A$7:$G$168,7,0)</f>
        <v>5940200</v>
      </c>
      <c r="F161" s="165">
        <f t="shared" si="54"/>
        <v>34650</v>
      </c>
      <c r="G161" s="166">
        <f t="shared" si="55"/>
        <v>5.833136931416451E-3</v>
      </c>
      <c r="H161" s="165">
        <f>VLOOKUP($B161,'Data shares'!$C:$FB,66)</f>
        <v>1579200</v>
      </c>
      <c r="I161" s="165">
        <f>VLOOKUP($B161,'Data shares'!$C:$FB,67)</f>
        <v>917350</v>
      </c>
      <c r="J161" s="81">
        <f t="shared" si="56"/>
        <v>72.148035101106444</v>
      </c>
      <c r="K161" s="5">
        <f>VLOOKUP($B161,'Data Vlaue (Cr)'!$C:$FB,99)</f>
        <v>933</v>
      </c>
      <c r="L161" s="81">
        <f>VLOOKUP(B161,'OI(Value)'!$A$7:$C$226,3,0)</f>
        <v>5</v>
      </c>
      <c r="M161" s="33">
        <f t="shared" si="57"/>
        <v>0.53590568060021437</v>
      </c>
      <c r="N161" s="5">
        <f>VLOOKUP($B161,'Data Vlaue (Cr)'!$C:$FB,67)</f>
        <v>247</v>
      </c>
      <c r="O161" s="5">
        <f>VLOOKUP($B161,'Data Vlaue (Cr)'!$C:$FB,68)</f>
        <v>143</v>
      </c>
      <c r="P161" s="5">
        <f t="shared" si="58"/>
        <v>42.105263157894733</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FMCG</v>
      </c>
      <c r="B162" s="79" t="str">
        <f>'Data shares'!C157</f>
        <v>PIDILITIND</v>
      </c>
      <c r="C162" s="4">
        <f>VLOOKUP($B162,'Data shares'!$C:$FB,7)</f>
        <v>1387.4</v>
      </c>
      <c r="D162" s="82">
        <f>VLOOKUP($B162,'Data shares'!$C:$FB,98)</f>
        <v>10868000</v>
      </c>
      <c r="E162" s="165">
        <f>VLOOKUP(B162,'Snapshot (Volume)'!$A$7:$G$168,7,0)</f>
        <v>10829500</v>
      </c>
      <c r="F162" s="165">
        <f t="shared" si="54"/>
        <v>38500</v>
      </c>
      <c r="G162" s="166">
        <f t="shared" si="55"/>
        <v>3.5551041137633316E-3</v>
      </c>
      <c r="H162" s="165">
        <f>VLOOKUP($B162,'Data shares'!$C:$FB,66)</f>
        <v>2125000</v>
      </c>
      <c r="I162" s="165">
        <f>VLOOKUP($B162,'Data shares'!$C:$FB,67)</f>
        <v>2408500</v>
      </c>
      <c r="J162" s="81">
        <f t="shared" si="56"/>
        <v>-11.770811708532282</v>
      </c>
      <c r="K162" s="5">
        <f>VLOOKUP($B162,'Data Vlaue (Cr)'!$C:$FB,99)</f>
        <v>1507</v>
      </c>
      <c r="L162" s="81">
        <f>VLOOKUP(B162,'OI(Value)'!$A$7:$C$226,3,0)</f>
        <v>5</v>
      </c>
      <c r="M162" s="33">
        <f t="shared" si="57"/>
        <v>0.33178500331785005</v>
      </c>
      <c r="N162" s="5">
        <f>VLOOKUP($B162,'Data Vlaue (Cr)'!$C:$FB,67)</f>
        <v>295</v>
      </c>
      <c r="O162" s="5">
        <f>VLOOKUP($B162,'Data Vlaue (Cr)'!$C:$FB,68)</f>
        <v>334</v>
      </c>
      <c r="P162" s="5">
        <f>(N162-O162)/N162*100</f>
        <v>-13.220338983050848</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Chemicals</v>
      </c>
      <c r="B163" s="79" t="str">
        <f>'Data shares'!C158</f>
        <v>PIIND</v>
      </c>
      <c r="C163" s="4">
        <f>VLOOKUP($B163,'Data shares'!$C:$FB,7)</f>
        <v>2952.4</v>
      </c>
      <c r="D163" s="82">
        <f>VLOOKUP($B163,'Data shares'!$C:$FB,98)</f>
        <v>4610375</v>
      </c>
      <c r="E163" s="165">
        <f>VLOOKUP(B163,'Snapshot (Volume)'!$A$7:$G$168,7,0)</f>
        <v>4575200</v>
      </c>
      <c r="F163" s="165">
        <f t="shared" si="54"/>
        <v>35175</v>
      </c>
      <c r="G163" s="166">
        <f t="shared" si="55"/>
        <v>7.688188494492044E-3</v>
      </c>
      <c r="H163" s="165">
        <f>VLOOKUP($B163,'Data shares'!$C:$FB,66)</f>
        <v>1409450</v>
      </c>
      <c r="I163" s="165">
        <f>VLOOKUP($B163,'Data shares'!$C:$FB,67)</f>
        <v>1471400</v>
      </c>
      <c r="J163" s="81">
        <f t="shared" si="56"/>
        <v>-4.210275927687916</v>
      </c>
      <c r="K163" s="5">
        <f>VLOOKUP($B163,'Data Vlaue (Cr)'!$C:$FB,99)</f>
        <v>1364</v>
      </c>
      <c r="L163" s="81">
        <f>VLOOKUP(B163,'OI(Value)'!$A$7:$C$226,3,0)</f>
        <v>10</v>
      </c>
      <c r="M163" s="33">
        <f t="shared" si="57"/>
        <v>0.73313782991202348</v>
      </c>
      <c r="N163" s="5">
        <f>VLOOKUP($B163,'Data Vlaue (Cr)'!$C:$FB,67)</f>
        <v>417</v>
      </c>
      <c r="O163" s="5">
        <f>VLOOKUP($B163,'Data Vlaue (Cr)'!$C:$FB,68)</f>
        <v>435</v>
      </c>
      <c r="P163" s="5">
        <f>(N163-O163)/N163*100</f>
        <v>-4.3165467625899279</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Banking</v>
      </c>
      <c r="B164" s="79" t="str">
        <f>'Data shares'!C159</f>
        <v>PNB</v>
      </c>
      <c r="C164" s="4">
        <f>VLOOKUP($B164,'Data shares'!$C:$FB,7)</f>
        <v>116.61</v>
      </c>
      <c r="D164" s="82">
        <f>VLOOKUP($B164,'Data shares'!$C:$FB,98)</f>
        <v>478160000</v>
      </c>
      <c r="E164" s="165">
        <f>VLOOKUP(B164,'Snapshot (Volume)'!$A$7:$G$168,7,0)</f>
        <v>481384000</v>
      </c>
      <c r="F164" s="165">
        <f t="shared" si="54"/>
        <v>-3224000</v>
      </c>
      <c r="G164" s="166">
        <f t="shared" si="55"/>
        <v>-6.6973559569906771E-3</v>
      </c>
      <c r="H164" s="165">
        <f>VLOOKUP($B164,'Data shares'!$C:$FB,66)</f>
        <v>171288000</v>
      </c>
      <c r="I164" s="165">
        <f>VLOOKUP($B164,'Data shares'!$C:$FB,67)</f>
        <v>141984000</v>
      </c>
      <c r="J164" s="81">
        <f t="shared" si="56"/>
        <v>20.638945233265719</v>
      </c>
      <c r="K164" s="5">
        <f>VLOOKUP($B164,'Data Vlaue (Cr)'!$C:$FB,99)</f>
        <v>5593</v>
      </c>
      <c r="L164" s="81">
        <f>VLOOKUP(B164,'OI(Value)'!$A$7:$C$226,3,0)</f>
        <v>-38</v>
      </c>
      <c r="M164" s="33">
        <f t="shared" si="57"/>
        <v>-0.67942070445199354</v>
      </c>
      <c r="N164" s="5">
        <f>VLOOKUP($B164,'Data Vlaue (Cr)'!$C:$FB,67)</f>
        <v>2003</v>
      </c>
      <c r="O164" s="5">
        <f>VLOOKUP($B164,'Data Vlaue (Cr)'!$C:$FB,68)</f>
        <v>1661</v>
      </c>
      <c r="P164" s="5">
        <f>(N164-O164)/N164*100</f>
        <v>17.074388417373939</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VLOOKUP(B165,'OI(Value)'!$A$7:$C$226,3,0)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shares'!B213</f>
        <v>Pharma</v>
      </c>
      <c r="B166" s="79" t="str">
        <f>'Data shares'!C213</f>
        <v>ZYDUSLIFE</v>
      </c>
      <c r="C166" s="4">
        <f>VLOOKUP($B166,'Data shares'!$C:$FB,7)</f>
        <v>916.9</v>
      </c>
      <c r="D166" s="82">
        <f>VLOOKUP($B166,'Data shares'!$C:$FB,98)</f>
        <v>16652700</v>
      </c>
      <c r="E166" s="165" t="e">
        <f>VLOOKUP(B166,'Snapshot (Volume)'!$A$7:$G$168,7,0)</f>
        <v>#N/A</v>
      </c>
      <c r="F166" s="165" t="e">
        <f t="shared" si="54"/>
        <v>#N/A</v>
      </c>
      <c r="G166" s="166" t="e">
        <f t="shared" si="55"/>
        <v>#N/A</v>
      </c>
      <c r="H166" s="165">
        <f>VLOOKUP($B166,'Data shares'!$C:$FB,66)</f>
        <v>4365000</v>
      </c>
      <c r="I166" s="165">
        <f>VLOOKUP($B166,'Data shares'!$C:$FB,67)</f>
        <v>6585300</v>
      </c>
      <c r="J166" s="81">
        <f t="shared" si="56"/>
        <v>-33.716003826704934</v>
      </c>
      <c r="K166" s="5">
        <f>VLOOKUP($B166,'Data Vlaue (Cr)'!$C:$FB,99)</f>
        <v>1534</v>
      </c>
      <c r="L166" s="81">
        <f>VLOOKUP(B166,'OI(Value)'!$A$7:$C$226,3,0)</f>
        <v>21</v>
      </c>
      <c r="M166" s="33">
        <f t="shared" si="57"/>
        <v>1.3689700130378095</v>
      </c>
      <c r="N166" s="5">
        <f>VLOOKUP($B166,'Data Vlaue (Cr)'!$C:$FB,67)</f>
        <v>402</v>
      </c>
      <c r="O166" s="5">
        <f>VLOOKUP($B166,'Data Vlaue (Cr)'!$C:$FB,68)</f>
        <v>606</v>
      </c>
      <c r="P166" s="5">
        <f>(N166-O166)/N166*100</f>
        <v>-50.746268656716417</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zoomScale="85" zoomScaleNormal="85" workbookViewId="0">
      <pane ySplit="6" topLeftCell="A211" activePane="bottomLeft" state="frozen"/>
      <selection activeCell="Q163" sqref="Q163"/>
      <selection pane="bottomLeft" activeCell="A218" sqref="A218:O220"/>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6" t="s">
        <v>334</v>
      </c>
      <c r="B3" s="277"/>
      <c r="C3" s="277"/>
      <c r="D3" s="278"/>
      <c r="E3" s="279"/>
      <c r="F3" s="279"/>
      <c r="G3" s="279"/>
      <c r="H3" s="279"/>
      <c r="I3" s="279"/>
      <c r="J3" s="279"/>
      <c r="K3" s="279"/>
      <c r="L3" s="279"/>
      <c r="M3" s="279"/>
      <c r="N3" s="279"/>
      <c r="O3" s="280"/>
    </row>
    <row r="4" spans="1:15" s="84" customFormat="1" x14ac:dyDescent="0.25">
      <c r="A4" s="273" t="s">
        <v>330</v>
      </c>
      <c r="B4" s="273" t="s">
        <v>340</v>
      </c>
      <c r="C4" s="273"/>
      <c r="D4" s="273"/>
      <c r="E4" s="273"/>
      <c r="F4" s="273"/>
      <c r="G4" s="273"/>
      <c r="H4" s="273"/>
      <c r="I4" s="273"/>
      <c r="J4" s="273"/>
      <c r="K4" s="273"/>
      <c r="L4" s="273"/>
      <c r="M4" s="273"/>
      <c r="N4" s="273"/>
      <c r="O4" s="273"/>
    </row>
    <row r="5" spans="1:15" s="84" customFormat="1" x14ac:dyDescent="0.25">
      <c r="A5" s="274"/>
      <c r="B5" s="274" t="s">
        <v>314</v>
      </c>
      <c r="C5" s="274"/>
      <c r="D5" s="274"/>
      <c r="E5" s="274" t="s">
        <v>341</v>
      </c>
      <c r="F5" s="274"/>
      <c r="G5" s="274"/>
      <c r="H5" s="274" t="s">
        <v>336</v>
      </c>
      <c r="I5" s="274"/>
      <c r="J5" s="274"/>
      <c r="K5" s="274" t="s">
        <v>342</v>
      </c>
      <c r="L5" s="274"/>
      <c r="M5" s="274"/>
      <c r="N5" s="274" t="s">
        <v>338</v>
      </c>
      <c r="O5" s="274"/>
    </row>
    <row r="6" spans="1:15" s="84" customFormat="1" x14ac:dyDescent="0.25">
      <c r="A6" s="71" t="s">
        <v>318</v>
      </c>
      <c r="B6" s="66">
        <f>'OI(Value)'!B6</f>
        <v>46093</v>
      </c>
      <c r="C6" s="71" t="s">
        <v>333</v>
      </c>
      <c r="D6" s="71" t="s">
        <v>328</v>
      </c>
      <c r="E6" s="66">
        <f>B6</f>
        <v>46093</v>
      </c>
      <c r="F6" s="71" t="s">
        <v>333</v>
      </c>
      <c r="G6" s="71" t="s">
        <v>328</v>
      </c>
      <c r="H6" s="66">
        <f>B6</f>
        <v>46093</v>
      </c>
      <c r="I6" s="71" t="s">
        <v>333</v>
      </c>
      <c r="J6" s="71" t="s">
        <v>328</v>
      </c>
      <c r="K6" s="66">
        <f>B6</f>
        <v>46093</v>
      </c>
      <c r="L6" s="71" t="s">
        <v>333</v>
      </c>
      <c r="M6" s="71" t="s">
        <v>328</v>
      </c>
      <c r="N6" s="71" t="s">
        <v>339</v>
      </c>
      <c r="O6" s="71" t="s">
        <v>328</v>
      </c>
    </row>
    <row r="7" spans="1:15" x14ac:dyDescent="0.25">
      <c r="A7" s="100" t="str">
        <f>'Data Vlaue (Cr)'!C2</f>
        <v>360ONE</v>
      </c>
      <c r="B7" s="82">
        <f>VLOOKUP(A7,'Data shares'!$C$2:$CV$213,98,0)</f>
        <v>4721000</v>
      </c>
      <c r="C7" s="82">
        <f>VLOOKUP(A7,'Data shares'!$C$2:$CX$213,100,0)</f>
        <v>78000</v>
      </c>
      <c r="D7" s="141">
        <f>VLOOKUP(A7,'Data shares'!$C$2:$CY$536,101,0)</f>
        <v>1.6799999999999999E-2</v>
      </c>
      <c r="E7" s="86">
        <f>VLOOKUP($A7,'Data shares'!$C:$FA,74)</f>
        <v>3052000</v>
      </c>
      <c r="F7" s="86">
        <f>VLOOKUP($A7,'Data shares'!$C:$FA,76)</f>
        <v>2500</v>
      </c>
      <c r="G7" s="87">
        <f>VLOOKUP(A7,'Data shares'!$C$2:$CA$213,77,0)</f>
        <v>8.0000000000000004E-4</v>
      </c>
      <c r="H7" s="86">
        <f>VLOOKUP($A7,'Data shares'!$C:$FA,90)</f>
        <v>1188500</v>
      </c>
      <c r="I7" s="86">
        <f>VLOOKUP($A7,'Data shares'!$C:$FA,92)</f>
        <v>63500</v>
      </c>
      <c r="J7" s="87">
        <f>VLOOKUP($A7,'Data shares'!$C:$FA,93)</f>
        <v>5.6399999999999999E-2</v>
      </c>
      <c r="K7" s="86">
        <f>VLOOKUP($A7,'Data shares'!$C:$FA,94)</f>
        <v>480500</v>
      </c>
      <c r="L7" s="86">
        <f>VLOOKUP($A7,'Data shares'!$C:$FA,96)</f>
        <v>12000</v>
      </c>
      <c r="M7" s="87">
        <f>VLOOKUP($A7,'Data shares'!$C:$FA,97)</f>
        <v>2.5600000000000001E-2</v>
      </c>
      <c r="N7" s="86">
        <f>VLOOKUP($A7,'Data shares'!$C:$FA,78)</f>
        <v>2990500</v>
      </c>
      <c r="O7" s="87">
        <f>VLOOKUP($A7,'Data shares'!$C:$FA,81)</f>
        <v>-5.0000000000000001E-4</v>
      </c>
    </row>
    <row r="8" spans="1:15" x14ac:dyDescent="0.25">
      <c r="A8" s="100" t="str">
        <f>'Data Vlaue (Cr)'!C3</f>
        <v>ABB</v>
      </c>
      <c r="B8" s="82">
        <f>VLOOKUP(A8,'Data shares'!$C$2:$CV$213,98,0)</f>
        <v>4265375</v>
      </c>
      <c r="C8" s="82">
        <f>VLOOKUP(A8,'Data shares'!$C$2:$CX$213,100,0)</f>
        <v>100125</v>
      </c>
      <c r="D8" s="141">
        <f>VLOOKUP(A8,'Data shares'!$C$2:$CY$536,101,0)</f>
        <v>2.4E-2</v>
      </c>
      <c r="E8" s="86">
        <f>VLOOKUP($A8,'Data shares'!$C:$FA,74)</f>
        <v>2109625</v>
      </c>
      <c r="F8" s="86">
        <f>VLOOKUP($A8,'Data shares'!$C:$FA,76)</f>
        <v>31500</v>
      </c>
      <c r="G8" s="87">
        <f>VLOOKUP(A8,'Data shares'!$C$2:$CA$213,77,0)</f>
        <v>1.52E-2</v>
      </c>
      <c r="H8" s="86">
        <f>VLOOKUP($A8,'Data shares'!$C:$FA,90)</f>
        <v>1155875</v>
      </c>
      <c r="I8" s="86">
        <f>VLOOKUP($A8,'Data shares'!$C:$FA,92)</f>
        <v>25750</v>
      </c>
      <c r="J8" s="87">
        <f>VLOOKUP($A8,'Data shares'!$C:$FA,93)</f>
        <v>2.2800000000000001E-2</v>
      </c>
      <c r="K8" s="86">
        <f>VLOOKUP($A8,'Data shares'!$C:$FA,94)</f>
        <v>999875</v>
      </c>
      <c r="L8" s="86">
        <f>VLOOKUP($A8,'Data shares'!$C:$FA,96)</f>
        <v>42875</v>
      </c>
      <c r="M8" s="87">
        <f>VLOOKUP($A8,'Data shares'!$C:$FA,97)</f>
        <v>4.48E-2</v>
      </c>
      <c r="N8" s="86">
        <f>VLOOKUP($A8,'Data shares'!$C:$FA,78)</f>
        <v>2040375</v>
      </c>
      <c r="O8" s="87">
        <f>VLOOKUP($A8,'Data shares'!$C:$FA,81)</f>
        <v>1.2E-2</v>
      </c>
    </row>
    <row r="9" spans="1:15" x14ac:dyDescent="0.25">
      <c r="A9" s="100" t="str">
        <f>'Data Vlaue (Cr)'!C4</f>
        <v>ABCAPITAL</v>
      </c>
      <c r="B9" s="82">
        <f>VLOOKUP(A9,'Data shares'!$C$2:$CV$213,98,0)</f>
        <v>72651600</v>
      </c>
      <c r="C9" s="82">
        <f>VLOOKUP(A9,'Data shares'!$C$2:$CX$213,100,0)</f>
        <v>-1159400</v>
      </c>
      <c r="D9" s="141">
        <f>VLOOKUP(A9,'Data shares'!$C$2:$CY$536,101,0)</f>
        <v>-1.5699999999999999E-2</v>
      </c>
      <c r="E9" s="86">
        <f>VLOOKUP($A9,'Data shares'!$C:$FA,74)</f>
        <v>47324600</v>
      </c>
      <c r="F9" s="86">
        <f>VLOOKUP($A9,'Data shares'!$C:$FA,76)</f>
        <v>-508400</v>
      </c>
      <c r="G9" s="87">
        <f>VLOOKUP(A9,'Data shares'!$C$2:$CA$213,77,0)</f>
        <v>-1.06E-2</v>
      </c>
      <c r="H9" s="86">
        <f>VLOOKUP($A9,'Data shares'!$C:$FA,90)</f>
        <v>15558900</v>
      </c>
      <c r="I9" s="86">
        <f>VLOOKUP($A9,'Data shares'!$C:$FA,92)</f>
        <v>-77500</v>
      </c>
      <c r="J9" s="87">
        <f>VLOOKUP($A9,'Data shares'!$C:$FA,93)</f>
        <v>-5.0000000000000001E-3</v>
      </c>
      <c r="K9" s="86">
        <f>VLOOKUP($A9,'Data shares'!$C:$FA,94)</f>
        <v>9768100</v>
      </c>
      <c r="L9" s="86">
        <f>VLOOKUP($A9,'Data shares'!$C:$FA,96)</f>
        <v>-573500</v>
      </c>
      <c r="M9" s="87">
        <f>VLOOKUP($A9,'Data shares'!$C:$FA,97)</f>
        <v>-5.5500000000000001E-2</v>
      </c>
      <c r="N9" s="86">
        <f>VLOOKUP($A9,'Data shares'!$C:$FA,78)</f>
        <v>46388400</v>
      </c>
      <c r="O9" s="87">
        <f>VLOOKUP($A9,'Data shares'!$C:$FA,81)</f>
        <v>-1.17E-2</v>
      </c>
    </row>
    <row r="10" spans="1:15" x14ac:dyDescent="0.25">
      <c r="A10" s="100" t="str">
        <f>'Data Vlaue (Cr)'!C5</f>
        <v>ADANIENSOL</v>
      </c>
      <c r="B10" s="82">
        <f>VLOOKUP(A10,'Data shares'!$C$2:$CV$213,98,0)</f>
        <v>26694225</v>
      </c>
      <c r="C10" s="82">
        <f>VLOOKUP(A10,'Data shares'!$C$2:$CX$213,100,0)</f>
        <v>-843750</v>
      </c>
      <c r="D10" s="141">
        <f>VLOOKUP(A10,'Data shares'!$C$2:$CY$536,101,0)</f>
        <v>-3.0599999999999999E-2</v>
      </c>
      <c r="E10" s="86">
        <f>VLOOKUP($A10,'Data shares'!$C:$FA,74)</f>
        <v>21233475</v>
      </c>
      <c r="F10" s="86">
        <f>VLOOKUP($A10,'Data shares'!$C:$FA,76)</f>
        <v>-178200</v>
      </c>
      <c r="G10" s="87">
        <f>VLOOKUP(A10,'Data shares'!$C$2:$CA$213,77,0)</f>
        <v>-8.3000000000000001E-3</v>
      </c>
      <c r="H10" s="86">
        <f>VLOOKUP($A10,'Data shares'!$C:$FA,90)</f>
        <v>3330450</v>
      </c>
      <c r="I10" s="86">
        <f>VLOOKUP($A10,'Data shares'!$C:$FA,92)</f>
        <v>-602775</v>
      </c>
      <c r="J10" s="87">
        <f>VLOOKUP($A10,'Data shares'!$C:$FA,93)</f>
        <v>-0.15329999999999999</v>
      </c>
      <c r="K10" s="86">
        <f>VLOOKUP($A10,'Data shares'!$C:$FA,94)</f>
        <v>2130300</v>
      </c>
      <c r="L10" s="86">
        <f>VLOOKUP($A10,'Data shares'!$C:$FA,96)</f>
        <v>-62775</v>
      </c>
      <c r="M10" s="87">
        <f>VLOOKUP($A10,'Data shares'!$C:$FA,97)</f>
        <v>-2.86E-2</v>
      </c>
      <c r="N10" s="86">
        <f>VLOOKUP($A10,'Data shares'!$C:$FA,78)</f>
        <v>18610425</v>
      </c>
      <c r="O10" s="87">
        <f>VLOOKUP($A10,'Data shares'!$C:$FA,81)</f>
        <v>-9.4000000000000004E-3</v>
      </c>
    </row>
    <row r="11" spans="1:15" x14ac:dyDescent="0.25">
      <c r="A11" s="100" t="str">
        <f>'Data Vlaue (Cr)'!C6</f>
        <v>ADANIENT</v>
      </c>
      <c r="B11" s="82">
        <f>VLOOKUP(A11,'Data shares'!$C$2:$CV$213,98,0)</f>
        <v>31332291</v>
      </c>
      <c r="C11" s="82">
        <f>VLOOKUP(A11,'Data shares'!$C$2:$CX$213,100,0)</f>
        <v>61800</v>
      </c>
      <c r="D11" s="141">
        <f>VLOOKUP(A11,'Data shares'!$C$2:$CY$536,101,0)</f>
        <v>2E-3</v>
      </c>
      <c r="E11" s="86">
        <f>VLOOKUP($A11,'Data shares'!$C:$FA,74)</f>
        <v>18852399</v>
      </c>
      <c r="F11" s="86">
        <f>VLOOKUP($A11,'Data shares'!$C:$FA,76)</f>
        <v>-202704</v>
      </c>
      <c r="G11" s="87">
        <f>VLOOKUP(A11,'Data shares'!$C$2:$CA$213,77,0)</f>
        <v>-1.06E-2</v>
      </c>
      <c r="H11" s="86">
        <f>VLOOKUP($A11,'Data shares'!$C:$FA,90)</f>
        <v>6825501</v>
      </c>
      <c r="I11" s="86">
        <f>VLOOKUP($A11,'Data shares'!$C:$FA,92)</f>
        <v>216609</v>
      </c>
      <c r="J11" s="87">
        <f>VLOOKUP($A11,'Data shares'!$C:$FA,93)</f>
        <v>3.2800000000000003E-2</v>
      </c>
      <c r="K11" s="86">
        <f>VLOOKUP($A11,'Data shares'!$C:$FA,94)</f>
        <v>5654391</v>
      </c>
      <c r="L11" s="86">
        <f>VLOOKUP($A11,'Data shares'!$C:$FA,96)</f>
        <v>47895</v>
      </c>
      <c r="M11" s="87">
        <f>VLOOKUP($A11,'Data shares'!$C:$FA,97)</f>
        <v>8.5000000000000006E-3</v>
      </c>
      <c r="N11" s="86">
        <f>VLOOKUP($A11,'Data shares'!$C:$FA,78)</f>
        <v>15574527</v>
      </c>
      <c r="O11" s="87">
        <f>VLOOKUP($A11,'Data shares'!$C:$FA,81)</f>
        <v>-3.5499999999999997E-2</v>
      </c>
    </row>
    <row r="12" spans="1:15" x14ac:dyDescent="0.25">
      <c r="A12" s="100" t="str">
        <f>'Data Vlaue (Cr)'!C7</f>
        <v>ADANIGREEN</v>
      </c>
      <c r="B12" s="82">
        <f>VLOOKUP(A12,'Data shares'!$C$2:$CV$213,98,0)</f>
        <v>38628600</v>
      </c>
      <c r="C12" s="82">
        <f>VLOOKUP(A12,'Data shares'!$C$2:$CX$213,100,0)</f>
        <v>1783200</v>
      </c>
      <c r="D12" s="141">
        <f>VLOOKUP(A12,'Data shares'!$C$2:$CY$536,101,0)</f>
        <v>4.8399999999999999E-2</v>
      </c>
      <c r="E12" s="86">
        <f>VLOOKUP($A12,'Data shares'!$C:$FA,74)</f>
        <v>23585400</v>
      </c>
      <c r="F12" s="86">
        <f>VLOOKUP($A12,'Data shares'!$C:$FA,76)</f>
        <v>754800</v>
      </c>
      <c r="G12" s="87">
        <f>VLOOKUP(A12,'Data shares'!$C$2:$CA$213,77,0)</f>
        <v>3.3099999999999997E-2</v>
      </c>
      <c r="H12" s="86">
        <f>VLOOKUP($A12,'Data shares'!$C:$FA,90)</f>
        <v>9691200</v>
      </c>
      <c r="I12" s="86">
        <f>VLOOKUP($A12,'Data shares'!$C:$FA,92)</f>
        <v>816600</v>
      </c>
      <c r="J12" s="87">
        <f>VLOOKUP($A12,'Data shares'!$C:$FA,93)</f>
        <v>9.1999999999999998E-2</v>
      </c>
      <c r="K12" s="86">
        <f>VLOOKUP($A12,'Data shares'!$C:$FA,94)</f>
        <v>5352000</v>
      </c>
      <c r="L12" s="86">
        <f>VLOOKUP($A12,'Data shares'!$C:$FA,96)</f>
        <v>211800</v>
      </c>
      <c r="M12" s="87">
        <f>VLOOKUP($A12,'Data shares'!$C:$FA,97)</f>
        <v>4.1200000000000001E-2</v>
      </c>
      <c r="N12" s="86">
        <f>VLOOKUP($A12,'Data shares'!$C:$FA,78)</f>
        <v>19513200</v>
      </c>
      <c r="O12" s="87">
        <f>VLOOKUP($A12,'Data shares'!$C:$FA,81)</f>
        <v>2.7799999999999998E-2</v>
      </c>
    </row>
    <row r="13" spans="1:15" x14ac:dyDescent="0.25">
      <c r="A13" s="100" t="str">
        <f>'Data Vlaue (Cr)'!C8</f>
        <v>ADANIPORTS</v>
      </c>
      <c r="B13" s="82">
        <f>VLOOKUP(A13,'Data shares'!$C$2:$CV$213,98,0)</f>
        <v>37839450</v>
      </c>
      <c r="C13" s="82">
        <f>VLOOKUP(A13,'Data shares'!$C$2:$CX$213,100,0)</f>
        <v>308275</v>
      </c>
      <c r="D13" s="141">
        <f>VLOOKUP(A13,'Data shares'!$C$2:$CY$536,101,0)</f>
        <v>8.2000000000000007E-3</v>
      </c>
      <c r="E13" s="86">
        <f>VLOOKUP($A13,'Data shares'!$C:$FA,74)</f>
        <v>21980150</v>
      </c>
      <c r="F13" s="86">
        <f>VLOOKUP($A13,'Data shares'!$C:$FA,76)</f>
        <v>211850</v>
      </c>
      <c r="G13" s="87">
        <f>VLOOKUP(A13,'Data shares'!$C$2:$CA$213,77,0)</f>
        <v>9.7000000000000003E-3</v>
      </c>
      <c r="H13" s="86">
        <f>VLOOKUP($A13,'Data shares'!$C:$FA,90)</f>
        <v>8851150</v>
      </c>
      <c r="I13" s="86">
        <f>VLOOKUP($A13,'Data shares'!$C:$FA,92)</f>
        <v>336775</v>
      </c>
      <c r="J13" s="87">
        <f>VLOOKUP($A13,'Data shares'!$C:$FA,93)</f>
        <v>3.9600000000000003E-2</v>
      </c>
      <c r="K13" s="86">
        <f>VLOOKUP($A13,'Data shares'!$C:$FA,94)</f>
        <v>7008150</v>
      </c>
      <c r="L13" s="86">
        <f>VLOOKUP($A13,'Data shares'!$C:$FA,96)</f>
        <v>-240350</v>
      </c>
      <c r="M13" s="87">
        <f>VLOOKUP($A13,'Data shares'!$C:$FA,97)</f>
        <v>-3.32E-2</v>
      </c>
      <c r="N13" s="86">
        <f>VLOOKUP($A13,'Data shares'!$C:$FA,78)</f>
        <v>20989775</v>
      </c>
      <c r="O13" s="87">
        <f>VLOOKUP($A13,'Data shares'!$C:$FA,81)</f>
        <v>8.9999999999999993E-3</v>
      </c>
    </row>
    <row r="14" spans="1:15" x14ac:dyDescent="0.25">
      <c r="A14" s="100" t="str">
        <f>'Data Vlaue (Cr)'!C9</f>
        <v>ALKEM</v>
      </c>
      <c r="B14" s="82">
        <f>VLOOKUP(A14,'Data shares'!$C$2:$CV$213,98,0)</f>
        <v>1664500</v>
      </c>
      <c r="C14" s="82">
        <f>VLOOKUP(A14,'Data shares'!$C$2:$CX$213,100,0)</f>
        <v>36125</v>
      </c>
      <c r="D14" s="141">
        <f>VLOOKUP(A14,'Data shares'!$C$2:$CY$536,101,0)</f>
        <v>2.2200000000000001E-2</v>
      </c>
      <c r="E14" s="86">
        <f>VLOOKUP($A14,'Data shares'!$C:$FA,74)</f>
        <v>1264625</v>
      </c>
      <c r="F14" s="86">
        <f>VLOOKUP($A14,'Data shares'!$C:$FA,76)</f>
        <v>17000</v>
      </c>
      <c r="G14" s="87">
        <f>VLOOKUP(A14,'Data shares'!$C$2:$CA$213,77,0)</f>
        <v>1.3599999999999999E-2</v>
      </c>
      <c r="H14" s="86">
        <f>VLOOKUP($A14,'Data shares'!$C:$FA,90)</f>
        <v>235625</v>
      </c>
      <c r="I14" s="86">
        <f>VLOOKUP($A14,'Data shares'!$C:$FA,92)</f>
        <v>3000</v>
      </c>
      <c r="J14" s="87">
        <f>VLOOKUP($A14,'Data shares'!$C:$FA,93)</f>
        <v>1.29E-2</v>
      </c>
      <c r="K14" s="86">
        <f>VLOOKUP($A14,'Data shares'!$C:$FA,94)</f>
        <v>164250</v>
      </c>
      <c r="L14" s="86">
        <f>VLOOKUP($A14,'Data shares'!$C:$FA,96)</f>
        <v>16125</v>
      </c>
      <c r="M14" s="87">
        <f>VLOOKUP($A14,'Data shares'!$C:$FA,97)</f>
        <v>0.1089</v>
      </c>
      <c r="N14" s="86">
        <f>VLOOKUP($A14,'Data shares'!$C:$FA,78)</f>
        <v>1256250</v>
      </c>
      <c r="O14" s="87">
        <f>VLOOKUP($A14,'Data shares'!$C:$FA,81)</f>
        <v>1.2699999999999999E-2</v>
      </c>
    </row>
    <row r="15" spans="1:15" x14ac:dyDescent="0.25">
      <c r="A15" s="100" t="str">
        <f>'Data Vlaue (Cr)'!C10</f>
        <v>AMBER</v>
      </c>
      <c r="B15" s="82">
        <f>VLOOKUP(A15,'Data shares'!$C$2:$CV$213,98,0)</f>
        <v>3032000</v>
      </c>
      <c r="C15" s="82">
        <f>VLOOKUP(A15,'Data shares'!$C$2:$CX$213,100,0)</f>
        <v>356000</v>
      </c>
      <c r="D15" s="141">
        <f>VLOOKUP(A15,'Data shares'!$C$2:$CY$536,101,0)</f>
        <v>0.13300000000000001</v>
      </c>
      <c r="E15" s="86">
        <f>VLOOKUP($A15,'Data shares'!$C:$FA,74)</f>
        <v>1236900</v>
      </c>
      <c r="F15" s="86">
        <f>VLOOKUP($A15,'Data shares'!$C:$FA,76)</f>
        <v>126300</v>
      </c>
      <c r="G15" s="87">
        <f>VLOOKUP(A15,'Data shares'!$C$2:$CA$213,77,0)</f>
        <v>0.1137</v>
      </c>
      <c r="H15" s="86">
        <f>VLOOKUP($A15,'Data shares'!$C:$FA,90)</f>
        <v>1173300</v>
      </c>
      <c r="I15" s="86">
        <f>VLOOKUP($A15,'Data shares'!$C:$FA,92)</f>
        <v>183700</v>
      </c>
      <c r="J15" s="87">
        <f>VLOOKUP($A15,'Data shares'!$C:$FA,93)</f>
        <v>0.18559999999999999</v>
      </c>
      <c r="K15" s="86">
        <f>VLOOKUP($A15,'Data shares'!$C:$FA,94)</f>
        <v>621800</v>
      </c>
      <c r="L15" s="86">
        <f>VLOOKUP($A15,'Data shares'!$C:$FA,96)</f>
        <v>46000</v>
      </c>
      <c r="M15" s="87">
        <f>VLOOKUP($A15,'Data shares'!$C:$FA,97)</f>
        <v>7.9899999999999999E-2</v>
      </c>
      <c r="N15" s="86">
        <f>VLOOKUP($A15,'Data shares'!$C:$FA,78)</f>
        <v>1172700</v>
      </c>
      <c r="O15" s="87">
        <f>VLOOKUP($A15,'Data shares'!$C:$FA,81)</f>
        <v>0.1114</v>
      </c>
    </row>
    <row r="16" spans="1:15" x14ac:dyDescent="0.25">
      <c r="A16" s="100" t="str">
        <f>'Data Vlaue (Cr)'!C11</f>
        <v>AMBUJACEM</v>
      </c>
      <c r="B16" s="82">
        <f>VLOOKUP(A16,'Data shares'!$C$2:$CV$213,98,0)</f>
        <v>83478150</v>
      </c>
      <c r="C16" s="82">
        <f>VLOOKUP(A16,'Data shares'!$C$2:$CX$213,100,0)</f>
        <v>2493750</v>
      </c>
      <c r="D16" s="141">
        <f>VLOOKUP(A16,'Data shares'!$C$2:$CY$536,101,0)</f>
        <v>3.0800000000000001E-2</v>
      </c>
      <c r="E16" s="86">
        <f>VLOOKUP($A16,'Data shares'!$C:$FA,74)</f>
        <v>55966050</v>
      </c>
      <c r="F16" s="86">
        <f>VLOOKUP($A16,'Data shares'!$C:$FA,76)</f>
        <v>1429050</v>
      </c>
      <c r="G16" s="87">
        <f>VLOOKUP(A16,'Data shares'!$C$2:$CA$213,77,0)</f>
        <v>2.6200000000000001E-2</v>
      </c>
      <c r="H16" s="86">
        <f>VLOOKUP($A16,'Data shares'!$C:$FA,90)</f>
        <v>16584750</v>
      </c>
      <c r="I16" s="86">
        <f>VLOOKUP($A16,'Data shares'!$C:$FA,92)</f>
        <v>859950</v>
      </c>
      <c r="J16" s="87">
        <f>VLOOKUP($A16,'Data shares'!$C:$FA,93)</f>
        <v>5.4699999999999999E-2</v>
      </c>
      <c r="K16" s="86">
        <f>VLOOKUP($A16,'Data shares'!$C:$FA,94)</f>
        <v>10927350</v>
      </c>
      <c r="L16" s="86">
        <f>VLOOKUP($A16,'Data shares'!$C:$FA,96)</f>
        <v>204750</v>
      </c>
      <c r="M16" s="87">
        <f>VLOOKUP($A16,'Data shares'!$C:$FA,97)</f>
        <v>1.9099999999999999E-2</v>
      </c>
      <c r="N16" s="86">
        <f>VLOOKUP($A16,'Data shares'!$C:$FA,78)</f>
        <v>49520100</v>
      </c>
      <c r="O16" s="87">
        <f>VLOOKUP($A16,'Data shares'!$C:$FA,81)</f>
        <v>1.18E-2</v>
      </c>
    </row>
    <row r="17" spans="1:15" x14ac:dyDescent="0.25">
      <c r="A17" s="100" t="str">
        <f>'Data Vlaue (Cr)'!C12</f>
        <v>ANGELONE</v>
      </c>
      <c r="B17" s="82">
        <f>VLOOKUP(A17,'Data shares'!$C$2:$CV$213,98,0)</f>
        <v>80820000</v>
      </c>
      <c r="C17" s="82">
        <f>VLOOKUP(A17,'Data shares'!$C$2:$CX$213,100,0)</f>
        <v>1440000</v>
      </c>
      <c r="D17" s="141">
        <f>VLOOKUP(A17,'Data shares'!$C$2:$CY$536,101,0)</f>
        <v>1.8100000000000002E-2</v>
      </c>
      <c r="E17" s="86">
        <f>VLOOKUP($A17,'Data shares'!$C:$FA,74)</f>
        <v>39930000</v>
      </c>
      <c r="F17" s="86">
        <f>VLOOKUP($A17,'Data shares'!$C:$FA,76)</f>
        <v>762500</v>
      </c>
      <c r="G17" s="87">
        <f>VLOOKUP(A17,'Data shares'!$C$2:$CA$213,77,0)</f>
        <v>1.95E-2</v>
      </c>
      <c r="H17" s="86">
        <f>VLOOKUP($A17,'Data shares'!$C:$FA,90)</f>
        <v>26565000</v>
      </c>
      <c r="I17" s="86">
        <f>VLOOKUP($A17,'Data shares'!$C:$FA,92)</f>
        <v>1225000</v>
      </c>
      <c r="J17" s="87">
        <f>VLOOKUP($A17,'Data shares'!$C:$FA,93)</f>
        <v>4.8300000000000003E-2</v>
      </c>
      <c r="K17" s="86">
        <f>VLOOKUP($A17,'Data shares'!$C:$FA,94)</f>
        <v>14325000</v>
      </c>
      <c r="L17" s="86">
        <f>VLOOKUP($A17,'Data shares'!$C:$FA,96)</f>
        <v>-547500</v>
      </c>
      <c r="M17" s="87">
        <f>VLOOKUP($A17,'Data shares'!$C:$FA,97)</f>
        <v>-3.6799999999999999E-2</v>
      </c>
      <c r="N17" s="86">
        <f>VLOOKUP($A17,'Data shares'!$C:$FA,78)</f>
        <v>32077500</v>
      </c>
      <c r="O17" s="87">
        <f>VLOOKUP($A17,'Data shares'!$C:$FA,81)</f>
        <v>2.24E-2</v>
      </c>
    </row>
    <row r="18" spans="1:15" x14ac:dyDescent="0.25">
      <c r="A18" s="100" t="str">
        <f>'Data Vlaue (Cr)'!C13</f>
        <v>APLAPOLLO</v>
      </c>
      <c r="B18" s="82">
        <f>VLOOKUP(A18,'Data shares'!$C$2:$CV$213,98,0)</f>
        <v>7960050</v>
      </c>
      <c r="C18" s="82">
        <f>VLOOKUP(A18,'Data shares'!$C$2:$CX$213,100,0)</f>
        <v>102900</v>
      </c>
      <c r="D18" s="141">
        <f>VLOOKUP(A18,'Data shares'!$C$2:$CY$536,101,0)</f>
        <v>1.3100000000000001E-2</v>
      </c>
      <c r="E18" s="86">
        <f>VLOOKUP($A18,'Data shares'!$C:$FA,74)</f>
        <v>4862900</v>
      </c>
      <c r="F18" s="86">
        <f>VLOOKUP($A18,'Data shares'!$C:$FA,76)</f>
        <v>74900</v>
      </c>
      <c r="G18" s="87">
        <f>VLOOKUP(A18,'Data shares'!$C$2:$CA$213,77,0)</f>
        <v>1.5599999999999999E-2</v>
      </c>
      <c r="H18" s="86">
        <f>VLOOKUP($A18,'Data shares'!$C:$FA,90)</f>
        <v>1779750</v>
      </c>
      <c r="I18" s="86">
        <f>VLOOKUP($A18,'Data shares'!$C:$FA,92)</f>
        <v>85050</v>
      </c>
      <c r="J18" s="87">
        <f>VLOOKUP($A18,'Data shares'!$C:$FA,93)</f>
        <v>5.0200000000000002E-2</v>
      </c>
      <c r="K18" s="86">
        <f>VLOOKUP($A18,'Data shares'!$C:$FA,94)</f>
        <v>1317400</v>
      </c>
      <c r="L18" s="86">
        <f>VLOOKUP($A18,'Data shares'!$C:$FA,96)</f>
        <v>-57050</v>
      </c>
      <c r="M18" s="87">
        <f>VLOOKUP($A18,'Data shares'!$C:$FA,97)</f>
        <v>-4.1500000000000002E-2</v>
      </c>
      <c r="N18" s="86">
        <f>VLOOKUP($A18,'Data shares'!$C:$FA,78)</f>
        <v>4790800</v>
      </c>
      <c r="O18" s="87">
        <f>VLOOKUP($A18,'Data shares'!$C:$FA,81)</f>
        <v>1.3599999999999999E-2</v>
      </c>
    </row>
    <row r="19" spans="1:15" x14ac:dyDescent="0.25">
      <c r="A19" s="100" t="str">
        <f>'Data Vlaue (Cr)'!C14</f>
        <v>APOLLOHOSP</v>
      </c>
      <c r="B19" s="82">
        <f>VLOOKUP(A19,'Data shares'!$C$2:$CV$213,98,0)</f>
        <v>4295250</v>
      </c>
      <c r="C19" s="82">
        <f>VLOOKUP(A19,'Data shares'!$C$2:$CX$213,100,0)</f>
        <v>-57625</v>
      </c>
      <c r="D19" s="141">
        <f>VLOOKUP(A19,'Data shares'!$C$2:$CY$536,101,0)</f>
        <v>-1.32E-2</v>
      </c>
      <c r="E19" s="86">
        <f>VLOOKUP($A19,'Data shares'!$C:$FA,74)</f>
        <v>2459000</v>
      </c>
      <c r="F19" s="86">
        <f>VLOOKUP($A19,'Data shares'!$C:$FA,76)</f>
        <v>-55125</v>
      </c>
      <c r="G19" s="87">
        <f>VLOOKUP(A19,'Data shares'!$C$2:$CA$213,77,0)</f>
        <v>-2.1899999999999999E-2</v>
      </c>
      <c r="H19" s="86">
        <f>VLOOKUP($A19,'Data shares'!$C:$FA,90)</f>
        <v>1070000</v>
      </c>
      <c r="I19" s="86">
        <f>VLOOKUP($A19,'Data shares'!$C:$FA,92)</f>
        <v>19375</v>
      </c>
      <c r="J19" s="87">
        <f>VLOOKUP($A19,'Data shares'!$C:$FA,93)</f>
        <v>1.84E-2</v>
      </c>
      <c r="K19" s="86">
        <f>VLOOKUP($A19,'Data shares'!$C:$FA,94)</f>
        <v>766250</v>
      </c>
      <c r="L19" s="86">
        <f>VLOOKUP($A19,'Data shares'!$C:$FA,96)</f>
        <v>-21875</v>
      </c>
      <c r="M19" s="87">
        <f>VLOOKUP($A19,'Data shares'!$C:$FA,97)</f>
        <v>-2.7799999999999998E-2</v>
      </c>
      <c r="N19" s="86">
        <f>VLOOKUP($A19,'Data shares'!$C:$FA,78)</f>
        <v>2405500</v>
      </c>
      <c r="O19" s="87">
        <f>VLOOKUP($A19,'Data shares'!$C:$FA,81)</f>
        <v>-2.7400000000000001E-2</v>
      </c>
    </row>
    <row r="20" spans="1:15" x14ac:dyDescent="0.25">
      <c r="A20" s="100" t="str">
        <f>'Data Vlaue (Cr)'!C15</f>
        <v>ASHOKLEY</v>
      </c>
      <c r="B20" s="82">
        <f>VLOOKUP(A20,'Data shares'!$C$2:$CV$213,98,0)</f>
        <v>281075000</v>
      </c>
      <c r="C20" s="82">
        <f>VLOOKUP(A20,'Data shares'!$C$2:$CX$213,100,0)</f>
        <v>13875000</v>
      </c>
      <c r="D20" s="141">
        <f>VLOOKUP(A20,'Data shares'!$C$2:$CY$536,101,0)</f>
        <v>5.1900000000000002E-2</v>
      </c>
      <c r="E20" s="86">
        <f>VLOOKUP($A20,'Data shares'!$C:$FA,74)</f>
        <v>160160000</v>
      </c>
      <c r="F20" s="86">
        <f>VLOOKUP($A20,'Data shares'!$C:$FA,76)</f>
        <v>2260000</v>
      </c>
      <c r="G20" s="87">
        <f>VLOOKUP(A20,'Data shares'!$C$2:$CA$213,77,0)</f>
        <v>1.43E-2</v>
      </c>
      <c r="H20" s="86">
        <f>VLOOKUP($A20,'Data shares'!$C:$FA,90)</f>
        <v>78610000</v>
      </c>
      <c r="I20" s="86">
        <f>VLOOKUP($A20,'Data shares'!$C:$FA,92)</f>
        <v>5605000</v>
      </c>
      <c r="J20" s="87">
        <f>VLOOKUP($A20,'Data shares'!$C:$FA,93)</f>
        <v>7.6799999999999993E-2</v>
      </c>
      <c r="K20" s="86">
        <f>VLOOKUP($A20,'Data shares'!$C:$FA,94)</f>
        <v>42305000</v>
      </c>
      <c r="L20" s="86">
        <f>VLOOKUP($A20,'Data shares'!$C:$FA,96)</f>
        <v>6010000</v>
      </c>
      <c r="M20" s="87">
        <f>VLOOKUP($A20,'Data shares'!$C:$FA,97)</f>
        <v>0.1656</v>
      </c>
      <c r="N20" s="86">
        <f>VLOOKUP($A20,'Data shares'!$C:$FA,78)</f>
        <v>148200000</v>
      </c>
      <c r="O20" s="87">
        <f>VLOOKUP($A20,'Data shares'!$C:$FA,81)</f>
        <v>2.5999999999999999E-3</v>
      </c>
    </row>
    <row r="21" spans="1:15" x14ac:dyDescent="0.25">
      <c r="A21" s="100" t="str">
        <f>'Data Vlaue (Cr)'!C16</f>
        <v>ASIANPAINT</v>
      </c>
      <c r="B21" s="82">
        <f>VLOOKUP(A21,'Data shares'!$C$2:$CV$213,98,0)</f>
        <v>23344250</v>
      </c>
      <c r="C21" s="82">
        <f>VLOOKUP(A21,'Data shares'!$C$2:$CX$213,100,0)</f>
        <v>428250</v>
      </c>
      <c r="D21" s="141">
        <f>VLOOKUP(A21,'Data shares'!$C$2:$CY$536,101,0)</f>
        <v>1.8700000000000001E-2</v>
      </c>
      <c r="E21" s="86">
        <f>VLOOKUP($A21,'Data shares'!$C:$FA,74)</f>
        <v>13705500</v>
      </c>
      <c r="F21" s="86">
        <f>VLOOKUP($A21,'Data shares'!$C:$FA,76)</f>
        <v>-73750</v>
      </c>
      <c r="G21" s="87">
        <f>VLOOKUP(A21,'Data shares'!$C$2:$CA$213,77,0)</f>
        <v>-5.4000000000000003E-3</v>
      </c>
      <c r="H21" s="86">
        <f>VLOOKUP($A21,'Data shares'!$C:$FA,90)</f>
        <v>4964500</v>
      </c>
      <c r="I21" s="86">
        <f>VLOOKUP($A21,'Data shares'!$C:$FA,92)</f>
        <v>354750</v>
      </c>
      <c r="J21" s="87">
        <f>VLOOKUP($A21,'Data shares'!$C:$FA,93)</f>
        <v>7.6999999999999999E-2</v>
      </c>
      <c r="K21" s="86">
        <f>VLOOKUP($A21,'Data shares'!$C:$FA,94)</f>
        <v>4674250</v>
      </c>
      <c r="L21" s="86">
        <f>VLOOKUP($A21,'Data shares'!$C:$FA,96)</f>
        <v>147250</v>
      </c>
      <c r="M21" s="87">
        <f>VLOOKUP($A21,'Data shares'!$C:$FA,97)</f>
        <v>3.2500000000000001E-2</v>
      </c>
      <c r="N21" s="86">
        <f>VLOOKUP($A21,'Data shares'!$C:$FA,78)</f>
        <v>13344500</v>
      </c>
      <c r="O21" s="87">
        <f>VLOOKUP($A21,'Data shares'!$C:$FA,81)</f>
        <v>-7.1000000000000004E-3</v>
      </c>
    </row>
    <row r="22" spans="1:15" x14ac:dyDescent="0.25">
      <c r="A22" s="100" t="str">
        <f>'Data Vlaue (Cr)'!C17</f>
        <v>ASTRAL</v>
      </c>
      <c r="B22" s="82">
        <f>VLOOKUP(A22,'Data shares'!$C$2:$CV$213,98,0)</f>
        <v>16263050</v>
      </c>
      <c r="C22" s="82">
        <f>VLOOKUP(A22,'Data shares'!$C$2:$CX$213,100,0)</f>
        <v>-544000</v>
      </c>
      <c r="D22" s="141">
        <f>VLOOKUP(A22,'Data shares'!$C$2:$CY$536,101,0)</f>
        <v>-3.2399999999999998E-2</v>
      </c>
      <c r="E22" s="86">
        <f>VLOOKUP($A22,'Data shares'!$C:$FA,74)</f>
        <v>11535350</v>
      </c>
      <c r="F22" s="86">
        <f>VLOOKUP($A22,'Data shares'!$C:$FA,76)</f>
        <v>311100</v>
      </c>
      <c r="G22" s="87">
        <f>VLOOKUP(A22,'Data shares'!$C$2:$CA$213,77,0)</f>
        <v>2.7699999999999999E-2</v>
      </c>
      <c r="H22" s="86">
        <f>VLOOKUP($A22,'Data shares'!$C:$FA,90)</f>
        <v>3007300</v>
      </c>
      <c r="I22" s="86">
        <f>VLOOKUP($A22,'Data shares'!$C:$FA,92)</f>
        <v>-742050</v>
      </c>
      <c r="J22" s="87">
        <f>VLOOKUP($A22,'Data shares'!$C:$FA,93)</f>
        <v>-0.19789999999999999</v>
      </c>
      <c r="K22" s="86">
        <f>VLOOKUP($A22,'Data shares'!$C:$FA,94)</f>
        <v>1720400</v>
      </c>
      <c r="L22" s="86">
        <f>VLOOKUP($A22,'Data shares'!$C:$FA,96)</f>
        <v>-113050</v>
      </c>
      <c r="M22" s="87">
        <f>VLOOKUP($A22,'Data shares'!$C:$FA,97)</f>
        <v>-6.1699999999999998E-2</v>
      </c>
      <c r="N22" s="86">
        <f>VLOOKUP($A22,'Data shares'!$C:$FA,78)</f>
        <v>10247600</v>
      </c>
      <c r="O22" s="87">
        <f>VLOOKUP($A22,'Data shares'!$C:$FA,81)</f>
        <v>1.78E-2</v>
      </c>
    </row>
    <row r="23" spans="1:15" x14ac:dyDescent="0.25">
      <c r="A23" s="100" t="str">
        <f>'Data Vlaue (Cr)'!C18</f>
        <v>AUBANK</v>
      </c>
      <c r="B23" s="82">
        <f>VLOOKUP(A23,'Data shares'!$C$2:$CV$213,98,0)</f>
        <v>40646000</v>
      </c>
      <c r="C23" s="82">
        <f>VLOOKUP(A23,'Data shares'!$C$2:$CX$213,100,0)</f>
        <v>946000</v>
      </c>
      <c r="D23" s="141">
        <f>VLOOKUP(A23,'Data shares'!$C$2:$CY$536,101,0)</f>
        <v>2.3800000000000002E-2</v>
      </c>
      <c r="E23" s="86">
        <f>VLOOKUP($A23,'Data shares'!$C:$FA,74)</f>
        <v>25278000</v>
      </c>
      <c r="F23" s="86">
        <f>VLOOKUP($A23,'Data shares'!$C:$FA,76)</f>
        <v>588000</v>
      </c>
      <c r="G23" s="87">
        <f>VLOOKUP(A23,'Data shares'!$C$2:$CA$213,77,0)</f>
        <v>2.3800000000000002E-2</v>
      </c>
      <c r="H23" s="86">
        <f>VLOOKUP($A23,'Data shares'!$C:$FA,90)</f>
        <v>9541000</v>
      </c>
      <c r="I23" s="86">
        <f>VLOOKUP($A23,'Data shares'!$C:$FA,92)</f>
        <v>454000</v>
      </c>
      <c r="J23" s="87">
        <f>VLOOKUP($A23,'Data shares'!$C:$FA,93)</f>
        <v>0.05</v>
      </c>
      <c r="K23" s="86">
        <f>VLOOKUP($A23,'Data shares'!$C:$FA,94)</f>
        <v>5827000</v>
      </c>
      <c r="L23" s="86">
        <f>VLOOKUP($A23,'Data shares'!$C:$FA,96)</f>
        <v>-96000</v>
      </c>
      <c r="M23" s="87">
        <f>VLOOKUP($A23,'Data shares'!$C:$FA,97)</f>
        <v>-1.6199999999999999E-2</v>
      </c>
      <c r="N23" s="86">
        <f>VLOOKUP($A23,'Data shares'!$C:$FA,78)</f>
        <v>24224000</v>
      </c>
      <c r="O23" s="87">
        <f>VLOOKUP($A23,'Data shares'!$C:$FA,81)</f>
        <v>2.01E-2</v>
      </c>
    </row>
    <row r="24" spans="1:15" x14ac:dyDescent="0.25">
      <c r="A24" s="100" t="str">
        <f>'Data Vlaue (Cr)'!C19</f>
        <v>AUROPHARMA</v>
      </c>
      <c r="B24" s="82">
        <f>VLOOKUP(A24,'Data shares'!$C$2:$CV$213,98,0)</f>
        <v>33289300</v>
      </c>
      <c r="C24" s="82">
        <f>VLOOKUP(A24,'Data shares'!$C$2:$CX$213,100,0)</f>
        <v>791450</v>
      </c>
      <c r="D24" s="141">
        <f>VLOOKUP(A24,'Data shares'!$C$2:$CY$536,101,0)</f>
        <v>2.4400000000000002E-2</v>
      </c>
      <c r="E24" s="86">
        <f>VLOOKUP($A24,'Data shares'!$C:$FA,74)</f>
        <v>22119350</v>
      </c>
      <c r="F24" s="86">
        <f>VLOOKUP($A24,'Data shares'!$C:$FA,76)</f>
        <v>-498300</v>
      </c>
      <c r="G24" s="87">
        <f>VLOOKUP(A24,'Data shares'!$C$2:$CA$213,77,0)</f>
        <v>-2.1999999999999999E-2</v>
      </c>
      <c r="H24" s="86">
        <f>VLOOKUP($A24,'Data shares'!$C:$FA,90)</f>
        <v>5800850</v>
      </c>
      <c r="I24" s="86">
        <f>VLOOKUP($A24,'Data shares'!$C:$FA,92)</f>
        <v>475200</v>
      </c>
      <c r="J24" s="87">
        <f>VLOOKUP($A24,'Data shares'!$C:$FA,93)</f>
        <v>8.9200000000000002E-2</v>
      </c>
      <c r="K24" s="86">
        <f>VLOOKUP($A24,'Data shares'!$C:$FA,94)</f>
        <v>5369100</v>
      </c>
      <c r="L24" s="86">
        <f>VLOOKUP($A24,'Data shares'!$C:$FA,96)</f>
        <v>814550</v>
      </c>
      <c r="M24" s="87">
        <f>VLOOKUP($A24,'Data shares'!$C:$FA,97)</f>
        <v>0.17879999999999999</v>
      </c>
      <c r="N24" s="86">
        <f>VLOOKUP($A24,'Data shares'!$C:$FA,78)</f>
        <v>21852600</v>
      </c>
      <c r="O24" s="87">
        <f>VLOOKUP($A24,'Data shares'!$C:$FA,81)</f>
        <v>-2.1700000000000001E-2</v>
      </c>
    </row>
    <row r="25" spans="1:15" x14ac:dyDescent="0.25">
      <c r="A25" s="100" t="str">
        <f>'Data Vlaue (Cr)'!C20</f>
        <v>AXISBANK</v>
      </c>
      <c r="B25" s="82">
        <f>VLOOKUP(A25,'Data shares'!$C$2:$CV$213,98,0)</f>
        <v>102102500</v>
      </c>
      <c r="C25" s="82">
        <f>VLOOKUP(A25,'Data shares'!$C$2:$CX$213,100,0)</f>
        <v>3601250</v>
      </c>
      <c r="D25" s="141">
        <f>VLOOKUP(A25,'Data shares'!$C$2:$CY$536,101,0)</f>
        <v>3.6600000000000001E-2</v>
      </c>
      <c r="E25" s="86">
        <f>VLOOKUP($A25,'Data shares'!$C:$FA,74)</f>
        <v>68205625</v>
      </c>
      <c r="F25" s="86">
        <f>VLOOKUP($A25,'Data shares'!$C:$FA,76)</f>
        <v>1460000</v>
      </c>
      <c r="G25" s="87">
        <f>VLOOKUP(A25,'Data shares'!$C$2:$CA$213,77,0)</f>
        <v>2.1899999999999999E-2</v>
      </c>
      <c r="H25" s="86">
        <f>VLOOKUP($A25,'Data shares'!$C:$FA,90)</f>
        <v>22890000</v>
      </c>
      <c r="I25" s="86">
        <f>VLOOKUP($A25,'Data shares'!$C:$FA,92)</f>
        <v>1696250</v>
      </c>
      <c r="J25" s="87">
        <f>VLOOKUP($A25,'Data shares'!$C:$FA,93)</f>
        <v>0.08</v>
      </c>
      <c r="K25" s="86">
        <f>VLOOKUP($A25,'Data shares'!$C:$FA,94)</f>
        <v>11006875</v>
      </c>
      <c r="L25" s="86">
        <f>VLOOKUP($A25,'Data shares'!$C:$FA,96)</f>
        <v>445000</v>
      </c>
      <c r="M25" s="87">
        <f>VLOOKUP($A25,'Data shares'!$C:$FA,97)</f>
        <v>4.2099999999999999E-2</v>
      </c>
      <c r="N25" s="86">
        <f>VLOOKUP($A25,'Data shares'!$C:$FA,78)</f>
        <v>56565000</v>
      </c>
      <c r="O25" s="87">
        <f>VLOOKUP($A25,'Data shares'!$C:$FA,81)</f>
        <v>1.0699999999999999E-2</v>
      </c>
    </row>
    <row r="26" spans="1:15" x14ac:dyDescent="0.25">
      <c r="A26" s="100" t="str">
        <f>'Data Vlaue (Cr)'!C21</f>
        <v>BAJAJ-AUTO</v>
      </c>
      <c r="B26" s="82">
        <f>VLOOKUP(A26,'Data shares'!$C$2:$CV$213,98,0)</f>
        <v>5993475</v>
      </c>
      <c r="C26" s="82">
        <f>VLOOKUP(A26,'Data shares'!$C$2:$CX$213,100,0)</f>
        <v>237375</v>
      </c>
      <c r="D26" s="141">
        <f>VLOOKUP(A26,'Data shares'!$C$2:$CY$536,101,0)</f>
        <v>4.1200000000000001E-2</v>
      </c>
      <c r="E26" s="86">
        <f>VLOOKUP($A26,'Data shares'!$C:$FA,74)</f>
        <v>3395625</v>
      </c>
      <c r="F26" s="86">
        <f>VLOOKUP($A26,'Data shares'!$C:$FA,76)</f>
        <v>140550</v>
      </c>
      <c r="G26" s="87">
        <f>VLOOKUP(A26,'Data shares'!$C$2:$CA$213,77,0)</f>
        <v>4.3200000000000002E-2</v>
      </c>
      <c r="H26" s="86">
        <f>VLOOKUP($A26,'Data shares'!$C:$FA,90)</f>
        <v>1769700</v>
      </c>
      <c r="I26" s="86">
        <f>VLOOKUP($A26,'Data shares'!$C:$FA,92)</f>
        <v>101250</v>
      </c>
      <c r="J26" s="87">
        <f>VLOOKUP($A26,'Data shares'!$C:$FA,93)</f>
        <v>6.0699999999999997E-2</v>
      </c>
      <c r="K26" s="86">
        <f>VLOOKUP($A26,'Data shares'!$C:$FA,94)</f>
        <v>828150</v>
      </c>
      <c r="L26" s="86">
        <f>VLOOKUP($A26,'Data shares'!$C:$FA,96)</f>
        <v>-4425</v>
      </c>
      <c r="M26" s="87">
        <f>VLOOKUP($A26,'Data shares'!$C:$FA,97)</f>
        <v>-5.3E-3</v>
      </c>
      <c r="N26" s="86">
        <f>VLOOKUP($A26,'Data shares'!$C:$FA,78)</f>
        <v>3246675</v>
      </c>
      <c r="O26" s="87">
        <f>VLOOKUP($A26,'Data shares'!$C:$FA,81)</f>
        <v>1.43E-2</v>
      </c>
    </row>
    <row r="27" spans="1:15" x14ac:dyDescent="0.25">
      <c r="A27" s="100" t="str">
        <f>'Data Vlaue (Cr)'!C22</f>
        <v>BAJAJFINSV</v>
      </c>
      <c r="B27" s="82">
        <f>VLOOKUP(A27,'Data shares'!$C$2:$CV$213,98,0)</f>
        <v>26389250</v>
      </c>
      <c r="C27" s="82">
        <f>VLOOKUP(A27,'Data shares'!$C$2:$CX$213,100,0)</f>
        <v>200250</v>
      </c>
      <c r="D27" s="141">
        <f>VLOOKUP(A27,'Data shares'!$C$2:$CY$536,101,0)</f>
        <v>7.6E-3</v>
      </c>
      <c r="E27" s="86">
        <f>VLOOKUP($A27,'Data shares'!$C:$FA,74)</f>
        <v>12861250</v>
      </c>
      <c r="F27" s="86">
        <f>VLOOKUP($A27,'Data shares'!$C:$FA,76)</f>
        <v>-120250</v>
      </c>
      <c r="G27" s="87">
        <f>VLOOKUP(A27,'Data shares'!$C$2:$CA$213,77,0)</f>
        <v>-9.2999999999999992E-3</v>
      </c>
      <c r="H27" s="86">
        <f>VLOOKUP($A27,'Data shares'!$C:$FA,90)</f>
        <v>9313750</v>
      </c>
      <c r="I27" s="86">
        <f>VLOOKUP($A27,'Data shares'!$C:$FA,92)</f>
        <v>423000</v>
      </c>
      <c r="J27" s="87">
        <f>VLOOKUP($A27,'Data shares'!$C:$FA,93)</f>
        <v>4.7600000000000003E-2</v>
      </c>
      <c r="K27" s="86">
        <f>VLOOKUP($A27,'Data shares'!$C:$FA,94)</f>
        <v>4214250</v>
      </c>
      <c r="L27" s="86">
        <f>VLOOKUP($A27,'Data shares'!$C:$FA,96)</f>
        <v>-102500</v>
      </c>
      <c r="M27" s="87">
        <f>VLOOKUP($A27,'Data shares'!$C:$FA,97)</f>
        <v>-2.3699999999999999E-2</v>
      </c>
      <c r="N27" s="86">
        <f>VLOOKUP($A27,'Data shares'!$C:$FA,78)</f>
        <v>12521500</v>
      </c>
      <c r="O27" s="87">
        <f>VLOOKUP($A27,'Data shares'!$C:$FA,81)</f>
        <v>-1.1900000000000001E-2</v>
      </c>
    </row>
    <row r="28" spans="1:15" x14ac:dyDescent="0.25">
      <c r="A28" s="100" t="str">
        <f>'Data Vlaue (Cr)'!C23</f>
        <v>BAJAJHLDNG</v>
      </c>
      <c r="B28" s="82">
        <f>VLOOKUP(A28,'Data shares'!$C$2:$CV$213,98,0)</f>
        <v>441000</v>
      </c>
      <c r="C28" s="82">
        <f>VLOOKUP(A28,'Data shares'!$C$2:$CX$213,100,0)</f>
        <v>26100</v>
      </c>
      <c r="D28" s="141">
        <f>VLOOKUP(A28,'Data shares'!$C$2:$CY$536,101,0)</f>
        <v>6.2899999999999998E-2</v>
      </c>
      <c r="E28" s="86">
        <f>VLOOKUP($A28,'Data shares'!$C:$FA,74)</f>
        <v>230400</v>
      </c>
      <c r="F28" s="86">
        <f>VLOOKUP($A28,'Data shares'!$C:$FA,76)</f>
        <v>4200</v>
      </c>
      <c r="G28" s="87">
        <f>VLOOKUP(A28,'Data shares'!$C$2:$CA$213,77,0)</f>
        <v>1.8599999999999998E-2</v>
      </c>
      <c r="H28" s="86">
        <f>VLOOKUP($A28,'Data shares'!$C:$FA,90)</f>
        <v>142600</v>
      </c>
      <c r="I28" s="86">
        <f>VLOOKUP($A28,'Data shares'!$C:$FA,92)</f>
        <v>12800</v>
      </c>
      <c r="J28" s="87">
        <f>VLOOKUP($A28,'Data shares'!$C:$FA,93)</f>
        <v>9.8599999999999993E-2</v>
      </c>
      <c r="K28" s="86">
        <f>VLOOKUP($A28,'Data shares'!$C:$FA,94)</f>
        <v>68000</v>
      </c>
      <c r="L28" s="86">
        <f>VLOOKUP($A28,'Data shares'!$C:$FA,96)</f>
        <v>9100</v>
      </c>
      <c r="M28" s="87">
        <f>VLOOKUP($A28,'Data shares'!$C:$FA,97)</f>
        <v>0.1545</v>
      </c>
      <c r="N28" s="86">
        <f>VLOOKUP($A28,'Data shares'!$C:$FA,78)</f>
        <v>221450</v>
      </c>
      <c r="O28" s="87">
        <f>VLOOKUP($A28,'Data shares'!$C:$FA,81)</f>
        <v>1.6799999999999999E-2</v>
      </c>
    </row>
    <row r="29" spans="1:15" x14ac:dyDescent="0.25">
      <c r="A29" s="100" t="str">
        <f>'Data Vlaue (Cr)'!C24</f>
        <v>BAJFINANCE</v>
      </c>
      <c r="B29" s="82">
        <f>VLOOKUP(A29,'Data shares'!$C$2:$CV$213,98,0)</f>
        <v>118915500</v>
      </c>
      <c r="C29" s="82">
        <f>VLOOKUP(A29,'Data shares'!$C$2:$CX$213,100,0)</f>
        <v>7416000</v>
      </c>
      <c r="D29" s="141">
        <f>VLOOKUP(A29,'Data shares'!$C$2:$CY$536,101,0)</f>
        <v>6.6500000000000004E-2</v>
      </c>
      <c r="E29" s="86">
        <f>VLOOKUP($A29,'Data shares'!$C:$FA,74)</f>
        <v>78203250</v>
      </c>
      <c r="F29" s="86">
        <f>VLOOKUP($A29,'Data shares'!$C:$FA,76)</f>
        <v>2217000</v>
      </c>
      <c r="G29" s="87">
        <f>VLOOKUP(A29,'Data shares'!$C$2:$CA$213,77,0)</f>
        <v>2.92E-2</v>
      </c>
      <c r="H29" s="86">
        <f>VLOOKUP($A29,'Data shares'!$C:$FA,90)</f>
        <v>24132000</v>
      </c>
      <c r="I29" s="86">
        <f>VLOOKUP($A29,'Data shares'!$C:$FA,92)</f>
        <v>4004250</v>
      </c>
      <c r="J29" s="87">
        <f>VLOOKUP($A29,'Data shares'!$C:$FA,93)</f>
        <v>0.19889999999999999</v>
      </c>
      <c r="K29" s="86">
        <f>VLOOKUP($A29,'Data shares'!$C:$FA,94)</f>
        <v>16580250</v>
      </c>
      <c r="L29" s="86">
        <f>VLOOKUP($A29,'Data shares'!$C:$FA,96)</f>
        <v>1194750</v>
      </c>
      <c r="M29" s="87">
        <f>VLOOKUP($A29,'Data shares'!$C:$FA,97)</f>
        <v>7.7700000000000005E-2</v>
      </c>
      <c r="N29" s="86">
        <f>VLOOKUP($A29,'Data shares'!$C:$FA,78)</f>
        <v>74178000</v>
      </c>
      <c r="O29" s="87">
        <f>VLOOKUP($A29,'Data shares'!$C:$FA,81)</f>
        <v>1.5800000000000002E-2</v>
      </c>
    </row>
    <row r="30" spans="1:15" x14ac:dyDescent="0.25">
      <c r="A30" s="100" t="str">
        <f>'Data Vlaue (Cr)'!C25</f>
        <v>BANDHANBNK</v>
      </c>
      <c r="B30" s="82">
        <f>VLOOKUP(A30,'Data shares'!$C$2:$CV$213,98,0)</f>
        <v>152935200</v>
      </c>
      <c r="C30" s="82">
        <f>VLOOKUP(A30,'Data shares'!$C$2:$CX$213,100,0)</f>
        <v>921600</v>
      </c>
      <c r="D30" s="141">
        <f>VLOOKUP(A30,'Data shares'!$C$2:$CY$536,101,0)</f>
        <v>6.1000000000000004E-3</v>
      </c>
      <c r="E30" s="86">
        <f>VLOOKUP($A30,'Data shares'!$C:$FA,74)</f>
        <v>97326000</v>
      </c>
      <c r="F30" s="86">
        <f>VLOOKUP($A30,'Data shares'!$C:$FA,76)</f>
        <v>1728000</v>
      </c>
      <c r="G30" s="87">
        <f>VLOOKUP(A30,'Data shares'!$C$2:$CA$213,77,0)</f>
        <v>1.8100000000000002E-2</v>
      </c>
      <c r="H30" s="86">
        <f>VLOOKUP($A30,'Data shares'!$C:$FA,90)</f>
        <v>34704000</v>
      </c>
      <c r="I30" s="86">
        <f>VLOOKUP($A30,'Data shares'!$C:$FA,92)</f>
        <v>338400</v>
      </c>
      <c r="J30" s="87">
        <f>VLOOKUP($A30,'Data shares'!$C:$FA,93)</f>
        <v>9.7999999999999997E-3</v>
      </c>
      <c r="K30" s="86">
        <f>VLOOKUP($A30,'Data shares'!$C:$FA,94)</f>
        <v>20905200</v>
      </c>
      <c r="L30" s="86">
        <f>VLOOKUP($A30,'Data shares'!$C:$FA,96)</f>
        <v>-1144800</v>
      </c>
      <c r="M30" s="87">
        <f>VLOOKUP($A30,'Data shares'!$C:$FA,97)</f>
        <v>-5.1900000000000002E-2</v>
      </c>
      <c r="N30" s="86">
        <f>VLOOKUP($A30,'Data shares'!$C:$FA,78)</f>
        <v>93650400</v>
      </c>
      <c r="O30" s="87">
        <f>VLOOKUP($A30,'Data shares'!$C:$FA,81)</f>
        <v>1.78E-2</v>
      </c>
    </row>
    <row r="31" spans="1:15" x14ac:dyDescent="0.25">
      <c r="A31" s="100" t="str">
        <f>'Data Vlaue (Cr)'!C26</f>
        <v>BANKBARODA</v>
      </c>
      <c r="B31" s="82">
        <f>VLOOKUP(A31,'Data shares'!$C$2:$CV$213,98,0)</f>
        <v>180335025</v>
      </c>
      <c r="C31" s="82">
        <f>VLOOKUP(A31,'Data shares'!$C$2:$CX$213,100,0)</f>
        <v>2717325</v>
      </c>
      <c r="D31" s="141">
        <f>VLOOKUP(A31,'Data shares'!$C$2:$CY$536,101,0)</f>
        <v>1.5299999999999999E-2</v>
      </c>
      <c r="E31" s="86">
        <f>VLOOKUP($A31,'Data shares'!$C:$FA,74)</f>
        <v>102743550</v>
      </c>
      <c r="F31" s="86">
        <f>VLOOKUP($A31,'Data shares'!$C:$FA,76)</f>
        <v>2009475</v>
      </c>
      <c r="G31" s="87">
        <f>VLOOKUP(A31,'Data shares'!$C$2:$CA$213,77,0)</f>
        <v>1.9900000000000001E-2</v>
      </c>
      <c r="H31" s="86">
        <f>VLOOKUP($A31,'Data shares'!$C:$FA,90)</f>
        <v>41678325</v>
      </c>
      <c r="I31" s="86">
        <f>VLOOKUP($A31,'Data shares'!$C:$FA,92)</f>
        <v>1181700</v>
      </c>
      <c r="J31" s="87">
        <f>VLOOKUP($A31,'Data shares'!$C:$FA,93)</f>
        <v>2.92E-2</v>
      </c>
      <c r="K31" s="86">
        <f>VLOOKUP($A31,'Data shares'!$C:$FA,94)</f>
        <v>35913150</v>
      </c>
      <c r="L31" s="86">
        <f>VLOOKUP($A31,'Data shares'!$C:$FA,96)</f>
        <v>-473850</v>
      </c>
      <c r="M31" s="87">
        <f>VLOOKUP($A31,'Data shares'!$C:$FA,97)</f>
        <v>-1.2999999999999999E-2</v>
      </c>
      <c r="N31" s="86">
        <f>VLOOKUP($A31,'Data shares'!$C:$FA,78)</f>
        <v>85804875</v>
      </c>
      <c r="O31" s="87">
        <f>VLOOKUP($A31,'Data shares'!$C:$FA,81)</f>
        <v>1.84E-2</v>
      </c>
    </row>
    <row r="32" spans="1:15" x14ac:dyDescent="0.25">
      <c r="A32" s="100" t="str">
        <f>'Data Vlaue (Cr)'!C27</f>
        <v>BANKINDIA</v>
      </c>
      <c r="B32" s="82">
        <f>VLOOKUP(A32,'Data shares'!$C$2:$CV$213,98,0)</f>
        <v>103136800</v>
      </c>
      <c r="C32" s="82">
        <f>VLOOKUP(A32,'Data shares'!$C$2:$CX$213,100,0)</f>
        <v>-338000</v>
      </c>
      <c r="D32" s="141">
        <f>VLOOKUP(A32,'Data shares'!$C$2:$CY$536,101,0)</f>
        <v>-3.3E-3</v>
      </c>
      <c r="E32" s="86">
        <f>VLOOKUP($A32,'Data shares'!$C:$FA,74)</f>
        <v>56092400</v>
      </c>
      <c r="F32" s="86">
        <f>VLOOKUP($A32,'Data shares'!$C:$FA,76)</f>
        <v>-577200</v>
      </c>
      <c r="G32" s="87">
        <f>VLOOKUP(A32,'Data shares'!$C$2:$CA$213,77,0)</f>
        <v>-1.0200000000000001E-2</v>
      </c>
      <c r="H32" s="86">
        <f>VLOOKUP($A32,'Data shares'!$C:$FA,90)</f>
        <v>26504400</v>
      </c>
      <c r="I32" s="86">
        <f>VLOOKUP($A32,'Data shares'!$C:$FA,92)</f>
        <v>561600</v>
      </c>
      <c r="J32" s="87">
        <f>VLOOKUP($A32,'Data shares'!$C:$FA,93)</f>
        <v>2.1600000000000001E-2</v>
      </c>
      <c r="K32" s="86">
        <f>VLOOKUP($A32,'Data shares'!$C:$FA,94)</f>
        <v>20540000</v>
      </c>
      <c r="L32" s="86">
        <f>VLOOKUP($A32,'Data shares'!$C:$FA,96)</f>
        <v>-322400</v>
      </c>
      <c r="M32" s="87">
        <f>VLOOKUP($A32,'Data shares'!$C:$FA,97)</f>
        <v>-1.55E-2</v>
      </c>
      <c r="N32" s="86">
        <f>VLOOKUP($A32,'Data shares'!$C:$FA,78)</f>
        <v>53492400</v>
      </c>
      <c r="O32" s="87">
        <f>VLOOKUP($A32,'Data shares'!$C:$FA,81)</f>
        <v>-1.2E-2</v>
      </c>
    </row>
    <row r="33" spans="1:15" x14ac:dyDescent="0.25">
      <c r="A33" s="100" t="str">
        <f>'Data Vlaue (Cr)'!C28</f>
        <v>BANKNIFTY</v>
      </c>
      <c r="B33" s="82">
        <f>VLOOKUP(A33,'Data shares'!$C$2:$CV$213,98,0)</f>
        <v>38462510</v>
      </c>
      <c r="C33" s="82">
        <f>VLOOKUP(A33,'Data shares'!$C$2:$CX$213,100,0)</f>
        <v>1126265</v>
      </c>
      <c r="D33" s="141">
        <f>VLOOKUP(A33,'Data shares'!$C$2:$CY$536,101,0)</f>
        <v>3.0200000000000001E-2</v>
      </c>
      <c r="E33" s="86">
        <f>VLOOKUP($A33,'Data shares'!$C:$FA,74)</f>
        <v>3071940</v>
      </c>
      <c r="F33" s="86">
        <f>VLOOKUP($A33,'Data shares'!$C:$FA,76)</f>
        <v>-36300</v>
      </c>
      <c r="G33" s="87">
        <f>VLOOKUP(A33,'Data shares'!$C$2:$CA$213,77,0)</f>
        <v>-1.17E-2</v>
      </c>
      <c r="H33" s="86">
        <f>VLOOKUP($A33,'Data shares'!$C:$FA,90)</f>
        <v>19741040</v>
      </c>
      <c r="I33" s="86">
        <f>VLOOKUP($A33,'Data shares'!$C:$FA,92)</f>
        <v>376820</v>
      </c>
      <c r="J33" s="87">
        <f>VLOOKUP($A33,'Data shares'!$C:$FA,93)</f>
        <v>1.95E-2</v>
      </c>
      <c r="K33" s="86">
        <f>VLOOKUP($A33,'Data shares'!$C:$FA,94)</f>
        <v>15649530</v>
      </c>
      <c r="L33" s="86">
        <f>VLOOKUP($A33,'Data shares'!$C:$FA,96)</f>
        <v>785745</v>
      </c>
      <c r="M33" s="87">
        <f>VLOOKUP($A33,'Data shares'!$C:$FA,97)</f>
        <v>5.2900000000000003E-2</v>
      </c>
      <c r="N33" s="86">
        <f>VLOOKUP($A33,'Data shares'!$C:$FA,78)</f>
        <v>2175660</v>
      </c>
      <c r="O33" s="87">
        <f>VLOOKUP($A33,'Data shares'!$C:$FA,81)</f>
        <v>-4.0899999999999999E-2</v>
      </c>
    </row>
    <row r="34" spans="1:15" x14ac:dyDescent="0.25">
      <c r="A34" s="100" t="str">
        <f>'Data Vlaue (Cr)'!C29</f>
        <v>BDL</v>
      </c>
      <c r="B34" s="82">
        <f>VLOOKUP(A34,'Data shares'!$C$2:$CV$213,98,0)</f>
        <v>12172300</v>
      </c>
      <c r="C34" s="82">
        <f>VLOOKUP(A34,'Data shares'!$C$2:$CX$213,100,0)</f>
        <v>-91700</v>
      </c>
      <c r="D34" s="141">
        <f>VLOOKUP(A34,'Data shares'!$C$2:$CY$536,101,0)</f>
        <v>-7.4999999999999997E-3</v>
      </c>
      <c r="E34" s="86">
        <f>VLOOKUP($A34,'Data shares'!$C:$FA,74)</f>
        <v>5502350</v>
      </c>
      <c r="F34" s="86">
        <f>VLOOKUP($A34,'Data shares'!$C:$FA,76)</f>
        <v>14000</v>
      </c>
      <c r="G34" s="87">
        <f>VLOOKUP(A34,'Data shares'!$C$2:$CA$213,77,0)</f>
        <v>2.5999999999999999E-3</v>
      </c>
      <c r="H34" s="86">
        <f>VLOOKUP($A34,'Data shares'!$C:$FA,90)</f>
        <v>4126850</v>
      </c>
      <c r="I34" s="86">
        <f>VLOOKUP($A34,'Data shares'!$C:$FA,92)</f>
        <v>-48650</v>
      </c>
      <c r="J34" s="87">
        <f>VLOOKUP($A34,'Data shares'!$C:$FA,93)</f>
        <v>-1.17E-2</v>
      </c>
      <c r="K34" s="86">
        <f>VLOOKUP($A34,'Data shares'!$C:$FA,94)</f>
        <v>2543100</v>
      </c>
      <c r="L34" s="86">
        <f>VLOOKUP($A34,'Data shares'!$C:$FA,96)</f>
        <v>-57050</v>
      </c>
      <c r="M34" s="87">
        <f>VLOOKUP($A34,'Data shares'!$C:$FA,97)</f>
        <v>-2.1899999999999999E-2</v>
      </c>
      <c r="N34" s="86">
        <f>VLOOKUP($A34,'Data shares'!$C:$FA,78)</f>
        <v>4735500</v>
      </c>
      <c r="O34" s="87">
        <f>VLOOKUP($A34,'Data shares'!$C:$FA,81)</f>
        <v>-1.6000000000000001E-3</v>
      </c>
    </row>
    <row r="35" spans="1:15" x14ac:dyDescent="0.25">
      <c r="A35" s="100" t="str">
        <f>'Data Vlaue (Cr)'!C30</f>
        <v>BEL</v>
      </c>
      <c r="B35" s="82">
        <f>VLOOKUP(A35,'Data shares'!$C$2:$CV$213,98,0)</f>
        <v>190448400</v>
      </c>
      <c r="C35" s="82">
        <f>VLOOKUP(A35,'Data shares'!$C$2:$CX$213,100,0)</f>
        <v>3139275</v>
      </c>
      <c r="D35" s="141">
        <f>VLOOKUP(A35,'Data shares'!$C$2:$CY$536,101,0)</f>
        <v>1.6799999999999999E-2</v>
      </c>
      <c r="E35" s="86">
        <f>VLOOKUP($A35,'Data shares'!$C:$FA,74)</f>
        <v>108775950</v>
      </c>
      <c r="F35" s="86">
        <f>VLOOKUP($A35,'Data shares'!$C:$FA,76)</f>
        <v>-85500</v>
      </c>
      <c r="G35" s="87">
        <f>VLOOKUP(A35,'Data shares'!$C$2:$CA$213,77,0)</f>
        <v>-8.0000000000000004E-4</v>
      </c>
      <c r="H35" s="86">
        <f>VLOOKUP($A35,'Data shares'!$C:$FA,90)</f>
        <v>51704700</v>
      </c>
      <c r="I35" s="86">
        <f>VLOOKUP($A35,'Data shares'!$C:$FA,92)</f>
        <v>3217650</v>
      </c>
      <c r="J35" s="87">
        <f>VLOOKUP($A35,'Data shares'!$C:$FA,93)</f>
        <v>6.6400000000000001E-2</v>
      </c>
      <c r="K35" s="86">
        <f>VLOOKUP($A35,'Data shares'!$C:$FA,94)</f>
        <v>29967750</v>
      </c>
      <c r="L35" s="86">
        <f>VLOOKUP($A35,'Data shares'!$C:$FA,96)</f>
        <v>7125</v>
      </c>
      <c r="M35" s="87">
        <f>VLOOKUP($A35,'Data shares'!$C:$FA,97)</f>
        <v>2.0000000000000001E-4</v>
      </c>
      <c r="N35" s="86">
        <f>VLOOKUP($A35,'Data shares'!$C:$FA,78)</f>
        <v>99323925</v>
      </c>
      <c r="O35" s="87">
        <f>VLOOKUP($A35,'Data shares'!$C:$FA,81)</f>
        <v>-5.7000000000000002E-3</v>
      </c>
    </row>
    <row r="36" spans="1:15" x14ac:dyDescent="0.25">
      <c r="A36" s="100" t="str">
        <f>'Data Vlaue (Cr)'!C31</f>
        <v>BHARATFORG</v>
      </c>
      <c r="B36" s="82">
        <f>VLOOKUP(A36,'Data shares'!$C$2:$CV$213,98,0)</f>
        <v>14135500</v>
      </c>
      <c r="C36" s="82">
        <f>VLOOKUP(A36,'Data shares'!$C$2:$CX$213,100,0)</f>
        <v>228500</v>
      </c>
      <c r="D36" s="141">
        <f>VLOOKUP(A36,'Data shares'!$C$2:$CY$536,101,0)</f>
        <v>1.6400000000000001E-2</v>
      </c>
      <c r="E36" s="86">
        <f>VLOOKUP($A36,'Data shares'!$C:$FA,74)</f>
        <v>6673000</v>
      </c>
      <c r="F36" s="86">
        <f>VLOOKUP($A36,'Data shares'!$C:$FA,76)</f>
        <v>153500</v>
      </c>
      <c r="G36" s="87">
        <f>VLOOKUP(A36,'Data shares'!$C$2:$CA$213,77,0)</f>
        <v>2.35E-2</v>
      </c>
      <c r="H36" s="86">
        <f>VLOOKUP($A36,'Data shares'!$C:$FA,90)</f>
        <v>4644500</v>
      </c>
      <c r="I36" s="86">
        <f>VLOOKUP($A36,'Data shares'!$C:$FA,92)</f>
        <v>94500</v>
      </c>
      <c r="J36" s="87">
        <f>VLOOKUP($A36,'Data shares'!$C:$FA,93)</f>
        <v>2.0799999999999999E-2</v>
      </c>
      <c r="K36" s="86">
        <f>VLOOKUP($A36,'Data shares'!$C:$FA,94)</f>
        <v>2818000</v>
      </c>
      <c r="L36" s="86">
        <f>VLOOKUP($A36,'Data shares'!$C:$FA,96)</f>
        <v>-19500</v>
      </c>
      <c r="M36" s="87">
        <f>VLOOKUP($A36,'Data shares'!$C:$FA,97)</f>
        <v>-6.8999999999999999E-3</v>
      </c>
      <c r="N36" s="86">
        <f>VLOOKUP($A36,'Data shares'!$C:$FA,78)</f>
        <v>6508500</v>
      </c>
      <c r="O36" s="87">
        <f>VLOOKUP($A36,'Data shares'!$C:$FA,81)</f>
        <v>2.3E-2</v>
      </c>
    </row>
    <row r="37" spans="1:15" x14ac:dyDescent="0.25">
      <c r="A37" s="100" t="str">
        <f>'Data Vlaue (Cr)'!C32</f>
        <v>BHARTIARTL</v>
      </c>
      <c r="B37" s="82">
        <f>VLOOKUP(A37,'Data shares'!$C$2:$CV$213,98,0)</f>
        <v>97084775</v>
      </c>
      <c r="C37" s="82">
        <f>VLOOKUP(A37,'Data shares'!$C$2:$CX$213,100,0)</f>
        <v>-574750</v>
      </c>
      <c r="D37" s="141">
        <f>VLOOKUP(A37,'Data shares'!$C$2:$CY$536,101,0)</f>
        <v>-5.8999999999999999E-3</v>
      </c>
      <c r="E37" s="86">
        <f>VLOOKUP($A37,'Data shares'!$C:$FA,74)</f>
        <v>64362500</v>
      </c>
      <c r="F37" s="86">
        <f>VLOOKUP($A37,'Data shares'!$C:$FA,76)</f>
        <v>-529150</v>
      </c>
      <c r="G37" s="87">
        <f>VLOOKUP(A37,'Data shares'!$C$2:$CA$213,77,0)</f>
        <v>-8.2000000000000007E-3</v>
      </c>
      <c r="H37" s="86">
        <f>VLOOKUP($A37,'Data shares'!$C:$FA,90)</f>
        <v>22463225</v>
      </c>
      <c r="I37" s="86">
        <f>VLOOKUP($A37,'Data shares'!$C:$FA,92)</f>
        <v>40375</v>
      </c>
      <c r="J37" s="87">
        <f>VLOOKUP($A37,'Data shares'!$C:$FA,93)</f>
        <v>1.8E-3</v>
      </c>
      <c r="K37" s="86">
        <f>VLOOKUP($A37,'Data shares'!$C:$FA,94)</f>
        <v>10259050</v>
      </c>
      <c r="L37" s="86">
        <f>VLOOKUP($A37,'Data shares'!$C:$FA,96)</f>
        <v>-85975</v>
      </c>
      <c r="M37" s="87">
        <f>VLOOKUP($A37,'Data shares'!$C:$FA,97)</f>
        <v>-8.3000000000000001E-3</v>
      </c>
      <c r="N37" s="86">
        <f>VLOOKUP($A37,'Data shares'!$C:$FA,78)</f>
        <v>58908550</v>
      </c>
      <c r="O37" s="87">
        <f>VLOOKUP($A37,'Data shares'!$C:$FA,81)</f>
        <v>-1.78E-2</v>
      </c>
    </row>
    <row r="38" spans="1:15" x14ac:dyDescent="0.25">
      <c r="A38" s="100" t="str">
        <f>'Data Vlaue (Cr)'!C33</f>
        <v>BHEL</v>
      </c>
      <c r="B38" s="82">
        <f>VLOOKUP(A38,'Data shares'!$C$2:$CV$213,98,0)</f>
        <v>187997250</v>
      </c>
      <c r="C38" s="82">
        <f>VLOOKUP(A38,'Data shares'!$C$2:$CX$213,100,0)</f>
        <v>-1210125</v>
      </c>
      <c r="D38" s="141">
        <f>VLOOKUP(A38,'Data shares'!$C$2:$CY$536,101,0)</f>
        <v>-6.4000000000000003E-3</v>
      </c>
      <c r="E38" s="86">
        <f>VLOOKUP($A38,'Data shares'!$C:$FA,74)</f>
        <v>128782500</v>
      </c>
      <c r="F38" s="86">
        <f>VLOOKUP($A38,'Data shares'!$C:$FA,76)</f>
        <v>-1281000</v>
      </c>
      <c r="G38" s="87">
        <f>VLOOKUP(A38,'Data shares'!$C$2:$CA$213,77,0)</f>
        <v>-9.7999999999999997E-3</v>
      </c>
      <c r="H38" s="86">
        <f>VLOOKUP($A38,'Data shares'!$C:$FA,90)</f>
        <v>31416000</v>
      </c>
      <c r="I38" s="86">
        <f>VLOOKUP($A38,'Data shares'!$C:$FA,92)</f>
        <v>-1638000</v>
      </c>
      <c r="J38" s="87">
        <f>VLOOKUP($A38,'Data shares'!$C:$FA,93)</f>
        <v>-4.9599999999999998E-2</v>
      </c>
      <c r="K38" s="86">
        <f>VLOOKUP($A38,'Data shares'!$C:$FA,94)</f>
        <v>27798750</v>
      </c>
      <c r="L38" s="86">
        <f>VLOOKUP($A38,'Data shares'!$C:$FA,96)</f>
        <v>1708875</v>
      </c>
      <c r="M38" s="87">
        <f>VLOOKUP($A38,'Data shares'!$C:$FA,97)</f>
        <v>6.5500000000000003E-2</v>
      </c>
      <c r="N38" s="86">
        <f>VLOOKUP($A38,'Data shares'!$C:$FA,78)</f>
        <v>111706875</v>
      </c>
      <c r="O38" s="87">
        <f>VLOOKUP($A38,'Data shares'!$C:$FA,81)</f>
        <v>-1.32E-2</v>
      </c>
    </row>
    <row r="39" spans="1:15" x14ac:dyDescent="0.25">
      <c r="A39" s="100" t="str">
        <f>'Data Vlaue (Cr)'!C34</f>
        <v>BIOCON</v>
      </c>
      <c r="B39" s="82">
        <f>VLOOKUP(A39,'Data shares'!$C$2:$CV$213,98,0)</f>
        <v>69950000</v>
      </c>
      <c r="C39" s="82">
        <f>VLOOKUP(A39,'Data shares'!$C$2:$CX$213,100,0)</f>
        <v>1255000</v>
      </c>
      <c r="D39" s="141">
        <f>VLOOKUP(A39,'Data shares'!$C$2:$CY$536,101,0)</f>
        <v>1.83E-2</v>
      </c>
      <c r="E39" s="86">
        <f>VLOOKUP($A39,'Data shares'!$C:$FA,74)</f>
        <v>37442500</v>
      </c>
      <c r="F39" s="86">
        <f>VLOOKUP($A39,'Data shares'!$C:$FA,76)</f>
        <v>-172500</v>
      </c>
      <c r="G39" s="87">
        <f>VLOOKUP(A39,'Data shares'!$C$2:$CA$213,77,0)</f>
        <v>-4.5999999999999999E-3</v>
      </c>
      <c r="H39" s="86">
        <f>VLOOKUP($A39,'Data shares'!$C:$FA,90)</f>
        <v>18300000</v>
      </c>
      <c r="I39" s="86">
        <f>VLOOKUP($A39,'Data shares'!$C:$FA,92)</f>
        <v>870000</v>
      </c>
      <c r="J39" s="87">
        <f>VLOOKUP($A39,'Data shares'!$C:$FA,93)</f>
        <v>4.99E-2</v>
      </c>
      <c r="K39" s="86">
        <f>VLOOKUP($A39,'Data shares'!$C:$FA,94)</f>
        <v>14207500</v>
      </c>
      <c r="L39" s="86">
        <f>VLOOKUP($A39,'Data shares'!$C:$FA,96)</f>
        <v>557500</v>
      </c>
      <c r="M39" s="87">
        <f>VLOOKUP($A39,'Data shares'!$C:$FA,97)</f>
        <v>4.0800000000000003E-2</v>
      </c>
      <c r="N39" s="86">
        <f>VLOOKUP($A39,'Data shares'!$C:$FA,78)</f>
        <v>34722500</v>
      </c>
      <c r="O39" s="87">
        <f>VLOOKUP($A39,'Data shares'!$C:$FA,81)</f>
        <v>-1.2699999999999999E-2</v>
      </c>
    </row>
    <row r="40" spans="1:15" x14ac:dyDescent="0.25">
      <c r="A40" s="100" t="str">
        <f>'Data Vlaue (Cr)'!C35</f>
        <v>BLUESTARCO</v>
      </c>
      <c r="B40" s="82">
        <f>VLOOKUP(A40,'Data shares'!$C$2:$CV$213,98,0)</f>
        <v>4478825</v>
      </c>
      <c r="C40" s="82">
        <f>VLOOKUP(A40,'Data shares'!$C$2:$CX$213,100,0)</f>
        <v>65650</v>
      </c>
      <c r="D40" s="141">
        <f>VLOOKUP(A40,'Data shares'!$C$2:$CY$536,101,0)</f>
        <v>1.49E-2</v>
      </c>
      <c r="E40" s="86">
        <f>VLOOKUP($A40,'Data shares'!$C:$FA,74)</f>
        <v>2389075</v>
      </c>
      <c r="F40" s="86">
        <f>VLOOKUP($A40,'Data shares'!$C:$FA,76)</f>
        <v>-39650</v>
      </c>
      <c r="G40" s="87">
        <f>VLOOKUP(A40,'Data shares'!$C$2:$CA$213,77,0)</f>
        <v>-1.6299999999999999E-2</v>
      </c>
      <c r="H40" s="86">
        <f>VLOOKUP($A40,'Data shares'!$C:$FA,90)</f>
        <v>1362400</v>
      </c>
      <c r="I40" s="86">
        <f>VLOOKUP($A40,'Data shares'!$C:$FA,92)</f>
        <v>72800</v>
      </c>
      <c r="J40" s="87">
        <f>VLOOKUP($A40,'Data shares'!$C:$FA,93)</f>
        <v>5.6500000000000002E-2</v>
      </c>
      <c r="K40" s="86">
        <f>VLOOKUP($A40,'Data shares'!$C:$FA,94)</f>
        <v>727350</v>
      </c>
      <c r="L40" s="86">
        <f>VLOOKUP($A40,'Data shares'!$C:$FA,96)</f>
        <v>32500</v>
      </c>
      <c r="M40" s="87">
        <f>VLOOKUP($A40,'Data shares'!$C:$FA,97)</f>
        <v>4.6800000000000001E-2</v>
      </c>
      <c r="N40" s="86">
        <f>VLOOKUP($A40,'Data shares'!$C:$FA,78)</f>
        <v>2296775</v>
      </c>
      <c r="O40" s="87">
        <f>VLOOKUP($A40,'Data shares'!$C:$FA,81)</f>
        <v>-1.8100000000000002E-2</v>
      </c>
    </row>
    <row r="41" spans="1:15" x14ac:dyDescent="0.25">
      <c r="A41" s="100" t="str">
        <f>'Data Vlaue (Cr)'!C36</f>
        <v>BOSCHLTD</v>
      </c>
      <c r="B41" s="82">
        <f>VLOOKUP(A41,'Data shares'!$C$2:$CV$213,98,0)</f>
        <v>602725</v>
      </c>
      <c r="C41" s="82">
        <f>VLOOKUP(A41,'Data shares'!$C$2:$CX$213,100,0)</f>
        <v>15575</v>
      </c>
      <c r="D41" s="141">
        <f>VLOOKUP(A41,'Data shares'!$C$2:$CY$536,101,0)</f>
        <v>2.6499999999999999E-2</v>
      </c>
      <c r="E41" s="86">
        <f>VLOOKUP($A41,'Data shares'!$C:$FA,74)</f>
        <v>219350</v>
      </c>
      <c r="F41" s="86">
        <f>VLOOKUP($A41,'Data shares'!$C:$FA,76)</f>
        <v>2700</v>
      </c>
      <c r="G41" s="87">
        <f>VLOOKUP(A41,'Data shares'!$C$2:$CA$213,77,0)</f>
        <v>1.2500000000000001E-2</v>
      </c>
      <c r="H41" s="86">
        <f>VLOOKUP($A41,'Data shares'!$C:$FA,90)</f>
        <v>241475</v>
      </c>
      <c r="I41" s="86">
        <f>VLOOKUP($A41,'Data shares'!$C:$FA,92)</f>
        <v>10400</v>
      </c>
      <c r="J41" s="87">
        <f>VLOOKUP($A41,'Data shares'!$C:$FA,93)</f>
        <v>4.4999999999999998E-2</v>
      </c>
      <c r="K41" s="86">
        <f>VLOOKUP($A41,'Data shares'!$C:$FA,94)</f>
        <v>141900</v>
      </c>
      <c r="L41" s="86">
        <f>VLOOKUP($A41,'Data shares'!$C:$FA,96)</f>
        <v>2475</v>
      </c>
      <c r="M41" s="87">
        <f>VLOOKUP($A41,'Data shares'!$C:$FA,97)</f>
        <v>1.78E-2</v>
      </c>
      <c r="N41" s="86">
        <f>VLOOKUP($A41,'Data shares'!$C:$FA,78)</f>
        <v>211275</v>
      </c>
      <c r="O41" s="87">
        <f>VLOOKUP($A41,'Data shares'!$C:$FA,81)</f>
        <v>1.03E-2</v>
      </c>
    </row>
    <row r="42" spans="1:15" x14ac:dyDescent="0.25">
      <c r="A42" s="100" t="str">
        <f>'Data Vlaue (Cr)'!C37</f>
        <v>BPCL</v>
      </c>
      <c r="B42" s="82">
        <f>VLOOKUP(A42,'Data shares'!$C$2:$CV$213,98,0)</f>
        <v>90133075</v>
      </c>
      <c r="C42" s="82">
        <f>VLOOKUP(A42,'Data shares'!$C$2:$CX$213,100,0)</f>
        <v>1631350</v>
      </c>
      <c r="D42" s="141">
        <f>VLOOKUP(A42,'Data shares'!$C$2:$CY$536,101,0)</f>
        <v>1.84E-2</v>
      </c>
      <c r="E42" s="86">
        <f>VLOOKUP($A42,'Data shares'!$C:$FA,74)</f>
        <v>46809475</v>
      </c>
      <c r="F42" s="86">
        <f>VLOOKUP($A42,'Data shares'!$C:$FA,76)</f>
        <v>331800</v>
      </c>
      <c r="G42" s="87">
        <f>VLOOKUP(A42,'Data shares'!$C$2:$CA$213,77,0)</f>
        <v>7.1000000000000004E-3</v>
      </c>
      <c r="H42" s="86">
        <f>VLOOKUP($A42,'Data shares'!$C:$FA,90)</f>
        <v>24239175</v>
      </c>
      <c r="I42" s="86">
        <f>VLOOKUP($A42,'Data shares'!$C:$FA,92)</f>
        <v>325875</v>
      </c>
      <c r="J42" s="87">
        <f>VLOOKUP($A42,'Data shares'!$C:$FA,93)</f>
        <v>1.3599999999999999E-2</v>
      </c>
      <c r="K42" s="86">
        <f>VLOOKUP($A42,'Data shares'!$C:$FA,94)</f>
        <v>19084425</v>
      </c>
      <c r="L42" s="86">
        <f>VLOOKUP($A42,'Data shares'!$C:$FA,96)</f>
        <v>973675</v>
      </c>
      <c r="M42" s="87">
        <f>VLOOKUP($A42,'Data shares'!$C:$FA,97)</f>
        <v>5.3800000000000001E-2</v>
      </c>
      <c r="N42" s="86">
        <f>VLOOKUP($A42,'Data shares'!$C:$FA,78)</f>
        <v>45478325</v>
      </c>
      <c r="O42" s="87">
        <f>VLOOKUP($A42,'Data shares'!$C:$FA,81)</f>
        <v>5.4999999999999997E-3</v>
      </c>
    </row>
    <row r="43" spans="1:15" x14ac:dyDescent="0.25">
      <c r="A43" s="100" t="str">
        <f>'Data Vlaue (Cr)'!C38</f>
        <v>BRITANNIA</v>
      </c>
      <c r="B43" s="82">
        <f>VLOOKUP(A43,'Data shares'!$C$2:$CV$213,98,0)</f>
        <v>4055000</v>
      </c>
      <c r="C43" s="82">
        <f>VLOOKUP(A43,'Data shares'!$C$2:$CX$213,100,0)</f>
        <v>-181125</v>
      </c>
      <c r="D43" s="141">
        <f>VLOOKUP(A43,'Data shares'!$C$2:$CY$536,101,0)</f>
        <v>-4.2799999999999998E-2</v>
      </c>
      <c r="E43" s="86">
        <f>VLOOKUP($A43,'Data shares'!$C:$FA,74)</f>
        <v>2841875</v>
      </c>
      <c r="F43" s="86">
        <f>VLOOKUP($A43,'Data shares'!$C:$FA,76)</f>
        <v>-265875</v>
      </c>
      <c r="G43" s="87">
        <f>VLOOKUP(A43,'Data shares'!$C$2:$CA$213,77,0)</f>
        <v>-8.5599999999999996E-2</v>
      </c>
      <c r="H43" s="86">
        <f>VLOOKUP($A43,'Data shares'!$C:$FA,90)</f>
        <v>793625</v>
      </c>
      <c r="I43" s="86">
        <f>VLOOKUP($A43,'Data shares'!$C:$FA,92)</f>
        <v>65500</v>
      </c>
      <c r="J43" s="87">
        <f>VLOOKUP($A43,'Data shares'!$C:$FA,93)</f>
        <v>0.09</v>
      </c>
      <c r="K43" s="86">
        <f>VLOOKUP($A43,'Data shares'!$C:$FA,94)</f>
        <v>419500</v>
      </c>
      <c r="L43" s="86">
        <f>VLOOKUP($A43,'Data shares'!$C:$FA,96)</f>
        <v>19250</v>
      </c>
      <c r="M43" s="87">
        <f>VLOOKUP($A43,'Data shares'!$C:$FA,97)</f>
        <v>4.8099999999999997E-2</v>
      </c>
      <c r="N43" s="86">
        <f>VLOOKUP($A43,'Data shares'!$C:$FA,78)</f>
        <v>2816250</v>
      </c>
      <c r="O43" s="87">
        <f>VLOOKUP($A43,'Data shares'!$C:$FA,81)</f>
        <v>-8.7900000000000006E-2</v>
      </c>
    </row>
    <row r="44" spans="1:15" x14ac:dyDescent="0.25">
      <c r="A44" s="100" t="str">
        <f>'Data Vlaue (Cr)'!C39</f>
        <v>BSE</v>
      </c>
      <c r="B44" s="82">
        <f>VLOOKUP(A44,'Data shares'!$C$2:$CV$213,98,0)</f>
        <v>20772000</v>
      </c>
      <c r="C44" s="82">
        <f>VLOOKUP(A44,'Data shares'!$C$2:$CX$213,100,0)</f>
        <v>321750</v>
      </c>
      <c r="D44" s="141">
        <f>VLOOKUP(A44,'Data shares'!$C$2:$CY$536,101,0)</f>
        <v>1.5699999999999999E-2</v>
      </c>
      <c r="E44" s="86">
        <f>VLOOKUP($A44,'Data shares'!$C:$FA,74)</f>
        <v>8143875</v>
      </c>
      <c r="F44" s="86">
        <f>VLOOKUP($A44,'Data shares'!$C:$FA,76)</f>
        <v>76125</v>
      </c>
      <c r="G44" s="87">
        <f>VLOOKUP(A44,'Data shares'!$C$2:$CA$213,77,0)</f>
        <v>9.4000000000000004E-3</v>
      </c>
      <c r="H44" s="86">
        <f>VLOOKUP($A44,'Data shares'!$C:$FA,90)</f>
        <v>6856125</v>
      </c>
      <c r="I44" s="86">
        <f>VLOOKUP($A44,'Data shares'!$C:$FA,92)</f>
        <v>124125</v>
      </c>
      <c r="J44" s="87">
        <f>VLOOKUP($A44,'Data shares'!$C:$FA,93)</f>
        <v>1.84E-2</v>
      </c>
      <c r="K44" s="86">
        <f>VLOOKUP($A44,'Data shares'!$C:$FA,94)</f>
        <v>5772000</v>
      </c>
      <c r="L44" s="86">
        <f>VLOOKUP($A44,'Data shares'!$C:$FA,96)</f>
        <v>121500</v>
      </c>
      <c r="M44" s="87">
        <f>VLOOKUP($A44,'Data shares'!$C:$FA,97)</f>
        <v>2.1499999999999998E-2</v>
      </c>
      <c r="N44" s="86">
        <f>VLOOKUP($A44,'Data shares'!$C:$FA,78)</f>
        <v>7430250</v>
      </c>
      <c r="O44" s="87">
        <f>VLOOKUP($A44,'Data shares'!$C:$FA,81)</f>
        <v>8.3999999999999995E-3</v>
      </c>
    </row>
    <row r="45" spans="1:15" x14ac:dyDescent="0.25">
      <c r="A45" s="100" t="str">
        <f>'Data Vlaue (Cr)'!C40</f>
        <v>CAMS</v>
      </c>
      <c r="B45" s="82">
        <f>VLOOKUP(A45,'Data shares'!$C$2:$CV$213,98,0)</f>
        <v>13068750</v>
      </c>
      <c r="C45" s="82">
        <f>VLOOKUP(A45,'Data shares'!$C$2:$CX$213,100,0)</f>
        <v>145500</v>
      </c>
      <c r="D45" s="141">
        <f>VLOOKUP(A45,'Data shares'!$C$2:$CY$536,101,0)</f>
        <v>1.1299999999999999E-2</v>
      </c>
      <c r="E45" s="86">
        <f>VLOOKUP($A45,'Data shares'!$C:$FA,74)</f>
        <v>6522750</v>
      </c>
      <c r="F45" s="86">
        <f>VLOOKUP($A45,'Data shares'!$C:$FA,76)</f>
        <v>-245250</v>
      </c>
      <c r="G45" s="87">
        <f>VLOOKUP(A45,'Data shares'!$C$2:$CA$213,77,0)</f>
        <v>-3.6200000000000003E-2</v>
      </c>
      <c r="H45" s="86">
        <f>VLOOKUP($A45,'Data shares'!$C:$FA,90)</f>
        <v>3639750</v>
      </c>
      <c r="I45" s="86">
        <f>VLOOKUP($A45,'Data shares'!$C:$FA,92)</f>
        <v>352500</v>
      </c>
      <c r="J45" s="87">
        <f>VLOOKUP($A45,'Data shares'!$C:$FA,93)</f>
        <v>0.1072</v>
      </c>
      <c r="K45" s="86">
        <f>VLOOKUP($A45,'Data shares'!$C:$FA,94)</f>
        <v>2906250</v>
      </c>
      <c r="L45" s="86">
        <f>VLOOKUP($A45,'Data shares'!$C:$FA,96)</f>
        <v>38250</v>
      </c>
      <c r="M45" s="87">
        <f>VLOOKUP($A45,'Data shares'!$C:$FA,97)</f>
        <v>1.3299999999999999E-2</v>
      </c>
      <c r="N45" s="86">
        <f>VLOOKUP($A45,'Data shares'!$C:$FA,78)</f>
        <v>6041250</v>
      </c>
      <c r="O45" s="87">
        <f>VLOOKUP($A45,'Data shares'!$C:$FA,81)</f>
        <v>-4.4299999999999999E-2</v>
      </c>
    </row>
    <row r="46" spans="1:15" x14ac:dyDescent="0.25">
      <c r="A46" s="100" t="str">
        <f>'Data Vlaue (Cr)'!C41</f>
        <v>CANBK</v>
      </c>
      <c r="B46" s="82">
        <f>VLOOKUP(A46,'Data shares'!$C$2:$CV$213,98,0)</f>
        <v>375657750</v>
      </c>
      <c r="C46" s="82">
        <f>VLOOKUP(A46,'Data shares'!$C$2:$CX$213,100,0)</f>
        <v>7128000</v>
      </c>
      <c r="D46" s="141">
        <f>VLOOKUP(A46,'Data shares'!$C$2:$CY$536,101,0)</f>
        <v>1.9300000000000001E-2</v>
      </c>
      <c r="E46" s="86">
        <f>VLOOKUP($A46,'Data shares'!$C:$FA,74)</f>
        <v>185024250</v>
      </c>
      <c r="F46" s="86">
        <f>VLOOKUP($A46,'Data shares'!$C:$FA,76)</f>
        <v>911250</v>
      </c>
      <c r="G46" s="87">
        <f>VLOOKUP(A46,'Data shares'!$C$2:$CA$213,77,0)</f>
        <v>4.8999999999999998E-3</v>
      </c>
      <c r="H46" s="86">
        <f>VLOOKUP($A46,'Data shares'!$C:$FA,90)</f>
        <v>108675000</v>
      </c>
      <c r="I46" s="86">
        <f>VLOOKUP($A46,'Data shares'!$C:$FA,92)</f>
        <v>1505250</v>
      </c>
      <c r="J46" s="87">
        <f>VLOOKUP($A46,'Data shares'!$C:$FA,93)</f>
        <v>1.4E-2</v>
      </c>
      <c r="K46" s="86">
        <f>VLOOKUP($A46,'Data shares'!$C:$FA,94)</f>
        <v>81958500</v>
      </c>
      <c r="L46" s="86">
        <f>VLOOKUP($A46,'Data shares'!$C:$FA,96)</f>
        <v>4711500</v>
      </c>
      <c r="M46" s="87">
        <f>VLOOKUP($A46,'Data shares'!$C:$FA,97)</f>
        <v>6.0999999999999999E-2</v>
      </c>
      <c r="N46" s="86">
        <f>VLOOKUP($A46,'Data shares'!$C:$FA,78)</f>
        <v>170565750</v>
      </c>
      <c r="O46" s="87">
        <f>VLOOKUP($A46,'Data shares'!$C:$FA,81)</f>
        <v>-2.0000000000000001E-4</v>
      </c>
    </row>
    <row r="47" spans="1:15" x14ac:dyDescent="0.25">
      <c r="A47" s="100" t="str">
        <f>'Data Vlaue (Cr)'!C42</f>
        <v>CDSL</v>
      </c>
      <c r="B47" s="82">
        <f>VLOOKUP(A47,'Data shares'!$C$2:$CV$213,98,0)</f>
        <v>24088200</v>
      </c>
      <c r="C47" s="82">
        <f>VLOOKUP(A47,'Data shares'!$C$2:$CX$213,100,0)</f>
        <v>887775</v>
      </c>
      <c r="D47" s="141">
        <f>VLOOKUP(A47,'Data shares'!$C$2:$CY$536,101,0)</f>
        <v>3.8300000000000001E-2</v>
      </c>
      <c r="E47" s="86">
        <f>VLOOKUP($A47,'Data shares'!$C:$FA,74)</f>
        <v>12138150</v>
      </c>
      <c r="F47" s="86">
        <f>VLOOKUP($A47,'Data shares'!$C:$FA,76)</f>
        <v>617975</v>
      </c>
      <c r="G47" s="87">
        <f>VLOOKUP(A47,'Data shares'!$C$2:$CA$213,77,0)</f>
        <v>5.3600000000000002E-2</v>
      </c>
      <c r="H47" s="86">
        <f>VLOOKUP($A47,'Data shares'!$C:$FA,90)</f>
        <v>6944025</v>
      </c>
      <c r="I47" s="86">
        <f>VLOOKUP($A47,'Data shares'!$C:$FA,92)</f>
        <v>299725</v>
      </c>
      <c r="J47" s="87">
        <f>VLOOKUP($A47,'Data shares'!$C:$FA,93)</f>
        <v>4.5100000000000001E-2</v>
      </c>
      <c r="K47" s="86">
        <f>VLOOKUP($A47,'Data shares'!$C:$FA,94)</f>
        <v>5006025</v>
      </c>
      <c r="L47" s="86">
        <f>VLOOKUP($A47,'Data shares'!$C:$FA,96)</f>
        <v>-29925</v>
      </c>
      <c r="M47" s="87">
        <f>VLOOKUP($A47,'Data shares'!$C:$FA,97)</f>
        <v>-5.8999999999999999E-3</v>
      </c>
      <c r="N47" s="86">
        <f>VLOOKUP($A47,'Data shares'!$C:$FA,78)</f>
        <v>10213450</v>
      </c>
      <c r="O47" s="87">
        <f>VLOOKUP($A47,'Data shares'!$C:$FA,81)</f>
        <v>3.8300000000000001E-2</v>
      </c>
    </row>
    <row r="48" spans="1:15" x14ac:dyDescent="0.25">
      <c r="A48" s="100" t="str">
        <f>'Data Vlaue (Cr)'!C43</f>
        <v>CGPOWER</v>
      </c>
      <c r="B48" s="82">
        <f>VLOOKUP(A48,'Data shares'!$C$2:$CV$213,98,0)</f>
        <v>25800900</v>
      </c>
      <c r="C48" s="82">
        <f>VLOOKUP(A48,'Data shares'!$C$2:$CX$213,100,0)</f>
        <v>1637100</v>
      </c>
      <c r="D48" s="141">
        <f>VLOOKUP(A48,'Data shares'!$C$2:$CY$536,101,0)</f>
        <v>6.7799999999999999E-2</v>
      </c>
      <c r="E48" s="86">
        <f>VLOOKUP($A48,'Data shares'!$C:$FA,74)</f>
        <v>17304300</v>
      </c>
      <c r="F48" s="86">
        <f>VLOOKUP($A48,'Data shares'!$C:$FA,76)</f>
        <v>542300</v>
      </c>
      <c r="G48" s="87">
        <f>VLOOKUP(A48,'Data shares'!$C$2:$CA$213,77,0)</f>
        <v>3.2399999999999998E-2</v>
      </c>
      <c r="H48" s="86">
        <f>VLOOKUP($A48,'Data shares'!$C:$FA,90)</f>
        <v>5119550</v>
      </c>
      <c r="I48" s="86">
        <f>VLOOKUP($A48,'Data shares'!$C:$FA,92)</f>
        <v>736100</v>
      </c>
      <c r="J48" s="87">
        <f>VLOOKUP($A48,'Data shares'!$C:$FA,93)</f>
        <v>0.16789999999999999</v>
      </c>
      <c r="K48" s="86">
        <f>VLOOKUP($A48,'Data shares'!$C:$FA,94)</f>
        <v>3377050</v>
      </c>
      <c r="L48" s="86">
        <f>VLOOKUP($A48,'Data shares'!$C:$FA,96)</f>
        <v>358700</v>
      </c>
      <c r="M48" s="87">
        <f>VLOOKUP($A48,'Data shares'!$C:$FA,97)</f>
        <v>0.1188</v>
      </c>
      <c r="N48" s="86">
        <f>VLOOKUP($A48,'Data shares'!$C:$FA,78)</f>
        <v>17028050</v>
      </c>
      <c r="O48" s="87">
        <f>VLOOKUP($A48,'Data shares'!$C:$FA,81)</f>
        <v>3.1399999999999997E-2</v>
      </c>
    </row>
    <row r="49" spans="1:15" x14ac:dyDescent="0.25">
      <c r="A49" s="100" t="str">
        <f>'Data Vlaue (Cr)'!C44</f>
        <v>CHOLAFIN</v>
      </c>
      <c r="B49" s="82">
        <f>VLOOKUP(A49,'Data shares'!$C$2:$CV$213,98,0)</f>
        <v>24604375</v>
      </c>
      <c r="C49" s="82">
        <f>VLOOKUP(A49,'Data shares'!$C$2:$CX$213,100,0)</f>
        <v>848125</v>
      </c>
      <c r="D49" s="141">
        <f>VLOOKUP(A49,'Data shares'!$C$2:$CY$536,101,0)</f>
        <v>3.5700000000000003E-2</v>
      </c>
      <c r="E49" s="86">
        <f>VLOOKUP($A49,'Data shares'!$C:$FA,74)</f>
        <v>17156250</v>
      </c>
      <c r="F49" s="86">
        <f>VLOOKUP($A49,'Data shares'!$C:$FA,76)</f>
        <v>474375</v>
      </c>
      <c r="G49" s="87">
        <f>VLOOKUP(A49,'Data shares'!$C$2:$CA$213,77,0)</f>
        <v>2.8400000000000002E-2</v>
      </c>
      <c r="H49" s="86">
        <f>VLOOKUP($A49,'Data shares'!$C:$FA,90)</f>
        <v>4213125</v>
      </c>
      <c r="I49" s="86">
        <f>VLOOKUP($A49,'Data shares'!$C:$FA,92)</f>
        <v>395625</v>
      </c>
      <c r="J49" s="87">
        <f>VLOOKUP($A49,'Data shares'!$C:$FA,93)</f>
        <v>0.1036</v>
      </c>
      <c r="K49" s="86">
        <f>VLOOKUP($A49,'Data shares'!$C:$FA,94)</f>
        <v>3235000</v>
      </c>
      <c r="L49" s="86">
        <f>VLOOKUP($A49,'Data shares'!$C:$FA,96)</f>
        <v>-21875</v>
      </c>
      <c r="M49" s="87">
        <f>VLOOKUP($A49,'Data shares'!$C:$FA,97)</f>
        <v>-6.7000000000000002E-3</v>
      </c>
      <c r="N49" s="86">
        <f>VLOOKUP($A49,'Data shares'!$C:$FA,78)</f>
        <v>16931250</v>
      </c>
      <c r="O49" s="87">
        <f>VLOOKUP($A49,'Data shares'!$C:$FA,81)</f>
        <v>2.6200000000000001E-2</v>
      </c>
    </row>
    <row r="50" spans="1:15" x14ac:dyDescent="0.25">
      <c r="A50" s="100" t="str">
        <f>'Data Vlaue (Cr)'!C45</f>
        <v>CIPLA</v>
      </c>
      <c r="B50" s="82">
        <f>VLOOKUP(A50,'Data shares'!$C$2:$CV$213,98,0)</f>
        <v>24705000</v>
      </c>
      <c r="C50" s="82">
        <f>VLOOKUP(A50,'Data shares'!$C$2:$CX$213,100,0)</f>
        <v>1080000</v>
      </c>
      <c r="D50" s="141">
        <f>VLOOKUP(A50,'Data shares'!$C$2:$CY$536,101,0)</f>
        <v>4.5699999999999998E-2</v>
      </c>
      <c r="E50" s="86">
        <f>VLOOKUP($A50,'Data shares'!$C:$FA,74)</f>
        <v>12998250</v>
      </c>
      <c r="F50" s="86">
        <f>VLOOKUP($A50,'Data shares'!$C:$FA,76)</f>
        <v>-17625</v>
      </c>
      <c r="G50" s="87">
        <f>VLOOKUP(A50,'Data shares'!$C$2:$CA$213,77,0)</f>
        <v>-1.4E-3</v>
      </c>
      <c r="H50" s="86">
        <f>VLOOKUP($A50,'Data shares'!$C:$FA,90)</f>
        <v>8301000</v>
      </c>
      <c r="I50" s="86">
        <f>VLOOKUP($A50,'Data shares'!$C:$FA,92)</f>
        <v>842250</v>
      </c>
      <c r="J50" s="87">
        <f>VLOOKUP($A50,'Data shares'!$C:$FA,93)</f>
        <v>0.1129</v>
      </c>
      <c r="K50" s="86">
        <f>VLOOKUP($A50,'Data shares'!$C:$FA,94)</f>
        <v>3405750</v>
      </c>
      <c r="L50" s="86">
        <f>VLOOKUP($A50,'Data shares'!$C:$FA,96)</f>
        <v>255375</v>
      </c>
      <c r="M50" s="87">
        <f>VLOOKUP($A50,'Data shares'!$C:$FA,97)</f>
        <v>8.1100000000000005E-2</v>
      </c>
      <c r="N50" s="86">
        <f>VLOOKUP($A50,'Data shares'!$C:$FA,78)</f>
        <v>12697875</v>
      </c>
      <c r="O50" s="87">
        <f>VLOOKUP($A50,'Data shares'!$C:$FA,81)</f>
        <v>-6.0000000000000001E-3</v>
      </c>
    </row>
    <row r="51" spans="1:15" x14ac:dyDescent="0.25">
      <c r="A51" s="100" t="str">
        <f>'Data Vlaue (Cr)'!C46</f>
        <v>COALINDIA</v>
      </c>
      <c r="B51" s="82">
        <f>VLOOKUP(A51,'Data shares'!$C$2:$CV$213,98,0)</f>
        <v>113528250</v>
      </c>
      <c r="C51" s="82">
        <f>VLOOKUP(A51,'Data shares'!$C$2:$CX$213,100,0)</f>
        <v>10696050</v>
      </c>
      <c r="D51" s="141">
        <f>VLOOKUP(A51,'Data shares'!$C$2:$CY$536,101,0)</f>
        <v>0.104</v>
      </c>
      <c r="E51" s="86">
        <f>VLOOKUP($A51,'Data shares'!$C:$FA,74)</f>
        <v>49048200</v>
      </c>
      <c r="F51" s="86">
        <f>VLOOKUP($A51,'Data shares'!$C:$FA,76)</f>
        <v>2430000</v>
      </c>
      <c r="G51" s="87">
        <f>VLOOKUP(A51,'Data shares'!$C$2:$CA$213,77,0)</f>
        <v>5.21E-2</v>
      </c>
      <c r="H51" s="86">
        <f>VLOOKUP($A51,'Data shares'!$C:$FA,90)</f>
        <v>37076400</v>
      </c>
      <c r="I51" s="86">
        <f>VLOOKUP($A51,'Data shares'!$C:$FA,92)</f>
        <v>3010500</v>
      </c>
      <c r="J51" s="87">
        <f>VLOOKUP($A51,'Data shares'!$C:$FA,93)</f>
        <v>8.8400000000000006E-2</v>
      </c>
      <c r="K51" s="86">
        <f>VLOOKUP($A51,'Data shares'!$C:$FA,94)</f>
        <v>27403650</v>
      </c>
      <c r="L51" s="86">
        <f>VLOOKUP($A51,'Data shares'!$C:$FA,96)</f>
        <v>5255550</v>
      </c>
      <c r="M51" s="87">
        <f>VLOOKUP($A51,'Data shares'!$C:$FA,97)</f>
        <v>0.23730000000000001</v>
      </c>
      <c r="N51" s="86">
        <f>VLOOKUP($A51,'Data shares'!$C:$FA,78)</f>
        <v>43447050</v>
      </c>
      <c r="O51" s="87">
        <f>VLOOKUP($A51,'Data shares'!$C:$FA,81)</f>
        <v>5.4899999999999997E-2</v>
      </c>
    </row>
    <row r="52" spans="1:15" x14ac:dyDescent="0.25">
      <c r="A52" s="100" t="str">
        <f>'Data Vlaue (Cr)'!C47</f>
        <v>COFORGE</v>
      </c>
      <c r="B52" s="82">
        <f>VLOOKUP(A52,'Data shares'!$C$2:$CV$213,98,0)</f>
        <v>45467250</v>
      </c>
      <c r="C52" s="82">
        <f>VLOOKUP(A52,'Data shares'!$C$2:$CX$213,100,0)</f>
        <v>942375</v>
      </c>
      <c r="D52" s="141">
        <f>VLOOKUP(A52,'Data shares'!$C$2:$CY$536,101,0)</f>
        <v>2.12E-2</v>
      </c>
      <c r="E52" s="86">
        <f>VLOOKUP($A52,'Data shares'!$C:$FA,74)</f>
        <v>27018375</v>
      </c>
      <c r="F52" s="86">
        <f>VLOOKUP($A52,'Data shares'!$C:$FA,76)</f>
        <v>189375</v>
      </c>
      <c r="G52" s="87">
        <f>VLOOKUP(A52,'Data shares'!$C$2:$CA$213,77,0)</f>
        <v>7.1000000000000004E-3</v>
      </c>
      <c r="H52" s="86">
        <f>VLOOKUP($A52,'Data shares'!$C:$FA,90)</f>
        <v>13423875</v>
      </c>
      <c r="I52" s="86">
        <f>VLOOKUP($A52,'Data shares'!$C:$FA,92)</f>
        <v>533250</v>
      </c>
      <c r="J52" s="87">
        <f>VLOOKUP($A52,'Data shares'!$C:$FA,93)</f>
        <v>4.1399999999999999E-2</v>
      </c>
      <c r="K52" s="86">
        <f>VLOOKUP($A52,'Data shares'!$C:$FA,94)</f>
        <v>5025000</v>
      </c>
      <c r="L52" s="86">
        <f>VLOOKUP($A52,'Data shares'!$C:$FA,96)</f>
        <v>219750</v>
      </c>
      <c r="M52" s="87">
        <f>VLOOKUP($A52,'Data shares'!$C:$FA,97)</f>
        <v>4.5699999999999998E-2</v>
      </c>
      <c r="N52" s="86">
        <f>VLOOKUP($A52,'Data shares'!$C:$FA,78)</f>
        <v>25632000</v>
      </c>
      <c r="O52" s="87">
        <f>VLOOKUP($A52,'Data shares'!$C:$FA,81)</f>
        <v>6.4000000000000003E-3</v>
      </c>
    </row>
    <row r="53" spans="1:15" x14ac:dyDescent="0.25">
      <c r="A53" s="100" t="str">
        <f>'Data Vlaue (Cr)'!C48</f>
        <v>COLPAL</v>
      </c>
      <c r="B53" s="82">
        <f>VLOOKUP(A53,'Data shares'!$C$2:$CV$213,98,0)</f>
        <v>13413825</v>
      </c>
      <c r="C53" s="82">
        <f>VLOOKUP(A53,'Data shares'!$C$2:$CX$213,100,0)</f>
        <v>1189575</v>
      </c>
      <c r="D53" s="141">
        <f>VLOOKUP(A53,'Data shares'!$C$2:$CY$536,101,0)</f>
        <v>9.7299999999999998E-2</v>
      </c>
      <c r="E53" s="86">
        <f>VLOOKUP($A53,'Data shares'!$C:$FA,74)</f>
        <v>6605775</v>
      </c>
      <c r="F53" s="86">
        <f>VLOOKUP($A53,'Data shares'!$C:$FA,76)</f>
        <v>348075</v>
      </c>
      <c r="G53" s="87">
        <f>VLOOKUP(A53,'Data shares'!$C$2:$CA$213,77,0)</f>
        <v>5.5599999999999997E-2</v>
      </c>
      <c r="H53" s="86">
        <f>VLOOKUP($A53,'Data shares'!$C:$FA,90)</f>
        <v>4241700</v>
      </c>
      <c r="I53" s="86">
        <f>VLOOKUP($A53,'Data shares'!$C:$FA,92)</f>
        <v>624375</v>
      </c>
      <c r="J53" s="87">
        <f>VLOOKUP($A53,'Data shares'!$C:$FA,93)</f>
        <v>0.1726</v>
      </c>
      <c r="K53" s="86">
        <f>VLOOKUP($A53,'Data shares'!$C:$FA,94)</f>
        <v>2566350</v>
      </c>
      <c r="L53" s="86">
        <f>VLOOKUP($A53,'Data shares'!$C:$FA,96)</f>
        <v>217125</v>
      </c>
      <c r="M53" s="87">
        <f>VLOOKUP($A53,'Data shares'!$C:$FA,97)</f>
        <v>9.2399999999999996E-2</v>
      </c>
      <c r="N53" s="86">
        <f>VLOOKUP($A53,'Data shares'!$C:$FA,78)</f>
        <v>6167025</v>
      </c>
      <c r="O53" s="87">
        <f>VLOOKUP($A53,'Data shares'!$C:$FA,81)</f>
        <v>3.8699999999999998E-2</v>
      </c>
    </row>
    <row r="54" spans="1:15" x14ac:dyDescent="0.25">
      <c r="A54" s="100" t="str">
        <f>'Data Vlaue (Cr)'!C49</f>
        <v>CONCOR</v>
      </c>
      <c r="B54" s="82">
        <f>VLOOKUP(A54,'Data shares'!$C$2:$CV$213,98,0)</f>
        <v>47501250</v>
      </c>
      <c r="C54" s="82">
        <f>VLOOKUP(A54,'Data shares'!$C$2:$CX$213,100,0)</f>
        <v>806250</v>
      </c>
      <c r="D54" s="141">
        <f>VLOOKUP(A54,'Data shares'!$C$2:$CY$536,101,0)</f>
        <v>1.7299999999999999E-2</v>
      </c>
      <c r="E54" s="86">
        <f>VLOOKUP($A54,'Data shares'!$C:$FA,74)</f>
        <v>29440000</v>
      </c>
      <c r="F54" s="86">
        <f>VLOOKUP($A54,'Data shares'!$C:$FA,76)</f>
        <v>580000</v>
      </c>
      <c r="G54" s="87">
        <f>VLOOKUP(A54,'Data shares'!$C$2:$CA$213,77,0)</f>
        <v>2.01E-2</v>
      </c>
      <c r="H54" s="86">
        <f>VLOOKUP($A54,'Data shares'!$C:$FA,90)</f>
        <v>10510000</v>
      </c>
      <c r="I54" s="86">
        <f>VLOOKUP($A54,'Data shares'!$C:$FA,92)</f>
        <v>216250</v>
      </c>
      <c r="J54" s="87">
        <f>VLOOKUP($A54,'Data shares'!$C:$FA,93)</f>
        <v>2.1000000000000001E-2</v>
      </c>
      <c r="K54" s="86">
        <f>VLOOKUP($A54,'Data shares'!$C:$FA,94)</f>
        <v>7551250</v>
      </c>
      <c r="L54" s="86">
        <f>VLOOKUP($A54,'Data shares'!$C:$FA,96)</f>
        <v>10000</v>
      </c>
      <c r="M54" s="87">
        <f>VLOOKUP($A54,'Data shares'!$C:$FA,97)</f>
        <v>1.2999999999999999E-3</v>
      </c>
      <c r="N54" s="86">
        <f>VLOOKUP($A54,'Data shares'!$C:$FA,78)</f>
        <v>27830000</v>
      </c>
      <c r="O54" s="87">
        <f>VLOOKUP($A54,'Data shares'!$C:$FA,81)</f>
        <v>1.6299999999999999E-2</v>
      </c>
    </row>
    <row r="55" spans="1:15" x14ac:dyDescent="0.25">
      <c r="A55" s="100" t="str">
        <f>'Data Vlaue (Cr)'!C50</f>
        <v>CROMPTON</v>
      </c>
      <c r="B55" s="82">
        <f>VLOOKUP(A55,'Data shares'!$C$2:$CV$213,98,0)</f>
        <v>61920000</v>
      </c>
      <c r="C55" s="82">
        <f>VLOOKUP(A55,'Data shares'!$C$2:$CX$213,100,0)</f>
        <v>685800</v>
      </c>
      <c r="D55" s="141">
        <f>VLOOKUP(A55,'Data shares'!$C$2:$CY$536,101,0)</f>
        <v>1.12E-2</v>
      </c>
      <c r="E55" s="86">
        <f>VLOOKUP($A55,'Data shares'!$C:$FA,74)</f>
        <v>46931400</v>
      </c>
      <c r="F55" s="86">
        <f>VLOOKUP($A55,'Data shares'!$C:$FA,76)</f>
        <v>39600</v>
      </c>
      <c r="G55" s="87">
        <f>VLOOKUP(A55,'Data shares'!$C$2:$CA$213,77,0)</f>
        <v>8.0000000000000004E-4</v>
      </c>
      <c r="H55" s="86">
        <f>VLOOKUP($A55,'Data shares'!$C:$FA,90)</f>
        <v>9837000</v>
      </c>
      <c r="I55" s="86">
        <f>VLOOKUP($A55,'Data shares'!$C:$FA,92)</f>
        <v>478800</v>
      </c>
      <c r="J55" s="87">
        <f>VLOOKUP($A55,'Data shares'!$C:$FA,93)</f>
        <v>5.1200000000000002E-2</v>
      </c>
      <c r="K55" s="86">
        <f>VLOOKUP($A55,'Data shares'!$C:$FA,94)</f>
        <v>5151600</v>
      </c>
      <c r="L55" s="86">
        <f>VLOOKUP($A55,'Data shares'!$C:$FA,96)</f>
        <v>167400</v>
      </c>
      <c r="M55" s="87">
        <f>VLOOKUP($A55,'Data shares'!$C:$FA,97)</f>
        <v>3.3599999999999998E-2</v>
      </c>
      <c r="N55" s="86">
        <f>VLOOKUP($A55,'Data shares'!$C:$FA,78)</f>
        <v>45842400</v>
      </c>
      <c r="O55" s="87">
        <f>VLOOKUP($A55,'Data shares'!$C:$FA,81)</f>
        <v>-8.9999999999999998E-4</v>
      </c>
    </row>
    <row r="56" spans="1:15" x14ac:dyDescent="0.25">
      <c r="A56" s="100" t="str">
        <f>'Data Vlaue (Cr)'!C51</f>
        <v>CUMMINSIND</v>
      </c>
      <c r="B56" s="82">
        <f>VLOOKUP(A56,'Data shares'!$C$2:$CV$213,98,0)</f>
        <v>5354800</v>
      </c>
      <c r="C56" s="82">
        <f>VLOOKUP(A56,'Data shares'!$C$2:$CX$213,100,0)</f>
        <v>3600</v>
      </c>
      <c r="D56" s="141">
        <f>VLOOKUP(A56,'Data shares'!$C$2:$CY$536,101,0)</f>
        <v>6.9999999999999999E-4</v>
      </c>
      <c r="E56" s="86">
        <f>VLOOKUP($A56,'Data shares'!$C:$FA,74)</f>
        <v>3479800</v>
      </c>
      <c r="F56" s="86">
        <f>VLOOKUP($A56,'Data shares'!$C:$FA,76)</f>
        <v>-10400</v>
      </c>
      <c r="G56" s="87">
        <f>VLOOKUP(A56,'Data shares'!$C$2:$CA$213,77,0)</f>
        <v>-3.0000000000000001E-3</v>
      </c>
      <c r="H56" s="86">
        <f>VLOOKUP($A56,'Data shares'!$C:$FA,90)</f>
        <v>1066800</v>
      </c>
      <c r="I56" s="86">
        <f>VLOOKUP($A56,'Data shares'!$C:$FA,92)</f>
        <v>-32000</v>
      </c>
      <c r="J56" s="87">
        <f>VLOOKUP($A56,'Data shares'!$C:$FA,93)</f>
        <v>-2.9100000000000001E-2</v>
      </c>
      <c r="K56" s="86">
        <f>VLOOKUP($A56,'Data shares'!$C:$FA,94)</f>
        <v>808200</v>
      </c>
      <c r="L56" s="86">
        <f>VLOOKUP($A56,'Data shares'!$C:$FA,96)</f>
        <v>46000</v>
      </c>
      <c r="M56" s="87">
        <f>VLOOKUP($A56,'Data shares'!$C:$FA,97)</f>
        <v>6.0400000000000002E-2</v>
      </c>
      <c r="N56" s="86">
        <f>VLOOKUP($A56,'Data shares'!$C:$FA,78)</f>
        <v>3432000</v>
      </c>
      <c r="O56" s="87">
        <f>VLOOKUP($A56,'Data shares'!$C:$FA,81)</f>
        <v>-3.8999999999999998E-3</v>
      </c>
    </row>
    <row r="57" spans="1:15" x14ac:dyDescent="0.25">
      <c r="A57" s="100" t="str">
        <f>'Data Vlaue (Cr)'!C52</f>
        <v>DABUR</v>
      </c>
      <c r="B57" s="82">
        <f>VLOOKUP(A57,'Data shares'!$C$2:$CV$213,98,0)</f>
        <v>43467500</v>
      </c>
      <c r="C57" s="82">
        <f>VLOOKUP(A57,'Data shares'!$C$2:$CX$213,100,0)</f>
        <v>1760000</v>
      </c>
      <c r="D57" s="141">
        <f>VLOOKUP(A57,'Data shares'!$C$2:$CY$536,101,0)</f>
        <v>4.2200000000000001E-2</v>
      </c>
      <c r="E57" s="86">
        <f>VLOOKUP($A57,'Data shares'!$C:$FA,74)</f>
        <v>25821250</v>
      </c>
      <c r="F57" s="86">
        <f>VLOOKUP($A57,'Data shares'!$C:$FA,76)</f>
        <v>443750</v>
      </c>
      <c r="G57" s="87">
        <f>VLOOKUP(A57,'Data shares'!$C$2:$CA$213,77,0)</f>
        <v>1.7500000000000002E-2</v>
      </c>
      <c r="H57" s="86">
        <f>VLOOKUP($A57,'Data shares'!$C:$FA,90)</f>
        <v>11450000</v>
      </c>
      <c r="I57" s="86">
        <f>VLOOKUP($A57,'Data shares'!$C:$FA,92)</f>
        <v>972500</v>
      </c>
      <c r="J57" s="87">
        <f>VLOOKUP($A57,'Data shares'!$C:$FA,93)</f>
        <v>9.2799999999999994E-2</v>
      </c>
      <c r="K57" s="86">
        <f>VLOOKUP($A57,'Data shares'!$C:$FA,94)</f>
        <v>6196250</v>
      </c>
      <c r="L57" s="86">
        <f>VLOOKUP($A57,'Data shares'!$C:$FA,96)</f>
        <v>343750</v>
      </c>
      <c r="M57" s="87">
        <f>VLOOKUP($A57,'Data shares'!$C:$FA,97)</f>
        <v>5.8700000000000002E-2</v>
      </c>
      <c r="N57" s="86">
        <f>VLOOKUP($A57,'Data shares'!$C:$FA,78)</f>
        <v>25122500</v>
      </c>
      <c r="O57" s="87">
        <f>VLOOKUP($A57,'Data shares'!$C:$FA,81)</f>
        <v>1.37E-2</v>
      </c>
    </row>
    <row r="58" spans="1:15" x14ac:dyDescent="0.25">
      <c r="A58" s="100" t="str">
        <f>'Data Vlaue (Cr)'!C53</f>
        <v>DALBHARAT</v>
      </c>
      <c r="B58" s="82">
        <f>VLOOKUP(A58,'Data shares'!$C$2:$CV$213,98,0)</f>
        <v>5641350</v>
      </c>
      <c r="C58" s="82">
        <f>VLOOKUP(A58,'Data shares'!$C$2:$CX$213,100,0)</f>
        <v>588250</v>
      </c>
      <c r="D58" s="141">
        <f>VLOOKUP(A58,'Data shares'!$C$2:$CY$536,101,0)</f>
        <v>0.1164</v>
      </c>
      <c r="E58" s="86">
        <f>VLOOKUP($A58,'Data shares'!$C:$FA,74)</f>
        <v>2274350</v>
      </c>
      <c r="F58" s="86">
        <f>VLOOKUP($A58,'Data shares'!$C:$FA,76)</f>
        <v>-10400</v>
      </c>
      <c r="G58" s="87">
        <f>VLOOKUP(A58,'Data shares'!$C$2:$CA$213,77,0)</f>
        <v>-4.5999999999999999E-3</v>
      </c>
      <c r="H58" s="86">
        <f>VLOOKUP($A58,'Data shares'!$C:$FA,90)</f>
        <v>1438450</v>
      </c>
      <c r="I58" s="86">
        <f>VLOOKUP($A58,'Data shares'!$C:$FA,92)</f>
        <v>181025</v>
      </c>
      <c r="J58" s="87">
        <f>VLOOKUP($A58,'Data shares'!$C:$FA,93)</f>
        <v>0.14399999999999999</v>
      </c>
      <c r="K58" s="86">
        <f>VLOOKUP($A58,'Data shares'!$C:$FA,94)</f>
        <v>1928550</v>
      </c>
      <c r="L58" s="86">
        <f>VLOOKUP($A58,'Data shares'!$C:$FA,96)</f>
        <v>417625</v>
      </c>
      <c r="M58" s="87">
        <f>VLOOKUP($A58,'Data shares'!$C:$FA,97)</f>
        <v>0.27639999999999998</v>
      </c>
      <c r="N58" s="86">
        <f>VLOOKUP($A58,'Data shares'!$C:$FA,78)</f>
        <v>2095275</v>
      </c>
      <c r="O58" s="87">
        <f>VLOOKUP($A58,'Data shares'!$C:$FA,81)</f>
        <v>-3.9100000000000003E-2</v>
      </c>
    </row>
    <row r="59" spans="1:15" x14ac:dyDescent="0.25">
      <c r="A59" s="100" t="str">
        <f>'Data Vlaue (Cr)'!C54</f>
        <v>DELHIVERY</v>
      </c>
      <c r="B59" s="82">
        <f>VLOOKUP(A59,'Data shares'!$C$2:$CV$213,98,0)</f>
        <v>36258550</v>
      </c>
      <c r="C59" s="82">
        <f>VLOOKUP(A59,'Data shares'!$C$2:$CX$213,100,0)</f>
        <v>1599825</v>
      </c>
      <c r="D59" s="141">
        <f>VLOOKUP(A59,'Data shares'!$C$2:$CY$536,101,0)</f>
        <v>4.6199999999999998E-2</v>
      </c>
      <c r="E59" s="86">
        <f>VLOOKUP($A59,'Data shares'!$C:$FA,74)</f>
        <v>24960175</v>
      </c>
      <c r="F59" s="86">
        <f>VLOOKUP($A59,'Data shares'!$C:$FA,76)</f>
        <v>993925</v>
      </c>
      <c r="G59" s="87">
        <f>VLOOKUP(A59,'Data shares'!$C$2:$CA$213,77,0)</f>
        <v>4.1500000000000002E-2</v>
      </c>
      <c r="H59" s="86">
        <f>VLOOKUP($A59,'Data shares'!$C:$FA,90)</f>
        <v>7183650</v>
      </c>
      <c r="I59" s="86">
        <f>VLOOKUP($A59,'Data shares'!$C:$FA,92)</f>
        <v>431600</v>
      </c>
      <c r="J59" s="87">
        <f>VLOOKUP($A59,'Data shares'!$C:$FA,93)</f>
        <v>6.3899999999999998E-2</v>
      </c>
      <c r="K59" s="86">
        <f>VLOOKUP($A59,'Data shares'!$C:$FA,94)</f>
        <v>4114725</v>
      </c>
      <c r="L59" s="86">
        <f>VLOOKUP($A59,'Data shares'!$C:$FA,96)</f>
        <v>174300</v>
      </c>
      <c r="M59" s="87">
        <f>VLOOKUP($A59,'Data shares'!$C:$FA,97)</f>
        <v>4.4200000000000003E-2</v>
      </c>
      <c r="N59" s="86">
        <f>VLOOKUP($A59,'Data shares'!$C:$FA,78)</f>
        <v>24505750</v>
      </c>
      <c r="O59" s="87">
        <f>VLOOKUP($A59,'Data shares'!$C:$FA,81)</f>
        <v>3.8199999999999998E-2</v>
      </c>
    </row>
    <row r="60" spans="1:15" x14ac:dyDescent="0.25">
      <c r="A60" s="100" t="str">
        <f>'Data Vlaue (Cr)'!C55</f>
        <v>DIVISLAB</v>
      </c>
      <c r="B60" s="82">
        <f>VLOOKUP(A60,'Data shares'!$C$2:$CV$213,98,0)</f>
        <v>3928500</v>
      </c>
      <c r="C60" s="82">
        <f>VLOOKUP(A60,'Data shares'!$C$2:$CX$213,100,0)</f>
        <v>-141200</v>
      </c>
      <c r="D60" s="141">
        <f>VLOOKUP(A60,'Data shares'!$C$2:$CY$536,101,0)</f>
        <v>-3.4700000000000002E-2</v>
      </c>
      <c r="E60" s="86">
        <f>VLOOKUP($A60,'Data shares'!$C:$FA,74)</f>
        <v>2685000</v>
      </c>
      <c r="F60" s="86">
        <f>VLOOKUP($A60,'Data shares'!$C:$FA,76)</f>
        <v>-83700</v>
      </c>
      <c r="G60" s="87">
        <f>VLOOKUP(A60,'Data shares'!$C$2:$CA$213,77,0)</f>
        <v>-3.0200000000000001E-2</v>
      </c>
      <c r="H60" s="86">
        <f>VLOOKUP($A60,'Data shares'!$C:$FA,90)</f>
        <v>779000</v>
      </c>
      <c r="I60" s="86">
        <f>VLOOKUP($A60,'Data shares'!$C:$FA,92)</f>
        <v>-56300</v>
      </c>
      <c r="J60" s="87">
        <f>VLOOKUP($A60,'Data shares'!$C:$FA,93)</f>
        <v>-6.7400000000000002E-2</v>
      </c>
      <c r="K60" s="86">
        <f>VLOOKUP($A60,'Data shares'!$C:$FA,94)</f>
        <v>464500</v>
      </c>
      <c r="L60" s="86">
        <f>VLOOKUP($A60,'Data shares'!$C:$FA,96)</f>
        <v>-1200</v>
      </c>
      <c r="M60" s="87">
        <f>VLOOKUP($A60,'Data shares'!$C:$FA,97)</f>
        <v>-2.5999999999999999E-3</v>
      </c>
      <c r="N60" s="86">
        <f>VLOOKUP($A60,'Data shares'!$C:$FA,78)</f>
        <v>2592000</v>
      </c>
      <c r="O60" s="87">
        <f>VLOOKUP($A60,'Data shares'!$C:$FA,81)</f>
        <v>-3.3399999999999999E-2</v>
      </c>
    </row>
    <row r="61" spans="1:15" x14ac:dyDescent="0.25">
      <c r="A61" s="100" t="str">
        <f>'Data Vlaue (Cr)'!C56</f>
        <v>DIXON</v>
      </c>
      <c r="B61" s="82">
        <f>VLOOKUP(A61,'Data shares'!$C$2:$CV$213,98,0)</f>
        <v>6537600</v>
      </c>
      <c r="C61" s="82">
        <f>VLOOKUP(A61,'Data shares'!$C$2:$CX$213,100,0)</f>
        <v>30550</v>
      </c>
      <c r="D61" s="141">
        <f>VLOOKUP(A61,'Data shares'!$C$2:$CY$536,101,0)</f>
        <v>4.7000000000000002E-3</v>
      </c>
      <c r="E61" s="86">
        <f>VLOOKUP($A61,'Data shares'!$C:$FA,74)</f>
        <v>2714800</v>
      </c>
      <c r="F61" s="86">
        <f>VLOOKUP($A61,'Data shares'!$C:$FA,76)</f>
        <v>9950</v>
      </c>
      <c r="G61" s="87">
        <f>VLOOKUP(A61,'Data shares'!$C$2:$CA$213,77,0)</f>
        <v>3.7000000000000002E-3</v>
      </c>
      <c r="H61" s="86">
        <f>VLOOKUP($A61,'Data shares'!$C:$FA,90)</f>
        <v>2350950</v>
      </c>
      <c r="I61" s="86">
        <f>VLOOKUP($A61,'Data shares'!$C:$FA,92)</f>
        <v>-33950</v>
      </c>
      <c r="J61" s="87">
        <f>VLOOKUP($A61,'Data shares'!$C:$FA,93)</f>
        <v>-1.4200000000000001E-2</v>
      </c>
      <c r="K61" s="86">
        <f>VLOOKUP($A61,'Data shares'!$C:$FA,94)</f>
        <v>1471850</v>
      </c>
      <c r="L61" s="86">
        <f>VLOOKUP($A61,'Data shares'!$C:$FA,96)</f>
        <v>54550</v>
      </c>
      <c r="M61" s="87">
        <f>VLOOKUP($A61,'Data shares'!$C:$FA,97)</f>
        <v>3.85E-2</v>
      </c>
      <c r="N61" s="86">
        <f>VLOOKUP($A61,'Data shares'!$C:$FA,78)</f>
        <v>2486850</v>
      </c>
      <c r="O61" s="87">
        <f>VLOOKUP($A61,'Data shares'!$C:$FA,81)</f>
        <v>-5.0000000000000001E-3</v>
      </c>
    </row>
    <row r="62" spans="1:15" x14ac:dyDescent="0.25">
      <c r="A62" s="100" t="str">
        <f>'Data Vlaue (Cr)'!C57</f>
        <v>DLF</v>
      </c>
      <c r="B62" s="82">
        <f>VLOOKUP(A62,'Data shares'!$C$2:$CV$213,98,0)</f>
        <v>77014575</v>
      </c>
      <c r="C62" s="82">
        <f>VLOOKUP(A62,'Data shares'!$C$2:$CX$213,100,0)</f>
        <v>2128500</v>
      </c>
      <c r="D62" s="141">
        <f>VLOOKUP(A62,'Data shares'!$C$2:$CY$536,101,0)</f>
        <v>2.8400000000000002E-2</v>
      </c>
      <c r="E62" s="86">
        <f>VLOOKUP($A62,'Data shares'!$C:$FA,74)</f>
        <v>54447525</v>
      </c>
      <c r="F62" s="86">
        <f>VLOOKUP($A62,'Data shares'!$C:$FA,76)</f>
        <v>853875</v>
      </c>
      <c r="G62" s="87">
        <f>VLOOKUP(A62,'Data shares'!$C$2:$CA$213,77,0)</f>
        <v>1.5900000000000001E-2</v>
      </c>
      <c r="H62" s="86">
        <f>VLOOKUP($A62,'Data shares'!$C:$FA,90)</f>
        <v>12766050</v>
      </c>
      <c r="I62" s="86">
        <f>VLOOKUP($A62,'Data shares'!$C:$FA,92)</f>
        <v>1077450</v>
      </c>
      <c r="J62" s="87">
        <f>VLOOKUP($A62,'Data shares'!$C:$FA,93)</f>
        <v>9.2200000000000004E-2</v>
      </c>
      <c r="K62" s="86">
        <f>VLOOKUP($A62,'Data shares'!$C:$FA,94)</f>
        <v>9801000</v>
      </c>
      <c r="L62" s="86">
        <f>VLOOKUP($A62,'Data shares'!$C:$FA,96)</f>
        <v>197175</v>
      </c>
      <c r="M62" s="87">
        <f>VLOOKUP($A62,'Data shares'!$C:$FA,97)</f>
        <v>2.0500000000000001E-2</v>
      </c>
      <c r="N62" s="86">
        <f>VLOOKUP($A62,'Data shares'!$C:$FA,78)</f>
        <v>51098850</v>
      </c>
      <c r="O62" s="87">
        <f>VLOOKUP($A62,'Data shares'!$C:$FA,81)</f>
        <v>1.34E-2</v>
      </c>
    </row>
    <row r="63" spans="1:15" x14ac:dyDescent="0.25">
      <c r="A63" s="100" t="str">
        <f>'Data Vlaue (Cr)'!C58</f>
        <v>DMART</v>
      </c>
      <c r="B63" s="82">
        <f>VLOOKUP(A63,'Data shares'!$C$2:$CV$213,98,0)</f>
        <v>8572950</v>
      </c>
      <c r="C63" s="82">
        <f>VLOOKUP(A63,'Data shares'!$C$2:$CX$213,100,0)</f>
        <v>391650</v>
      </c>
      <c r="D63" s="141">
        <f>VLOOKUP(A63,'Data shares'!$C$2:$CY$536,101,0)</f>
        <v>4.7899999999999998E-2</v>
      </c>
      <c r="E63" s="86">
        <f>VLOOKUP($A63,'Data shares'!$C:$FA,74)</f>
        <v>6249750</v>
      </c>
      <c r="F63" s="86">
        <f>VLOOKUP($A63,'Data shares'!$C:$FA,76)</f>
        <v>255900</v>
      </c>
      <c r="G63" s="87">
        <f>VLOOKUP(A63,'Data shares'!$C$2:$CA$213,77,0)</f>
        <v>4.2700000000000002E-2</v>
      </c>
      <c r="H63" s="86">
        <f>VLOOKUP($A63,'Data shares'!$C:$FA,90)</f>
        <v>1345950</v>
      </c>
      <c r="I63" s="86">
        <f>VLOOKUP($A63,'Data shares'!$C:$FA,92)</f>
        <v>82200</v>
      </c>
      <c r="J63" s="87">
        <f>VLOOKUP($A63,'Data shares'!$C:$FA,93)</f>
        <v>6.5000000000000002E-2</v>
      </c>
      <c r="K63" s="86">
        <f>VLOOKUP($A63,'Data shares'!$C:$FA,94)</f>
        <v>977250</v>
      </c>
      <c r="L63" s="86">
        <f>VLOOKUP($A63,'Data shares'!$C:$FA,96)</f>
        <v>53550</v>
      </c>
      <c r="M63" s="87">
        <f>VLOOKUP($A63,'Data shares'!$C:$FA,97)</f>
        <v>5.8000000000000003E-2</v>
      </c>
      <c r="N63" s="86">
        <f>VLOOKUP($A63,'Data shares'!$C:$FA,78)</f>
        <v>5621550</v>
      </c>
      <c r="O63" s="87">
        <f>VLOOKUP($A63,'Data shares'!$C:$FA,81)</f>
        <v>2.5399999999999999E-2</v>
      </c>
    </row>
    <row r="64" spans="1:15" x14ac:dyDescent="0.25">
      <c r="A64" s="100" t="str">
        <f>'Data Vlaue (Cr)'!C59</f>
        <v>DRREDDY</v>
      </c>
      <c r="B64" s="82">
        <f>VLOOKUP(A64,'Data shares'!$C$2:$CV$213,98,0)</f>
        <v>29508125</v>
      </c>
      <c r="C64" s="82">
        <f>VLOOKUP(A64,'Data shares'!$C$2:$CX$213,100,0)</f>
        <v>225625</v>
      </c>
      <c r="D64" s="141">
        <f>VLOOKUP(A64,'Data shares'!$C$2:$CY$536,101,0)</f>
        <v>7.7000000000000002E-3</v>
      </c>
      <c r="E64" s="86">
        <f>VLOOKUP($A64,'Data shares'!$C:$FA,74)</f>
        <v>14965000</v>
      </c>
      <c r="F64" s="86">
        <f>VLOOKUP($A64,'Data shares'!$C:$FA,76)</f>
        <v>-1875</v>
      </c>
      <c r="G64" s="87">
        <f>VLOOKUP(A64,'Data shares'!$C$2:$CA$213,77,0)</f>
        <v>-1E-4</v>
      </c>
      <c r="H64" s="86">
        <f>VLOOKUP($A64,'Data shares'!$C:$FA,90)</f>
        <v>9868750</v>
      </c>
      <c r="I64" s="86">
        <f>VLOOKUP($A64,'Data shares'!$C:$FA,92)</f>
        <v>72500</v>
      </c>
      <c r="J64" s="87">
        <f>VLOOKUP($A64,'Data shares'!$C:$FA,93)</f>
        <v>7.4000000000000003E-3</v>
      </c>
      <c r="K64" s="86">
        <f>VLOOKUP($A64,'Data shares'!$C:$FA,94)</f>
        <v>4674375</v>
      </c>
      <c r="L64" s="86">
        <f>VLOOKUP($A64,'Data shares'!$C:$FA,96)</f>
        <v>155000</v>
      </c>
      <c r="M64" s="87">
        <f>VLOOKUP($A64,'Data shares'!$C:$FA,97)</f>
        <v>3.4299999999999997E-2</v>
      </c>
      <c r="N64" s="86">
        <f>VLOOKUP($A64,'Data shares'!$C:$FA,78)</f>
        <v>14682500</v>
      </c>
      <c r="O64" s="87">
        <f>VLOOKUP($A64,'Data shares'!$C:$FA,81)</f>
        <v>-3.3E-3</v>
      </c>
    </row>
    <row r="65" spans="1:15" x14ac:dyDescent="0.25">
      <c r="A65" s="100" t="str">
        <f>'Data Vlaue (Cr)'!C60</f>
        <v>EICHERMOT</v>
      </c>
      <c r="B65" s="82">
        <f>VLOOKUP(A65,'Data shares'!$C$2:$CV$213,98,0)</f>
        <v>7581900</v>
      </c>
      <c r="C65" s="82">
        <f>VLOOKUP(A65,'Data shares'!$C$2:$CX$213,100,0)</f>
        <v>731900</v>
      </c>
      <c r="D65" s="141">
        <f>VLOOKUP(A65,'Data shares'!$C$2:$CY$536,101,0)</f>
        <v>0.10680000000000001</v>
      </c>
      <c r="E65" s="86">
        <f>VLOOKUP($A65,'Data shares'!$C:$FA,74)</f>
        <v>3447900</v>
      </c>
      <c r="F65" s="86">
        <f>VLOOKUP($A65,'Data shares'!$C:$FA,76)</f>
        <v>235700</v>
      </c>
      <c r="G65" s="87">
        <f>VLOOKUP(A65,'Data shares'!$C$2:$CA$213,77,0)</f>
        <v>7.3400000000000007E-2</v>
      </c>
      <c r="H65" s="86">
        <f>VLOOKUP($A65,'Data shares'!$C:$FA,90)</f>
        <v>2684600</v>
      </c>
      <c r="I65" s="86">
        <f>VLOOKUP($A65,'Data shares'!$C:$FA,92)</f>
        <v>387000</v>
      </c>
      <c r="J65" s="87">
        <f>VLOOKUP($A65,'Data shares'!$C:$FA,93)</f>
        <v>0.16839999999999999</v>
      </c>
      <c r="K65" s="86">
        <f>VLOOKUP($A65,'Data shares'!$C:$FA,94)</f>
        <v>1449400</v>
      </c>
      <c r="L65" s="86">
        <f>VLOOKUP($A65,'Data shares'!$C:$FA,96)</f>
        <v>109200</v>
      </c>
      <c r="M65" s="87">
        <f>VLOOKUP($A65,'Data shares'!$C:$FA,97)</f>
        <v>8.1500000000000003E-2</v>
      </c>
      <c r="N65" s="86">
        <f>VLOOKUP($A65,'Data shares'!$C:$FA,78)</f>
        <v>3279800</v>
      </c>
      <c r="O65" s="87">
        <f>VLOOKUP($A65,'Data shares'!$C:$FA,81)</f>
        <v>6.1899999999999997E-2</v>
      </c>
    </row>
    <row r="66" spans="1:15" x14ac:dyDescent="0.25">
      <c r="A66" s="100" t="str">
        <f>'Data Vlaue (Cr)'!C61</f>
        <v>ETERNAL</v>
      </c>
      <c r="B66" s="82">
        <f>VLOOKUP(A66,'Data shares'!$C$2:$CV$213,98,0)</f>
        <v>494205300</v>
      </c>
      <c r="C66" s="82">
        <f>VLOOKUP(A66,'Data shares'!$C$2:$CX$213,100,0)</f>
        <v>4103100</v>
      </c>
      <c r="D66" s="141">
        <f>VLOOKUP(A66,'Data shares'!$C$2:$CY$536,101,0)</f>
        <v>8.3999999999999995E-3</v>
      </c>
      <c r="E66" s="86">
        <f>VLOOKUP($A66,'Data shares'!$C:$FA,74)</f>
        <v>300826100</v>
      </c>
      <c r="F66" s="86">
        <f>VLOOKUP($A66,'Data shares'!$C:$FA,76)</f>
        <v>2517150</v>
      </c>
      <c r="G66" s="87">
        <f>VLOOKUP(A66,'Data shares'!$C$2:$CA$213,77,0)</f>
        <v>8.3999999999999995E-3</v>
      </c>
      <c r="H66" s="86">
        <f>VLOOKUP($A66,'Data shares'!$C:$FA,90)</f>
        <v>123408250</v>
      </c>
      <c r="I66" s="86">
        <f>VLOOKUP($A66,'Data shares'!$C:$FA,92)</f>
        <v>-982125</v>
      </c>
      <c r="J66" s="87">
        <f>VLOOKUP($A66,'Data shares'!$C:$FA,93)</f>
        <v>-7.9000000000000008E-3</v>
      </c>
      <c r="K66" s="86">
        <f>VLOOKUP($A66,'Data shares'!$C:$FA,94)</f>
        <v>69970950</v>
      </c>
      <c r="L66" s="86">
        <f>VLOOKUP($A66,'Data shares'!$C:$FA,96)</f>
        <v>2568075</v>
      </c>
      <c r="M66" s="87">
        <f>VLOOKUP($A66,'Data shares'!$C:$FA,97)</f>
        <v>3.8100000000000002E-2</v>
      </c>
      <c r="N66" s="86">
        <f>VLOOKUP($A66,'Data shares'!$C:$FA,78)</f>
        <v>259331925</v>
      </c>
      <c r="O66" s="87">
        <f>VLOOKUP($A66,'Data shares'!$C:$FA,81)</f>
        <v>2.0999999999999999E-3</v>
      </c>
    </row>
    <row r="67" spans="1:15" x14ac:dyDescent="0.25">
      <c r="A67" s="100" t="str">
        <f>'Data Vlaue (Cr)'!C62</f>
        <v>EXIDEIND</v>
      </c>
      <c r="B67" s="82">
        <f>VLOOKUP(A67,'Data shares'!$C$2:$CV$213,98,0)</f>
        <v>50355000</v>
      </c>
      <c r="C67" s="82">
        <f>VLOOKUP(A67,'Data shares'!$C$2:$CX$213,100,0)</f>
        <v>590400</v>
      </c>
      <c r="D67" s="141">
        <f>VLOOKUP(A67,'Data shares'!$C$2:$CY$536,101,0)</f>
        <v>1.1900000000000001E-2</v>
      </c>
      <c r="E67" s="86">
        <f>VLOOKUP($A67,'Data shares'!$C:$FA,74)</f>
        <v>29556000</v>
      </c>
      <c r="F67" s="86">
        <f>VLOOKUP($A67,'Data shares'!$C:$FA,76)</f>
        <v>-21600</v>
      </c>
      <c r="G67" s="87">
        <f>VLOOKUP(A67,'Data shares'!$C$2:$CA$213,77,0)</f>
        <v>-6.9999999999999999E-4</v>
      </c>
      <c r="H67" s="86">
        <f>VLOOKUP($A67,'Data shares'!$C:$FA,90)</f>
        <v>11547000</v>
      </c>
      <c r="I67" s="86">
        <f>VLOOKUP($A67,'Data shares'!$C:$FA,92)</f>
        <v>545400</v>
      </c>
      <c r="J67" s="87">
        <f>VLOOKUP($A67,'Data shares'!$C:$FA,93)</f>
        <v>4.9599999999999998E-2</v>
      </c>
      <c r="K67" s="86">
        <f>VLOOKUP($A67,'Data shares'!$C:$FA,94)</f>
        <v>9252000</v>
      </c>
      <c r="L67" s="86">
        <f>VLOOKUP($A67,'Data shares'!$C:$FA,96)</f>
        <v>66600</v>
      </c>
      <c r="M67" s="87">
        <f>VLOOKUP($A67,'Data shares'!$C:$FA,97)</f>
        <v>7.3000000000000001E-3</v>
      </c>
      <c r="N67" s="86">
        <f>VLOOKUP($A67,'Data shares'!$C:$FA,78)</f>
        <v>27732600</v>
      </c>
      <c r="O67" s="87">
        <f>VLOOKUP($A67,'Data shares'!$C:$FA,81)</f>
        <v>-5.0000000000000001E-3</v>
      </c>
    </row>
    <row r="68" spans="1:15" x14ac:dyDescent="0.25">
      <c r="A68" s="100" t="str">
        <f>'Data Vlaue (Cr)'!C63</f>
        <v>FEDERALBNK</v>
      </c>
      <c r="B68" s="82">
        <f>VLOOKUP(A68,'Data shares'!$C$2:$CV$213,98,0)</f>
        <v>179620000</v>
      </c>
      <c r="C68" s="82">
        <f>VLOOKUP(A68,'Data shares'!$C$2:$CX$213,100,0)</f>
        <v>6495000</v>
      </c>
      <c r="D68" s="141">
        <f>VLOOKUP(A68,'Data shares'!$C$2:$CY$536,101,0)</f>
        <v>3.7499999999999999E-2</v>
      </c>
      <c r="E68" s="86">
        <f>VLOOKUP($A68,'Data shares'!$C:$FA,74)</f>
        <v>84505000</v>
      </c>
      <c r="F68" s="86">
        <f>VLOOKUP($A68,'Data shares'!$C:$FA,76)</f>
        <v>2760000</v>
      </c>
      <c r="G68" s="87">
        <f>VLOOKUP(A68,'Data shares'!$C$2:$CA$213,77,0)</f>
        <v>3.3799999999999997E-2</v>
      </c>
      <c r="H68" s="86">
        <f>VLOOKUP($A68,'Data shares'!$C:$FA,90)</f>
        <v>62375000</v>
      </c>
      <c r="I68" s="86">
        <f>VLOOKUP($A68,'Data shares'!$C:$FA,92)</f>
        <v>2990000</v>
      </c>
      <c r="J68" s="87">
        <f>VLOOKUP($A68,'Data shares'!$C:$FA,93)</f>
        <v>5.0299999999999997E-2</v>
      </c>
      <c r="K68" s="86">
        <f>VLOOKUP($A68,'Data shares'!$C:$FA,94)</f>
        <v>32740000</v>
      </c>
      <c r="L68" s="86">
        <f>VLOOKUP($A68,'Data shares'!$C:$FA,96)</f>
        <v>745000</v>
      </c>
      <c r="M68" s="87">
        <f>VLOOKUP($A68,'Data shares'!$C:$FA,97)</f>
        <v>2.3300000000000001E-2</v>
      </c>
      <c r="N68" s="86">
        <f>VLOOKUP($A68,'Data shares'!$C:$FA,78)</f>
        <v>79605000</v>
      </c>
      <c r="O68" s="87">
        <f>VLOOKUP($A68,'Data shares'!$C:$FA,81)</f>
        <v>2.9000000000000001E-2</v>
      </c>
    </row>
    <row r="69" spans="1:15" x14ac:dyDescent="0.25">
      <c r="A69" s="100" t="str">
        <f>'Data Vlaue (Cr)'!C64</f>
        <v>FINNIFTY</v>
      </c>
      <c r="B69" s="82">
        <f>VLOOKUP(A69,'Data shares'!$C$2:$CV$213,98,0)</f>
        <v>1721040</v>
      </c>
      <c r="C69" s="82">
        <f>VLOOKUP(A69,'Data shares'!$C$2:$CX$213,100,0)</f>
        <v>72660</v>
      </c>
      <c r="D69" s="141">
        <f>VLOOKUP(A69,'Data shares'!$C$2:$CY$536,101,0)</f>
        <v>4.41E-2</v>
      </c>
      <c r="E69" s="86">
        <f>VLOOKUP($A69,'Data shares'!$C:$FA,74)</f>
        <v>70260</v>
      </c>
      <c r="F69" s="86">
        <f>VLOOKUP($A69,'Data shares'!$C:$FA,76)</f>
        <v>3840</v>
      </c>
      <c r="G69" s="87">
        <f>VLOOKUP(A69,'Data shares'!$C$2:$CA$213,77,0)</f>
        <v>5.7799999999999997E-2</v>
      </c>
      <c r="H69" s="86">
        <f>VLOOKUP($A69,'Data shares'!$C:$FA,90)</f>
        <v>858120</v>
      </c>
      <c r="I69" s="86">
        <f>VLOOKUP($A69,'Data shares'!$C:$FA,92)</f>
        <v>35100</v>
      </c>
      <c r="J69" s="87">
        <f>VLOOKUP($A69,'Data shares'!$C:$FA,93)</f>
        <v>4.2599999999999999E-2</v>
      </c>
      <c r="K69" s="86">
        <f>VLOOKUP($A69,'Data shares'!$C:$FA,94)</f>
        <v>792660</v>
      </c>
      <c r="L69" s="86">
        <f>VLOOKUP($A69,'Data shares'!$C:$FA,96)</f>
        <v>33720</v>
      </c>
      <c r="M69" s="87">
        <f>VLOOKUP($A69,'Data shares'!$C:$FA,97)</f>
        <v>4.4400000000000002E-2</v>
      </c>
      <c r="N69" s="86">
        <f>VLOOKUP($A69,'Data shares'!$C:$FA,78)</f>
        <v>68160</v>
      </c>
      <c r="O69" s="87">
        <f>VLOOKUP($A69,'Data shares'!$C:$FA,81)</f>
        <v>5.0900000000000001E-2</v>
      </c>
    </row>
    <row r="70" spans="1:15" x14ac:dyDescent="0.25">
      <c r="A70" s="100" t="str">
        <f>'Data Vlaue (Cr)'!C65</f>
        <v>FORTIS</v>
      </c>
      <c r="B70" s="82">
        <f>VLOOKUP(A70,'Data shares'!$C$2:$CV$213,98,0)</f>
        <v>17996275</v>
      </c>
      <c r="C70" s="82">
        <f>VLOOKUP(A70,'Data shares'!$C$2:$CX$213,100,0)</f>
        <v>684325</v>
      </c>
      <c r="D70" s="141">
        <f>VLOOKUP(A70,'Data shares'!$C$2:$CY$536,101,0)</f>
        <v>3.95E-2</v>
      </c>
      <c r="E70" s="86">
        <f>VLOOKUP($A70,'Data shares'!$C:$FA,74)</f>
        <v>11983825</v>
      </c>
      <c r="F70" s="86">
        <f>VLOOKUP($A70,'Data shares'!$C:$FA,76)</f>
        <v>416950</v>
      </c>
      <c r="G70" s="87">
        <f>VLOOKUP(A70,'Data shares'!$C$2:$CA$213,77,0)</f>
        <v>3.5999999999999997E-2</v>
      </c>
      <c r="H70" s="86">
        <f>VLOOKUP($A70,'Data shares'!$C:$FA,90)</f>
        <v>4232275</v>
      </c>
      <c r="I70" s="86">
        <f>VLOOKUP($A70,'Data shares'!$C:$FA,92)</f>
        <v>202275</v>
      </c>
      <c r="J70" s="87">
        <f>VLOOKUP($A70,'Data shares'!$C:$FA,93)</f>
        <v>5.0200000000000002E-2</v>
      </c>
      <c r="K70" s="86">
        <f>VLOOKUP($A70,'Data shares'!$C:$FA,94)</f>
        <v>1780175</v>
      </c>
      <c r="L70" s="86">
        <f>VLOOKUP($A70,'Data shares'!$C:$FA,96)</f>
        <v>65100</v>
      </c>
      <c r="M70" s="87">
        <f>VLOOKUP($A70,'Data shares'!$C:$FA,97)</f>
        <v>3.7999999999999999E-2</v>
      </c>
      <c r="N70" s="86">
        <f>VLOOKUP($A70,'Data shares'!$C:$FA,78)</f>
        <v>11710250</v>
      </c>
      <c r="O70" s="87">
        <f>VLOOKUP($A70,'Data shares'!$C:$FA,81)</f>
        <v>3.32E-2</v>
      </c>
    </row>
    <row r="71" spans="1:15" x14ac:dyDescent="0.25">
      <c r="A71" s="100" t="str">
        <f>'Data Vlaue (Cr)'!C66</f>
        <v>GAIL</v>
      </c>
      <c r="B71" s="82">
        <f>VLOOKUP(A71,'Data shares'!$C$2:$CV$213,98,0)</f>
        <v>186417000</v>
      </c>
      <c r="C71" s="82">
        <f>VLOOKUP(A71,'Data shares'!$C$2:$CX$213,100,0)</f>
        <v>2778300</v>
      </c>
      <c r="D71" s="141">
        <f>VLOOKUP(A71,'Data shares'!$C$2:$CY$536,101,0)</f>
        <v>1.5100000000000001E-2</v>
      </c>
      <c r="E71" s="86">
        <f>VLOOKUP($A71,'Data shares'!$C:$FA,74)</f>
        <v>108873450</v>
      </c>
      <c r="F71" s="86">
        <f>VLOOKUP($A71,'Data shares'!$C:$FA,76)</f>
        <v>1174950</v>
      </c>
      <c r="G71" s="87">
        <f>VLOOKUP(A71,'Data shares'!$C$2:$CA$213,77,0)</f>
        <v>1.09E-2</v>
      </c>
      <c r="H71" s="86">
        <f>VLOOKUP($A71,'Data shares'!$C:$FA,90)</f>
        <v>38596950</v>
      </c>
      <c r="I71" s="86">
        <f>VLOOKUP($A71,'Data shares'!$C:$FA,92)</f>
        <v>1008000</v>
      </c>
      <c r="J71" s="87">
        <f>VLOOKUP($A71,'Data shares'!$C:$FA,93)</f>
        <v>2.6800000000000001E-2</v>
      </c>
      <c r="K71" s="86">
        <f>VLOOKUP($A71,'Data shares'!$C:$FA,94)</f>
        <v>38946600</v>
      </c>
      <c r="L71" s="86">
        <f>VLOOKUP($A71,'Data shares'!$C:$FA,96)</f>
        <v>595350</v>
      </c>
      <c r="M71" s="87">
        <f>VLOOKUP($A71,'Data shares'!$C:$FA,97)</f>
        <v>1.55E-2</v>
      </c>
      <c r="N71" s="86">
        <f>VLOOKUP($A71,'Data shares'!$C:$FA,78)</f>
        <v>100976400</v>
      </c>
      <c r="O71" s="87">
        <f>VLOOKUP($A71,'Data shares'!$C:$FA,81)</f>
        <v>1.17E-2</v>
      </c>
    </row>
    <row r="72" spans="1:15" x14ac:dyDescent="0.25">
      <c r="A72" s="100" t="str">
        <f>'Data Vlaue (Cr)'!C67</f>
        <v>GLENMARK</v>
      </c>
      <c r="B72" s="82">
        <f>VLOOKUP(A72,'Data shares'!$C$2:$CV$213,98,0)</f>
        <v>14895750</v>
      </c>
      <c r="C72" s="82">
        <f>VLOOKUP(A72,'Data shares'!$C$2:$CX$213,100,0)</f>
        <v>-180375</v>
      </c>
      <c r="D72" s="141">
        <f>VLOOKUP(A72,'Data shares'!$C$2:$CY$536,101,0)</f>
        <v>-1.2E-2</v>
      </c>
      <c r="E72" s="86">
        <f>VLOOKUP($A72,'Data shares'!$C:$FA,74)</f>
        <v>11619000</v>
      </c>
      <c r="F72" s="86">
        <f>VLOOKUP($A72,'Data shares'!$C:$FA,76)</f>
        <v>-20625</v>
      </c>
      <c r="G72" s="87">
        <f>VLOOKUP(A72,'Data shares'!$C$2:$CA$213,77,0)</f>
        <v>-1.8E-3</v>
      </c>
      <c r="H72" s="86">
        <f>VLOOKUP($A72,'Data shares'!$C:$FA,90)</f>
        <v>2099250</v>
      </c>
      <c r="I72" s="86">
        <f>VLOOKUP($A72,'Data shares'!$C:$FA,92)</f>
        <v>-138375</v>
      </c>
      <c r="J72" s="87">
        <f>VLOOKUP($A72,'Data shares'!$C:$FA,93)</f>
        <v>-6.1800000000000001E-2</v>
      </c>
      <c r="K72" s="86">
        <f>VLOOKUP($A72,'Data shares'!$C:$FA,94)</f>
        <v>1177500</v>
      </c>
      <c r="L72" s="86">
        <f>VLOOKUP($A72,'Data shares'!$C:$FA,96)</f>
        <v>-21375</v>
      </c>
      <c r="M72" s="87">
        <f>VLOOKUP($A72,'Data shares'!$C:$FA,97)</f>
        <v>-1.78E-2</v>
      </c>
      <c r="N72" s="86">
        <f>VLOOKUP($A72,'Data shares'!$C:$FA,78)</f>
        <v>11526000</v>
      </c>
      <c r="O72" s="87">
        <f>VLOOKUP($A72,'Data shares'!$C:$FA,81)</f>
        <v>-2.2000000000000001E-3</v>
      </c>
    </row>
    <row r="73" spans="1:15" x14ac:dyDescent="0.25">
      <c r="A73" s="100" t="str">
        <f>'Data Vlaue (Cr)'!C68</f>
        <v>GMRAIRPORT</v>
      </c>
      <c r="B73" s="82">
        <f>VLOOKUP(A73,'Data shares'!$C$2:$CV$213,98,0)</f>
        <v>237645225</v>
      </c>
      <c r="C73" s="82">
        <f>VLOOKUP(A73,'Data shares'!$C$2:$CX$213,100,0)</f>
        <v>760275</v>
      </c>
      <c r="D73" s="141">
        <f>VLOOKUP(A73,'Data shares'!$C$2:$CY$536,101,0)</f>
        <v>3.2000000000000002E-3</v>
      </c>
      <c r="E73" s="86">
        <f>VLOOKUP($A73,'Data shares'!$C:$FA,74)</f>
        <v>143085150</v>
      </c>
      <c r="F73" s="86">
        <f>VLOOKUP($A73,'Data shares'!$C:$FA,76)</f>
        <v>-523125</v>
      </c>
      <c r="G73" s="87">
        <f>VLOOKUP(A73,'Data shares'!$C$2:$CA$213,77,0)</f>
        <v>-3.5999999999999999E-3</v>
      </c>
      <c r="H73" s="86">
        <f>VLOOKUP($A73,'Data shares'!$C:$FA,90)</f>
        <v>58094775</v>
      </c>
      <c r="I73" s="86">
        <f>VLOOKUP($A73,'Data shares'!$C:$FA,92)</f>
        <v>1109025</v>
      </c>
      <c r="J73" s="87">
        <f>VLOOKUP($A73,'Data shares'!$C:$FA,93)</f>
        <v>1.95E-2</v>
      </c>
      <c r="K73" s="86">
        <f>VLOOKUP($A73,'Data shares'!$C:$FA,94)</f>
        <v>36465300</v>
      </c>
      <c r="L73" s="86">
        <f>VLOOKUP($A73,'Data shares'!$C:$FA,96)</f>
        <v>174375</v>
      </c>
      <c r="M73" s="87">
        <f>VLOOKUP($A73,'Data shares'!$C:$FA,97)</f>
        <v>4.7999999999999996E-3</v>
      </c>
      <c r="N73" s="86">
        <f>VLOOKUP($A73,'Data shares'!$C:$FA,78)</f>
        <v>137295900</v>
      </c>
      <c r="O73" s="87">
        <f>VLOOKUP($A73,'Data shares'!$C:$FA,81)</f>
        <v>-5.1999999999999998E-3</v>
      </c>
    </row>
    <row r="74" spans="1:15" x14ac:dyDescent="0.25">
      <c r="A74" s="100" t="str">
        <f>'Data Vlaue (Cr)'!C69</f>
        <v>GODREJCP</v>
      </c>
      <c r="B74" s="82">
        <f>VLOOKUP(A74,'Data shares'!$C$2:$CV$213,98,0)</f>
        <v>12788000</v>
      </c>
      <c r="C74" s="82">
        <f>VLOOKUP(A74,'Data shares'!$C$2:$CX$213,100,0)</f>
        <v>1152000</v>
      </c>
      <c r="D74" s="141">
        <f>VLOOKUP(A74,'Data shares'!$C$2:$CY$536,101,0)</f>
        <v>9.9000000000000005E-2</v>
      </c>
      <c r="E74" s="86">
        <f>VLOOKUP($A74,'Data shares'!$C:$FA,74)</f>
        <v>9260000</v>
      </c>
      <c r="F74" s="86">
        <f>VLOOKUP($A74,'Data shares'!$C:$FA,76)</f>
        <v>550500</v>
      </c>
      <c r="G74" s="87">
        <f>VLOOKUP(A74,'Data shares'!$C$2:$CA$213,77,0)</f>
        <v>6.3200000000000006E-2</v>
      </c>
      <c r="H74" s="86">
        <f>VLOOKUP($A74,'Data shares'!$C:$FA,90)</f>
        <v>1887500</v>
      </c>
      <c r="I74" s="86">
        <f>VLOOKUP($A74,'Data shares'!$C:$FA,92)</f>
        <v>333000</v>
      </c>
      <c r="J74" s="87">
        <f>VLOOKUP($A74,'Data shares'!$C:$FA,93)</f>
        <v>0.2142</v>
      </c>
      <c r="K74" s="86">
        <f>VLOOKUP($A74,'Data shares'!$C:$FA,94)</f>
        <v>1640500</v>
      </c>
      <c r="L74" s="86">
        <f>VLOOKUP($A74,'Data shares'!$C:$FA,96)</f>
        <v>268500</v>
      </c>
      <c r="M74" s="87">
        <f>VLOOKUP($A74,'Data shares'!$C:$FA,97)</f>
        <v>0.19570000000000001</v>
      </c>
      <c r="N74" s="86">
        <f>VLOOKUP($A74,'Data shares'!$C:$FA,78)</f>
        <v>9182500</v>
      </c>
      <c r="O74" s="87">
        <f>VLOOKUP($A74,'Data shares'!$C:$FA,81)</f>
        <v>6.0699999999999997E-2</v>
      </c>
    </row>
    <row r="75" spans="1:15" x14ac:dyDescent="0.25">
      <c r="A75" s="100" t="str">
        <f>'Data Vlaue (Cr)'!C70</f>
        <v>GODREJPROP</v>
      </c>
      <c r="B75" s="82">
        <f>VLOOKUP(A75,'Data shares'!$C$2:$CV$213,98,0)</f>
        <v>13504150</v>
      </c>
      <c r="C75" s="82">
        <f>VLOOKUP(A75,'Data shares'!$C$2:$CX$213,100,0)</f>
        <v>157575</v>
      </c>
      <c r="D75" s="141">
        <f>VLOOKUP(A75,'Data shares'!$C$2:$CY$536,101,0)</f>
        <v>1.18E-2</v>
      </c>
      <c r="E75" s="86">
        <f>VLOOKUP($A75,'Data shares'!$C:$FA,74)</f>
        <v>8650675</v>
      </c>
      <c r="F75" s="86">
        <f>VLOOKUP($A75,'Data shares'!$C:$FA,76)</f>
        <v>160600</v>
      </c>
      <c r="G75" s="87">
        <f>VLOOKUP(A75,'Data shares'!$C$2:$CA$213,77,0)</f>
        <v>1.89E-2</v>
      </c>
      <c r="H75" s="86">
        <f>VLOOKUP($A75,'Data shares'!$C:$FA,90)</f>
        <v>2815725</v>
      </c>
      <c r="I75" s="86">
        <f>VLOOKUP($A75,'Data shares'!$C:$FA,92)</f>
        <v>1375</v>
      </c>
      <c r="J75" s="87">
        <f>VLOOKUP($A75,'Data shares'!$C:$FA,93)</f>
        <v>5.0000000000000001E-4</v>
      </c>
      <c r="K75" s="86">
        <f>VLOOKUP($A75,'Data shares'!$C:$FA,94)</f>
        <v>2037750</v>
      </c>
      <c r="L75" s="86">
        <f>VLOOKUP($A75,'Data shares'!$C:$FA,96)</f>
        <v>-4400</v>
      </c>
      <c r="M75" s="87">
        <f>VLOOKUP($A75,'Data shares'!$C:$FA,97)</f>
        <v>-2.2000000000000001E-3</v>
      </c>
      <c r="N75" s="86">
        <f>VLOOKUP($A75,'Data shares'!$C:$FA,78)</f>
        <v>8396300</v>
      </c>
      <c r="O75" s="87">
        <f>VLOOKUP($A75,'Data shares'!$C:$FA,81)</f>
        <v>1.6E-2</v>
      </c>
    </row>
    <row r="76" spans="1:15" x14ac:dyDescent="0.25">
      <c r="A76" s="100" t="str">
        <f>'Data Vlaue (Cr)'!C71</f>
        <v>GRASIM</v>
      </c>
      <c r="B76" s="82">
        <f>VLOOKUP(A76,'Data shares'!$C$2:$CV$213,98,0)</f>
        <v>18159250</v>
      </c>
      <c r="C76" s="82">
        <f>VLOOKUP(A76,'Data shares'!$C$2:$CX$213,100,0)</f>
        <v>154500</v>
      </c>
      <c r="D76" s="141">
        <f>VLOOKUP(A76,'Data shares'!$C$2:$CY$536,101,0)</f>
        <v>8.6E-3</v>
      </c>
      <c r="E76" s="86">
        <f>VLOOKUP($A76,'Data shares'!$C:$FA,74)</f>
        <v>15053750</v>
      </c>
      <c r="F76" s="86">
        <f>VLOOKUP($A76,'Data shares'!$C:$FA,76)</f>
        <v>64750</v>
      </c>
      <c r="G76" s="87">
        <f>VLOOKUP(A76,'Data shares'!$C$2:$CA$213,77,0)</f>
        <v>4.3E-3</v>
      </c>
      <c r="H76" s="86">
        <f>VLOOKUP($A76,'Data shares'!$C:$FA,90)</f>
        <v>1975500</v>
      </c>
      <c r="I76" s="86">
        <f>VLOOKUP($A76,'Data shares'!$C:$FA,92)</f>
        <v>87500</v>
      </c>
      <c r="J76" s="87">
        <f>VLOOKUP($A76,'Data shares'!$C:$FA,93)</f>
        <v>4.6300000000000001E-2</v>
      </c>
      <c r="K76" s="86">
        <f>VLOOKUP($A76,'Data shares'!$C:$FA,94)</f>
        <v>1130000</v>
      </c>
      <c r="L76" s="86">
        <f>VLOOKUP($A76,'Data shares'!$C:$FA,96)</f>
        <v>2250</v>
      </c>
      <c r="M76" s="87">
        <f>VLOOKUP($A76,'Data shares'!$C:$FA,97)</f>
        <v>2E-3</v>
      </c>
      <c r="N76" s="86">
        <f>VLOOKUP($A76,'Data shares'!$C:$FA,78)</f>
        <v>14845500</v>
      </c>
      <c r="O76" s="87">
        <f>VLOOKUP($A76,'Data shares'!$C:$FA,81)</f>
        <v>-4.1000000000000003E-3</v>
      </c>
    </row>
    <row r="77" spans="1:15" x14ac:dyDescent="0.25">
      <c r="A77" s="100" t="str">
        <f>'Data Vlaue (Cr)'!C72</f>
        <v>HAL</v>
      </c>
      <c r="B77" s="82">
        <f>VLOOKUP(A77,'Data shares'!$C$2:$CV$213,98,0)</f>
        <v>19661100</v>
      </c>
      <c r="C77" s="82">
        <f>VLOOKUP(A77,'Data shares'!$C$2:$CX$213,100,0)</f>
        <v>-263550</v>
      </c>
      <c r="D77" s="141">
        <f>VLOOKUP(A77,'Data shares'!$C$2:$CY$536,101,0)</f>
        <v>-1.32E-2</v>
      </c>
      <c r="E77" s="86">
        <f>VLOOKUP($A77,'Data shares'!$C:$FA,74)</f>
        <v>10398300</v>
      </c>
      <c r="F77" s="86">
        <f>VLOOKUP($A77,'Data shares'!$C:$FA,76)</f>
        <v>-161250</v>
      </c>
      <c r="G77" s="87">
        <f>VLOOKUP(A77,'Data shares'!$C$2:$CA$213,77,0)</f>
        <v>-1.5299999999999999E-2</v>
      </c>
      <c r="H77" s="86">
        <f>VLOOKUP($A77,'Data shares'!$C:$FA,90)</f>
        <v>5596950</v>
      </c>
      <c r="I77" s="86">
        <f>VLOOKUP($A77,'Data shares'!$C:$FA,92)</f>
        <v>-36300</v>
      </c>
      <c r="J77" s="87">
        <f>VLOOKUP($A77,'Data shares'!$C:$FA,93)</f>
        <v>-6.4000000000000003E-3</v>
      </c>
      <c r="K77" s="86">
        <f>VLOOKUP($A77,'Data shares'!$C:$FA,94)</f>
        <v>3665850</v>
      </c>
      <c r="L77" s="86">
        <f>VLOOKUP($A77,'Data shares'!$C:$FA,96)</f>
        <v>-66000</v>
      </c>
      <c r="M77" s="87">
        <f>VLOOKUP($A77,'Data shares'!$C:$FA,97)</f>
        <v>-1.77E-2</v>
      </c>
      <c r="N77" s="86">
        <f>VLOOKUP($A77,'Data shares'!$C:$FA,78)</f>
        <v>9562350</v>
      </c>
      <c r="O77" s="87">
        <f>VLOOKUP($A77,'Data shares'!$C:$FA,81)</f>
        <v>-1.66E-2</v>
      </c>
    </row>
    <row r="78" spans="1:15" x14ac:dyDescent="0.25">
      <c r="A78" s="100" t="str">
        <f>'Data Vlaue (Cr)'!C73</f>
        <v>HAVELLS</v>
      </c>
      <c r="B78" s="82">
        <f>VLOOKUP(A78,'Data shares'!$C$2:$CV$213,98,0)</f>
        <v>13604500</v>
      </c>
      <c r="C78" s="82">
        <f>VLOOKUP(A78,'Data shares'!$C$2:$CX$213,100,0)</f>
        <v>-205000</v>
      </c>
      <c r="D78" s="141">
        <f>VLOOKUP(A78,'Data shares'!$C$2:$CY$536,101,0)</f>
        <v>-1.4800000000000001E-2</v>
      </c>
      <c r="E78" s="86">
        <f>VLOOKUP($A78,'Data shares'!$C:$FA,74)</f>
        <v>9068500</v>
      </c>
      <c r="F78" s="86">
        <f>VLOOKUP($A78,'Data shares'!$C:$FA,76)</f>
        <v>-148500</v>
      </c>
      <c r="G78" s="87">
        <f>VLOOKUP(A78,'Data shares'!$C$2:$CA$213,77,0)</f>
        <v>-1.61E-2</v>
      </c>
      <c r="H78" s="86">
        <f>VLOOKUP($A78,'Data shares'!$C:$FA,90)</f>
        <v>2593000</v>
      </c>
      <c r="I78" s="86">
        <f>VLOOKUP($A78,'Data shares'!$C:$FA,92)</f>
        <v>91000</v>
      </c>
      <c r="J78" s="87">
        <f>VLOOKUP($A78,'Data shares'!$C:$FA,93)</f>
        <v>3.6400000000000002E-2</v>
      </c>
      <c r="K78" s="86">
        <f>VLOOKUP($A78,'Data shares'!$C:$FA,94)</f>
        <v>1943000</v>
      </c>
      <c r="L78" s="86">
        <f>VLOOKUP($A78,'Data shares'!$C:$FA,96)</f>
        <v>-147500</v>
      </c>
      <c r="M78" s="87">
        <f>VLOOKUP($A78,'Data shares'!$C:$FA,97)</f>
        <v>-7.0599999999999996E-2</v>
      </c>
      <c r="N78" s="86">
        <f>VLOOKUP($A78,'Data shares'!$C:$FA,78)</f>
        <v>8902500</v>
      </c>
      <c r="O78" s="87">
        <f>VLOOKUP($A78,'Data shares'!$C:$FA,81)</f>
        <v>-1.6799999999999999E-2</v>
      </c>
    </row>
    <row r="79" spans="1:15" x14ac:dyDescent="0.25">
      <c r="A79" s="100" t="str">
        <f>'Data Vlaue (Cr)'!C74</f>
        <v>HCLTECH</v>
      </c>
      <c r="B79" s="82">
        <f>VLOOKUP(A79,'Data shares'!$C$2:$CV$213,98,0)</f>
        <v>38261300</v>
      </c>
      <c r="C79" s="82">
        <f>VLOOKUP(A79,'Data shares'!$C$2:$CX$213,100,0)</f>
        <v>1510250</v>
      </c>
      <c r="D79" s="141">
        <f>VLOOKUP(A79,'Data shares'!$C$2:$CY$536,101,0)</f>
        <v>4.1099999999999998E-2</v>
      </c>
      <c r="E79" s="86">
        <f>VLOOKUP($A79,'Data shares'!$C:$FA,74)</f>
        <v>28075250</v>
      </c>
      <c r="F79" s="86">
        <f>VLOOKUP($A79,'Data shares'!$C:$FA,76)</f>
        <v>872900</v>
      </c>
      <c r="G79" s="87">
        <f>VLOOKUP(A79,'Data shares'!$C$2:$CA$213,77,0)</f>
        <v>3.2099999999999997E-2</v>
      </c>
      <c r="H79" s="86">
        <f>VLOOKUP($A79,'Data shares'!$C:$FA,90)</f>
        <v>6809250</v>
      </c>
      <c r="I79" s="86">
        <f>VLOOKUP($A79,'Data shares'!$C:$FA,92)</f>
        <v>656950</v>
      </c>
      <c r="J79" s="87">
        <f>VLOOKUP($A79,'Data shares'!$C:$FA,93)</f>
        <v>0.10680000000000001</v>
      </c>
      <c r="K79" s="86">
        <f>VLOOKUP($A79,'Data shares'!$C:$FA,94)</f>
        <v>3376800</v>
      </c>
      <c r="L79" s="86">
        <f>VLOOKUP($A79,'Data shares'!$C:$FA,96)</f>
        <v>-19600</v>
      </c>
      <c r="M79" s="87">
        <f>VLOOKUP($A79,'Data shares'!$C:$FA,97)</f>
        <v>-5.7999999999999996E-3</v>
      </c>
      <c r="N79" s="86">
        <f>VLOOKUP($A79,'Data shares'!$C:$FA,78)</f>
        <v>27395900</v>
      </c>
      <c r="O79" s="87">
        <f>VLOOKUP($A79,'Data shares'!$C:$FA,81)</f>
        <v>3.04E-2</v>
      </c>
    </row>
    <row r="80" spans="1:15" x14ac:dyDescent="0.25">
      <c r="A80" s="100" t="str">
        <f>'Data Vlaue (Cr)'!C75</f>
        <v>HDFCAMC</v>
      </c>
      <c r="B80" s="82">
        <f>VLOOKUP(A80,'Data shares'!$C$2:$CV$213,98,0)</f>
        <v>8312700</v>
      </c>
      <c r="C80" s="82">
        <f>VLOOKUP(A80,'Data shares'!$C$2:$CX$213,100,0)</f>
        <v>139500</v>
      </c>
      <c r="D80" s="141">
        <f>VLOOKUP(A80,'Data shares'!$C$2:$CY$536,101,0)</f>
        <v>1.7100000000000001E-2</v>
      </c>
      <c r="E80" s="86">
        <f>VLOOKUP($A80,'Data shares'!$C:$FA,74)</f>
        <v>5658000</v>
      </c>
      <c r="F80" s="86">
        <f>VLOOKUP($A80,'Data shares'!$C:$FA,76)</f>
        <v>300</v>
      </c>
      <c r="G80" s="87">
        <f>VLOOKUP(A80,'Data shares'!$C$2:$CA$213,77,0)</f>
        <v>1E-4</v>
      </c>
      <c r="H80" s="86">
        <f>VLOOKUP($A80,'Data shares'!$C:$FA,90)</f>
        <v>1617300</v>
      </c>
      <c r="I80" s="86">
        <f>VLOOKUP($A80,'Data shares'!$C:$FA,92)</f>
        <v>123600</v>
      </c>
      <c r="J80" s="87">
        <f>VLOOKUP($A80,'Data shares'!$C:$FA,93)</f>
        <v>8.2699999999999996E-2</v>
      </c>
      <c r="K80" s="86">
        <f>VLOOKUP($A80,'Data shares'!$C:$FA,94)</f>
        <v>1037400</v>
      </c>
      <c r="L80" s="86">
        <f>VLOOKUP($A80,'Data shares'!$C:$FA,96)</f>
        <v>15600</v>
      </c>
      <c r="M80" s="87">
        <f>VLOOKUP($A80,'Data shares'!$C:$FA,97)</f>
        <v>1.5299999999999999E-2</v>
      </c>
      <c r="N80" s="86">
        <f>VLOOKUP($A80,'Data shares'!$C:$FA,78)</f>
        <v>5539500</v>
      </c>
      <c r="O80" s="87">
        <f>VLOOKUP($A80,'Data shares'!$C:$FA,81)</f>
        <v>-1.6000000000000001E-3</v>
      </c>
    </row>
    <row r="81" spans="1:15" x14ac:dyDescent="0.25">
      <c r="A81" s="100" t="str">
        <f>'Data Vlaue (Cr)'!C76</f>
        <v>HDFCBANK</v>
      </c>
      <c r="B81" s="82">
        <f>VLOOKUP(A81,'Data shares'!$C$2:$CV$213,98,0)</f>
        <v>458392000</v>
      </c>
      <c r="C81" s="82">
        <f>VLOOKUP(A81,'Data shares'!$C$2:$CX$213,100,0)</f>
        <v>-4050750</v>
      </c>
      <c r="D81" s="141">
        <f>VLOOKUP(A81,'Data shares'!$C$2:$CY$536,101,0)</f>
        <v>-8.8000000000000005E-3</v>
      </c>
      <c r="E81" s="86">
        <f>VLOOKUP($A81,'Data shares'!$C:$FA,74)</f>
        <v>325217200</v>
      </c>
      <c r="F81" s="86">
        <f>VLOOKUP($A81,'Data shares'!$C:$FA,76)</f>
        <v>-6763350</v>
      </c>
      <c r="G81" s="87">
        <f>VLOOKUP(A81,'Data shares'!$C$2:$CA$213,77,0)</f>
        <v>-2.0400000000000001E-2</v>
      </c>
      <c r="H81" s="86">
        <f>VLOOKUP($A81,'Data shares'!$C:$FA,90)</f>
        <v>87743150</v>
      </c>
      <c r="I81" s="86">
        <f>VLOOKUP($A81,'Data shares'!$C:$FA,92)</f>
        <v>1328800</v>
      </c>
      <c r="J81" s="87">
        <f>VLOOKUP($A81,'Data shares'!$C:$FA,93)</f>
        <v>1.54E-2</v>
      </c>
      <c r="K81" s="86">
        <f>VLOOKUP($A81,'Data shares'!$C:$FA,94)</f>
        <v>45431650</v>
      </c>
      <c r="L81" s="86">
        <f>VLOOKUP($A81,'Data shares'!$C:$FA,96)</f>
        <v>1383800</v>
      </c>
      <c r="M81" s="87">
        <f>VLOOKUP($A81,'Data shares'!$C:$FA,97)</f>
        <v>3.1399999999999997E-2</v>
      </c>
      <c r="N81" s="86">
        <f>VLOOKUP($A81,'Data shares'!$C:$FA,78)</f>
        <v>283992500</v>
      </c>
      <c r="O81" s="87">
        <f>VLOOKUP($A81,'Data shares'!$C:$FA,81)</f>
        <v>-2.93E-2</v>
      </c>
    </row>
    <row r="82" spans="1:15" x14ac:dyDescent="0.25">
      <c r="A82" s="100" t="str">
        <f>'Data Vlaue (Cr)'!C77</f>
        <v>HDFCLIFE</v>
      </c>
      <c r="B82" s="82">
        <f>VLOOKUP(A82,'Data shares'!$C$2:$CV$213,98,0)</f>
        <v>57720300</v>
      </c>
      <c r="C82" s="82">
        <f>VLOOKUP(A82,'Data shares'!$C$2:$CX$213,100,0)</f>
        <v>-96800</v>
      </c>
      <c r="D82" s="141">
        <f>VLOOKUP(A82,'Data shares'!$C$2:$CY$536,101,0)</f>
        <v>-1.6999999999999999E-3</v>
      </c>
      <c r="E82" s="86">
        <f>VLOOKUP($A82,'Data shares'!$C:$FA,74)</f>
        <v>37788300</v>
      </c>
      <c r="F82" s="86">
        <f>VLOOKUP($A82,'Data shares'!$C:$FA,76)</f>
        <v>-38500</v>
      </c>
      <c r="G82" s="87">
        <f>VLOOKUP(A82,'Data shares'!$C$2:$CA$213,77,0)</f>
        <v>-1E-3</v>
      </c>
      <c r="H82" s="86">
        <f>VLOOKUP($A82,'Data shares'!$C:$FA,90)</f>
        <v>14316500</v>
      </c>
      <c r="I82" s="86">
        <f>VLOOKUP($A82,'Data shares'!$C:$FA,92)</f>
        <v>-292600</v>
      </c>
      <c r="J82" s="87">
        <f>VLOOKUP($A82,'Data shares'!$C:$FA,93)</f>
        <v>-0.02</v>
      </c>
      <c r="K82" s="86">
        <f>VLOOKUP($A82,'Data shares'!$C:$FA,94)</f>
        <v>5615500</v>
      </c>
      <c r="L82" s="86">
        <f>VLOOKUP($A82,'Data shares'!$C:$FA,96)</f>
        <v>234300</v>
      </c>
      <c r="M82" s="87">
        <f>VLOOKUP($A82,'Data shares'!$C:$FA,97)</f>
        <v>4.3499999999999997E-2</v>
      </c>
      <c r="N82" s="86">
        <f>VLOOKUP($A82,'Data shares'!$C:$FA,78)</f>
        <v>36470500</v>
      </c>
      <c r="O82" s="87">
        <f>VLOOKUP($A82,'Data shares'!$C:$FA,81)</f>
        <v>-3.5000000000000001E-3</v>
      </c>
    </row>
    <row r="83" spans="1:15" x14ac:dyDescent="0.25">
      <c r="A83" s="100" t="str">
        <f>'Data Vlaue (Cr)'!C78</f>
        <v>HEROMOTOCO</v>
      </c>
      <c r="B83" s="82">
        <f>VLOOKUP(A83,'Data shares'!$C$2:$CV$213,98,0)</f>
        <v>6841650</v>
      </c>
      <c r="C83" s="82">
        <f>VLOOKUP(A83,'Data shares'!$C$2:$CX$213,100,0)</f>
        <v>262500</v>
      </c>
      <c r="D83" s="141">
        <f>VLOOKUP(A83,'Data shares'!$C$2:$CY$536,101,0)</f>
        <v>3.9899999999999998E-2</v>
      </c>
      <c r="E83" s="86">
        <f>VLOOKUP($A83,'Data shares'!$C:$FA,74)</f>
        <v>3612450</v>
      </c>
      <c r="F83" s="86">
        <f>VLOOKUP($A83,'Data shares'!$C:$FA,76)</f>
        <v>-1950</v>
      </c>
      <c r="G83" s="87">
        <f>VLOOKUP(A83,'Data shares'!$C$2:$CA$213,77,0)</f>
        <v>-5.0000000000000001E-4</v>
      </c>
      <c r="H83" s="86">
        <f>VLOOKUP($A83,'Data shares'!$C:$FA,90)</f>
        <v>1940850</v>
      </c>
      <c r="I83" s="86">
        <f>VLOOKUP($A83,'Data shares'!$C:$FA,92)</f>
        <v>212850</v>
      </c>
      <c r="J83" s="87">
        <f>VLOOKUP($A83,'Data shares'!$C:$FA,93)</f>
        <v>0.1232</v>
      </c>
      <c r="K83" s="86">
        <f>VLOOKUP($A83,'Data shares'!$C:$FA,94)</f>
        <v>1288350</v>
      </c>
      <c r="L83" s="86">
        <f>VLOOKUP($A83,'Data shares'!$C:$FA,96)</f>
        <v>51600</v>
      </c>
      <c r="M83" s="87">
        <f>VLOOKUP($A83,'Data shares'!$C:$FA,97)</f>
        <v>4.1700000000000001E-2</v>
      </c>
      <c r="N83" s="86">
        <f>VLOOKUP($A83,'Data shares'!$C:$FA,78)</f>
        <v>3532050</v>
      </c>
      <c r="O83" s="87">
        <f>VLOOKUP($A83,'Data shares'!$C:$FA,81)</f>
        <v>-2.8E-3</v>
      </c>
    </row>
    <row r="84" spans="1:15" x14ac:dyDescent="0.25">
      <c r="A84" s="100" t="str">
        <f>'Data Vlaue (Cr)'!C79</f>
        <v>HINDALCO</v>
      </c>
      <c r="B84" s="82">
        <f>VLOOKUP(A84,'Data shares'!$C$2:$CV$213,98,0)</f>
        <v>65163000</v>
      </c>
      <c r="C84" s="82">
        <f>VLOOKUP(A84,'Data shares'!$C$2:$CX$213,100,0)</f>
        <v>-214900</v>
      </c>
      <c r="D84" s="141">
        <f>VLOOKUP(A84,'Data shares'!$C$2:$CY$536,101,0)</f>
        <v>-3.3E-3</v>
      </c>
      <c r="E84" s="86">
        <f>VLOOKUP($A84,'Data shares'!$C:$FA,74)</f>
        <v>45050600</v>
      </c>
      <c r="F84" s="86">
        <f>VLOOKUP($A84,'Data shares'!$C:$FA,76)</f>
        <v>378000</v>
      </c>
      <c r="G84" s="87">
        <f>VLOOKUP(A84,'Data shares'!$C$2:$CA$213,77,0)</f>
        <v>8.5000000000000006E-3</v>
      </c>
      <c r="H84" s="86">
        <f>VLOOKUP($A84,'Data shares'!$C:$FA,90)</f>
        <v>10581200</v>
      </c>
      <c r="I84" s="86">
        <f>VLOOKUP($A84,'Data shares'!$C:$FA,92)</f>
        <v>-506100</v>
      </c>
      <c r="J84" s="87">
        <f>VLOOKUP($A84,'Data shares'!$C:$FA,93)</f>
        <v>-4.5600000000000002E-2</v>
      </c>
      <c r="K84" s="86">
        <f>VLOOKUP($A84,'Data shares'!$C:$FA,94)</f>
        <v>9531200</v>
      </c>
      <c r="L84" s="86">
        <f>VLOOKUP($A84,'Data shares'!$C:$FA,96)</f>
        <v>-86800</v>
      </c>
      <c r="M84" s="87">
        <f>VLOOKUP($A84,'Data shares'!$C:$FA,97)</f>
        <v>-8.9999999999999993E-3</v>
      </c>
      <c r="N84" s="86">
        <f>VLOOKUP($A84,'Data shares'!$C:$FA,78)</f>
        <v>37509500</v>
      </c>
      <c r="O84" s="87">
        <f>VLOOKUP($A84,'Data shares'!$C:$FA,81)</f>
        <v>7.4999999999999997E-3</v>
      </c>
    </row>
    <row r="85" spans="1:15" x14ac:dyDescent="0.25">
      <c r="A85" s="100" t="str">
        <f>'Data Vlaue (Cr)'!C80</f>
        <v>HINDPETRO</v>
      </c>
      <c r="B85" s="82">
        <f>VLOOKUP(A85,'Data shares'!$C$2:$CV$213,98,0)</f>
        <v>90756450</v>
      </c>
      <c r="C85" s="82">
        <f>VLOOKUP(A85,'Data shares'!$C$2:$CX$213,100,0)</f>
        <v>4216050</v>
      </c>
      <c r="D85" s="141">
        <f>VLOOKUP(A85,'Data shares'!$C$2:$CY$536,101,0)</f>
        <v>4.87E-2</v>
      </c>
      <c r="E85" s="86">
        <f>VLOOKUP($A85,'Data shares'!$C:$FA,74)</f>
        <v>55574100</v>
      </c>
      <c r="F85" s="86">
        <f>VLOOKUP($A85,'Data shares'!$C:$FA,76)</f>
        <v>3776625</v>
      </c>
      <c r="G85" s="87">
        <f>VLOOKUP(A85,'Data shares'!$C$2:$CA$213,77,0)</f>
        <v>7.2900000000000006E-2</v>
      </c>
      <c r="H85" s="86">
        <f>VLOOKUP($A85,'Data shares'!$C:$FA,90)</f>
        <v>18239175</v>
      </c>
      <c r="I85" s="86">
        <f>VLOOKUP($A85,'Data shares'!$C:$FA,92)</f>
        <v>449550</v>
      </c>
      <c r="J85" s="87">
        <f>VLOOKUP($A85,'Data shares'!$C:$FA,93)</f>
        <v>2.53E-2</v>
      </c>
      <c r="K85" s="86">
        <f>VLOOKUP($A85,'Data shares'!$C:$FA,94)</f>
        <v>16943175</v>
      </c>
      <c r="L85" s="86">
        <f>VLOOKUP($A85,'Data shares'!$C:$FA,96)</f>
        <v>-10125</v>
      </c>
      <c r="M85" s="87">
        <f>VLOOKUP($A85,'Data shares'!$C:$FA,97)</f>
        <v>-5.9999999999999995E-4</v>
      </c>
      <c r="N85" s="86">
        <f>VLOOKUP($A85,'Data shares'!$C:$FA,78)</f>
        <v>47466000</v>
      </c>
      <c r="O85" s="87">
        <f>VLOOKUP($A85,'Data shares'!$C:$FA,81)</f>
        <v>6.9199999999999998E-2</v>
      </c>
    </row>
    <row r="86" spans="1:15" x14ac:dyDescent="0.25">
      <c r="A86" s="100" t="str">
        <f>'Data Vlaue (Cr)'!C81</f>
        <v>HINDUNILVR</v>
      </c>
      <c r="B86" s="82">
        <f>VLOOKUP(A86,'Data shares'!$C$2:$CV$213,98,0)</f>
        <v>26499000</v>
      </c>
      <c r="C86" s="82">
        <f>VLOOKUP(A86,'Data shares'!$C$2:$CX$213,100,0)</f>
        <v>1160400</v>
      </c>
      <c r="D86" s="141">
        <f>VLOOKUP(A86,'Data shares'!$C$2:$CY$536,101,0)</f>
        <v>4.58E-2</v>
      </c>
      <c r="E86" s="86">
        <f>VLOOKUP($A86,'Data shares'!$C:$FA,74)</f>
        <v>16306800</v>
      </c>
      <c r="F86" s="86">
        <f>VLOOKUP($A86,'Data shares'!$C:$FA,76)</f>
        <v>5400</v>
      </c>
      <c r="G86" s="87">
        <f>VLOOKUP(A86,'Data shares'!$C$2:$CA$213,77,0)</f>
        <v>2.9999999999999997E-4</v>
      </c>
      <c r="H86" s="86">
        <f>VLOOKUP($A86,'Data shares'!$C:$FA,90)</f>
        <v>6921900</v>
      </c>
      <c r="I86" s="86">
        <f>VLOOKUP($A86,'Data shares'!$C:$FA,92)</f>
        <v>988200</v>
      </c>
      <c r="J86" s="87">
        <f>VLOOKUP($A86,'Data shares'!$C:$FA,93)</f>
        <v>0.16650000000000001</v>
      </c>
      <c r="K86" s="86">
        <f>VLOOKUP($A86,'Data shares'!$C:$FA,94)</f>
        <v>3270300</v>
      </c>
      <c r="L86" s="86">
        <f>VLOOKUP($A86,'Data shares'!$C:$FA,96)</f>
        <v>166800</v>
      </c>
      <c r="M86" s="87">
        <f>VLOOKUP($A86,'Data shares'!$C:$FA,97)</f>
        <v>5.3699999999999998E-2</v>
      </c>
      <c r="N86" s="86">
        <f>VLOOKUP($A86,'Data shares'!$C:$FA,78)</f>
        <v>15734400</v>
      </c>
      <c r="O86" s="87">
        <f>VLOOKUP($A86,'Data shares'!$C:$FA,81)</f>
        <v>-3.8E-3</v>
      </c>
    </row>
    <row r="87" spans="1:15" x14ac:dyDescent="0.25">
      <c r="A87" s="100" t="str">
        <f>'Data Vlaue (Cr)'!C82</f>
        <v>HINDZINC</v>
      </c>
      <c r="B87" s="82">
        <f>VLOOKUP(A87,'Data shares'!$C$2:$CV$213,98,0)</f>
        <v>80048850</v>
      </c>
      <c r="C87" s="82">
        <f>VLOOKUP(A87,'Data shares'!$C$2:$CX$213,100,0)</f>
        <v>-22050</v>
      </c>
      <c r="D87" s="141">
        <f>VLOOKUP(A87,'Data shares'!$C$2:$CY$536,101,0)</f>
        <v>-2.9999999999999997E-4</v>
      </c>
      <c r="E87" s="86">
        <f>VLOOKUP($A87,'Data shares'!$C:$FA,74)</f>
        <v>36783075</v>
      </c>
      <c r="F87" s="86">
        <f>VLOOKUP($A87,'Data shares'!$C:$FA,76)</f>
        <v>15925</v>
      </c>
      <c r="G87" s="87">
        <f>VLOOKUP(A87,'Data shares'!$C$2:$CA$213,77,0)</f>
        <v>4.0000000000000002E-4</v>
      </c>
      <c r="H87" s="86">
        <f>VLOOKUP($A87,'Data shares'!$C:$FA,90)</f>
        <v>27551475</v>
      </c>
      <c r="I87" s="86">
        <f>VLOOKUP($A87,'Data shares'!$C:$FA,92)</f>
        <v>96775</v>
      </c>
      <c r="J87" s="87">
        <f>VLOOKUP($A87,'Data shares'!$C:$FA,93)</f>
        <v>3.5000000000000001E-3</v>
      </c>
      <c r="K87" s="86">
        <f>VLOOKUP($A87,'Data shares'!$C:$FA,94)</f>
        <v>15714300</v>
      </c>
      <c r="L87" s="86">
        <f>VLOOKUP($A87,'Data shares'!$C:$FA,96)</f>
        <v>-134750</v>
      </c>
      <c r="M87" s="87">
        <f>VLOOKUP($A87,'Data shares'!$C:$FA,97)</f>
        <v>-8.5000000000000006E-3</v>
      </c>
      <c r="N87" s="86">
        <f>VLOOKUP($A87,'Data shares'!$C:$FA,78)</f>
        <v>33306525</v>
      </c>
      <c r="O87" s="87">
        <f>VLOOKUP($A87,'Data shares'!$C:$FA,81)</f>
        <v>-3.3E-3</v>
      </c>
    </row>
    <row r="88" spans="1:15" x14ac:dyDescent="0.25">
      <c r="A88" s="100" t="str">
        <f>'Data Vlaue (Cr)'!C83</f>
        <v>HUDCO</v>
      </c>
      <c r="B88" s="82">
        <f>VLOOKUP(A88,'Data shares'!$C$2:$CV$213,98,0)</f>
        <v>73648500</v>
      </c>
      <c r="C88" s="82">
        <f>VLOOKUP(A88,'Data shares'!$C$2:$CX$213,100,0)</f>
        <v>810300</v>
      </c>
      <c r="D88" s="141">
        <f>VLOOKUP(A88,'Data shares'!$C$2:$CY$536,101,0)</f>
        <v>1.11E-2</v>
      </c>
      <c r="E88" s="86">
        <f>VLOOKUP($A88,'Data shares'!$C:$FA,74)</f>
        <v>39643650</v>
      </c>
      <c r="F88" s="86">
        <f>VLOOKUP($A88,'Data shares'!$C:$FA,76)</f>
        <v>-296925</v>
      </c>
      <c r="G88" s="87">
        <f>VLOOKUP(A88,'Data shares'!$C$2:$CA$213,77,0)</f>
        <v>-7.4000000000000003E-3</v>
      </c>
      <c r="H88" s="86">
        <f>VLOOKUP($A88,'Data shares'!$C:$FA,90)</f>
        <v>20820825</v>
      </c>
      <c r="I88" s="86">
        <f>VLOOKUP($A88,'Data shares'!$C:$FA,92)</f>
        <v>1118325</v>
      </c>
      <c r="J88" s="87">
        <f>VLOOKUP($A88,'Data shares'!$C:$FA,93)</f>
        <v>5.6800000000000003E-2</v>
      </c>
      <c r="K88" s="86">
        <f>VLOOKUP($A88,'Data shares'!$C:$FA,94)</f>
        <v>13184025</v>
      </c>
      <c r="L88" s="86">
        <f>VLOOKUP($A88,'Data shares'!$C:$FA,96)</f>
        <v>-11100</v>
      </c>
      <c r="M88" s="87">
        <f>VLOOKUP($A88,'Data shares'!$C:$FA,97)</f>
        <v>-8.0000000000000004E-4</v>
      </c>
      <c r="N88" s="86">
        <f>VLOOKUP($A88,'Data shares'!$C:$FA,78)</f>
        <v>38050800</v>
      </c>
      <c r="O88" s="87">
        <f>VLOOKUP($A88,'Data shares'!$C:$FA,81)</f>
        <v>-9.1000000000000004E-3</v>
      </c>
    </row>
    <row r="89" spans="1:15" x14ac:dyDescent="0.25">
      <c r="A89" s="100" t="str">
        <f>'Data Vlaue (Cr)'!C84</f>
        <v>ICICIBANK</v>
      </c>
      <c r="B89" s="82">
        <f>VLOOKUP(A89,'Data shares'!$C$2:$CV$213,98,0)</f>
        <v>186146800</v>
      </c>
      <c r="C89" s="82">
        <f>VLOOKUP(A89,'Data shares'!$C$2:$CX$213,100,0)</f>
        <v>4428900</v>
      </c>
      <c r="D89" s="141">
        <f>VLOOKUP(A89,'Data shares'!$C$2:$CY$536,101,0)</f>
        <v>2.4400000000000002E-2</v>
      </c>
      <c r="E89" s="86">
        <f>VLOOKUP($A89,'Data shares'!$C:$FA,74)</f>
        <v>131178600</v>
      </c>
      <c r="F89" s="86">
        <f>VLOOKUP($A89,'Data shares'!$C:$FA,76)</f>
        <v>3332700</v>
      </c>
      <c r="G89" s="87">
        <f>VLOOKUP(A89,'Data shares'!$C$2:$CA$213,77,0)</f>
        <v>2.6100000000000002E-2</v>
      </c>
      <c r="H89" s="86">
        <f>VLOOKUP($A89,'Data shares'!$C:$FA,90)</f>
        <v>34589100</v>
      </c>
      <c r="I89" s="86">
        <f>VLOOKUP($A89,'Data shares'!$C:$FA,92)</f>
        <v>1179500</v>
      </c>
      <c r="J89" s="87">
        <f>VLOOKUP($A89,'Data shares'!$C:$FA,93)</f>
        <v>3.5299999999999998E-2</v>
      </c>
      <c r="K89" s="86">
        <f>VLOOKUP($A89,'Data shares'!$C:$FA,94)</f>
        <v>20379100</v>
      </c>
      <c r="L89" s="86">
        <f>VLOOKUP($A89,'Data shares'!$C:$FA,96)</f>
        <v>-83300</v>
      </c>
      <c r="M89" s="87">
        <f>VLOOKUP($A89,'Data shares'!$C:$FA,97)</f>
        <v>-4.1000000000000003E-3</v>
      </c>
      <c r="N89" s="86">
        <f>VLOOKUP($A89,'Data shares'!$C:$FA,78)</f>
        <v>120179500</v>
      </c>
      <c r="O89" s="87">
        <f>VLOOKUP($A89,'Data shares'!$C:$FA,81)</f>
        <v>2.2700000000000001E-2</v>
      </c>
    </row>
    <row r="90" spans="1:15" x14ac:dyDescent="0.25">
      <c r="A90" s="100" t="str">
        <f>'Data Vlaue (Cr)'!C85</f>
        <v>ICICIGI</v>
      </c>
      <c r="B90" s="82">
        <f>VLOOKUP(A90,'Data shares'!$C$2:$CV$213,98,0)</f>
        <v>6759675</v>
      </c>
      <c r="C90" s="82">
        <f>VLOOKUP(A90,'Data shares'!$C$2:$CX$213,100,0)</f>
        <v>217750</v>
      </c>
      <c r="D90" s="141">
        <f>VLOOKUP(A90,'Data shares'!$C$2:$CY$536,101,0)</f>
        <v>3.3300000000000003E-2</v>
      </c>
      <c r="E90" s="86">
        <f>VLOOKUP($A90,'Data shares'!$C:$FA,74)</f>
        <v>4821700</v>
      </c>
      <c r="F90" s="86">
        <f>VLOOKUP($A90,'Data shares'!$C:$FA,76)</f>
        <v>37050</v>
      </c>
      <c r="G90" s="87">
        <f>VLOOKUP(A90,'Data shares'!$C$2:$CA$213,77,0)</f>
        <v>7.7000000000000002E-3</v>
      </c>
      <c r="H90" s="86">
        <f>VLOOKUP($A90,'Data shares'!$C:$FA,90)</f>
        <v>1263275</v>
      </c>
      <c r="I90" s="86">
        <f>VLOOKUP($A90,'Data shares'!$C:$FA,92)</f>
        <v>185900</v>
      </c>
      <c r="J90" s="87">
        <f>VLOOKUP($A90,'Data shares'!$C:$FA,93)</f>
        <v>0.17249999999999999</v>
      </c>
      <c r="K90" s="86">
        <f>VLOOKUP($A90,'Data shares'!$C:$FA,94)</f>
        <v>674700</v>
      </c>
      <c r="L90" s="86">
        <f>VLOOKUP($A90,'Data shares'!$C:$FA,96)</f>
        <v>-5200</v>
      </c>
      <c r="M90" s="87">
        <f>VLOOKUP($A90,'Data shares'!$C:$FA,97)</f>
        <v>-7.6E-3</v>
      </c>
      <c r="N90" s="86">
        <f>VLOOKUP($A90,'Data shares'!$C:$FA,78)</f>
        <v>4801550</v>
      </c>
      <c r="O90" s="87">
        <f>VLOOKUP($A90,'Data shares'!$C:$FA,81)</f>
        <v>7.6E-3</v>
      </c>
    </row>
    <row r="91" spans="1:15" x14ac:dyDescent="0.25">
      <c r="A91" s="100" t="str">
        <f>'Data Vlaue (Cr)'!C86</f>
        <v>ICICIPRULI</v>
      </c>
      <c r="B91" s="82">
        <f>VLOOKUP(A91,'Data shares'!$C$2:$CV$213,98,0)</f>
        <v>22753150</v>
      </c>
      <c r="C91" s="82">
        <f>VLOOKUP(A91,'Data shares'!$C$2:$CX$213,100,0)</f>
        <v>162800</v>
      </c>
      <c r="D91" s="141">
        <f>VLOOKUP(A91,'Data shares'!$C$2:$CY$536,101,0)</f>
        <v>7.1999999999999998E-3</v>
      </c>
      <c r="E91" s="86">
        <f>VLOOKUP($A91,'Data shares'!$C:$FA,74)</f>
        <v>16909000</v>
      </c>
      <c r="F91" s="86">
        <f>VLOOKUP($A91,'Data shares'!$C:$FA,76)</f>
        <v>-62900</v>
      </c>
      <c r="G91" s="87">
        <f>VLOOKUP(A91,'Data shares'!$C$2:$CA$213,77,0)</f>
        <v>-3.7000000000000002E-3</v>
      </c>
      <c r="H91" s="86">
        <f>VLOOKUP($A91,'Data shares'!$C:$FA,90)</f>
        <v>3449325</v>
      </c>
      <c r="I91" s="86">
        <f>VLOOKUP($A91,'Data shares'!$C:$FA,92)</f>
        <v>207200</v>
      </c>
      <c r="J91" s="87">
        <f>VLOOKUP($A91,'Data shares'!$C:$FA,93)</f>
        <v>6.3899999999999998E-2</v>
      </c>
      <c r="K91" s="86">
        <f>VLOOKUP($A91,'Data shares'!$C:$FA,94)</f>
        <v>2394825</v>
      </c>
      <c r="L91" s="86">
        <f>VLOOKUP($A91,'Data shares'!$C:$FA,96)</f>
        <v>18500</v>
      </c>
      <c r="M91" s="87">
        <f>VLOOKUP($A91,'Data shares'!$C:$FA,97)</f>
        <v>7.7999999999999996E-3</v>
      </c>
      <c r="N91" s="86">
        <f>VLOOKUP($A91,'Data shares'!$C:$FA,78)</f>
        <v>16820200</v>
      </c>
      <c r="O91" s="87">
        <f>VLOOKUP($A91,'Data shares'!$C:$FA,81)</f>
        <v>-3.3999999999999998E-3</v>
      </c>
    </row>
    <row r="92" spans="1:15" x14ac:dyDescent="0.25">
      <c r="A92" s="100" t="str">
        <f>'Data Vlaue (Cr)'!C87</f>
        <v>IDEA</v>
      </c>
      <c r="B92" s="82">
        <f>VLOOKUP(A92,'Data shares'!$C$2:$CV$213,98,0)</f>
        <v>10123790475</v>
      </c>
      <c r="C92" s="82">
        <f>VLOOKUP(A92,'Data shares'!$C$2:$CX$213,100,0)</f>
        <v>49317750</v>
      </c>
      <c r="D92" s="141">
        <f>VLOOKUP(A92,'Data shares'!$C$2:$CY$536,101,0)</f>
        <v>4.8999999999999998E-3</v>
      </c>
      <c r="E92" s="86">
        <f>VLOOKUP($A92,'Data shares'!$C:$FA,74)</f>
        <v>7139423325</v>
      </c>
      <c r="F92" s="86">
        <f>VLOOKUP($A92,'Data shares'!$C:$FA,76)</f>
        <v>-8577000</v>
      </c>
      <c r="G92" s="87">
        <f>VLOOKUP(A92,'Data shares'!$C$2:$CA$213,77,0)</f>
        <v>-1.1999999999999999E-3</v>
      </c>
      <c r="H92" s="86">
        <f>VLOOKUP($A92,'Data shares'!$C:$FA,90)</f>
        <v>1996797075</v>
      </c>
      <c r="I92" s="86">
        <f>VLOOKUP($A92,'Data shares'!$C:$FA,92)</f>
        <v>48460050</v>
      </c>
      <c r="J92" s="87">
        <f>VLOOKUP($A92,'Data shares'!$C:$FA,93)</f>
        <v>2.4899999999999999E-2</v>
      </c>
      <c r="K92" s="86">
        <f>VLOOKUP($A92,'Data shares'!$C:$FA,94)</f>
        <v>987570075</v>
      </c>
      <c r="L92" s="86">
        <f>VLOOKUP($A92,'Data shares'!$C:$FA,96)</f>
        <v>9434700</v>
      </c>
      <c r="M92" s="87">
        <f>VLOOKUP($A92,'Data shares'!$C:$FA,97)</f>
        <v>9.5999999999999992E-3</v>
      </c>
      <c r="N92" s="86">
        <f>VLOOKUP($A92,'Data shares'!$C:$FA,78)</f>
        <v>6618942375</v>
      </c>
      <c r="O92" s="87">
        <f>VLOOKUP($A92,'Data shares'!$C:$FA,81)</f>
        <v>-2.47E-2</v>
      </c>
    </row>
    <row r="93" spans="1:15" x14ac:dyDescent="0.25">
      <c r="A93" s="100" t="str">
        <f>'Data Vlaue (Cr)'!C88</f>
        <v>IDFCFIRSTB</v>
      </c>
      <c r="B93" s="82">
        <f>VLOOKUP(A93,'Data shares'!$C$2:$CV$213,98,0)</f>
        <v>1041554675</v>
      </c>
      <c r="C93" s="82">
        <f>VLOOKUP(A93,'Data shares'!$C$2:$CX$213,100,0)</f>
        <v>6464675</v>
      </c>
      <c r="D93" s="141">
        <f>VLOOKUP(A93,'Data shares'!$C$2:$CY$536,101,0)</f>
        <v>6.1999999999999998E-3</v>
      </c>
      <c r="E93" s="86">
        <f>VLOOKUP($A93,'Data shares'!$C:$FA,74)</f>
        <v>517220375</v>
      </c>
      <c r="F93" s="86">
        <f>VLOOKUP($A93,'Data shares'!$C:$FA,76)</f>
        <v>1530375</v>
      </c>
      <c r="G93" s="87">
        <f>VLOOKUP(A93,'Data shares'!$C$2:$CA$213,77,0)</f>
        <v>3.0000000000000001E-3</v>
      </c>
      <c r="H93" s="86">
        <f>VLOOKUP($A93,'Data shares'!$C:$FA,90)</f>
        <v>333037425</v>
      </c>
      <c r="I93" s="86">
        <f>VLOOKUP($A93,'Data shares'!$C:$FA,92)</f>
        <v>4090275</v>
      </c>
      <c r="J93" s="87">
        <f>VLOOKUP($A93,'Data shares'!$C:$FA,93)</f>
        <v>1.24E-2</v>
      </c>
      <c r="K93" s="86">
        <f>VLOOKUP($A93,'Data shares'!$C:$FA,94)</f>
        <v>191296875</v>
      </c>
      <c r="L93" s="86">
        <f>VLOOKUP($A93,'Data shares'!$C:$FA,96)</f>
        <v>844025</v>
      </c>
      <c r="M93" s="87">
        <f>VLOOKUP($A93,'Data shares'!$C:$FA,97)</f>
        <v>4.4000000000000003E-3</v>
      </c>
      <c r="N93" s="86">
        <f>VLOOKUP($A93,'Data shares'!$C:$FA,78)</f>
        <v>463759275</v>
      </c>
      <c r="O93" s="87">
        <f>VLOOKUP($A93,'Data shares'!$C:$FA,81)</f>
        <v>-4.1000000000000003E-3</v>
      </c>
    </row>
    <row r="94" spans="1:15" x14ac:dyDescent="0.25">
      <c r="A94" s="100" t="str">
        <f>'Data Vlaue (Cr)'!C89</f>
        <v>IEX</v>
      </c>
      <c r="B94" s="82">
        <f>VLOOKUP(A94,'Data shares'!$C$2:$CV$213,98,0)</f>
        <v>148113750</v>
      </c>
      <c r="C94" s="82">
        <f>VLOOKUP(A94,'Data shares'!$C$2:$CX$213,100,0)</f>
        <v>1278750</v>
      </c>
      <c r="D94" s="141">
        <f>VLOOKUP(A94,'Data shares'!$C$2:$CY$536,101,0)</f>
        <v>8.6999999999999994E-3</v>
      </c>
      <c r="E94" s="86">
        <f>VLOOKUP($A94,'Data shares'!$C:$FA,74)</f>
        <v>75543750</v>
      </c>
      <c r="F94" s="86">
        <f>VLOOKUP($A94,'Data shares'!$C:$FA,76)</f>
        <v>423750</v>
      </c>
      <c r="G94" s="87">
        <f>VLOOKUP(A94,'Data shares'!$C$2:$CA$213,77,0)</f>
        <v>5.5999999999999999E-3</v>
      </c>
      <c r="H94" s="86">
        <f>VLOOKUP($A94,'Data shares'!$C:$FA,90)</f>
        <v>43252500</v>
      </c>
      <c r="I94" s="86">
        <f>VLOOKUP($A94,'Data shares'!$C:$FA,92)</f>
        <v>367500</v>
      </c>
      <c r="J94" s="87">
        <f>VLOOKUP($A94,'Data shares'!$C:$FA,93)</f>
        <v>8.6E-3</v>
      </c>
      <c r="K94" s="86">
        <f>VLOOKUP($A94,'Data shares'!$C:$FA,94)</f>
        <v>29317500</v>
      </c>
      <c r="L94" s="86">
        <f>VLOOKUP($A94,'Data shares'!$C:$FA,96)</f>
        <v>487500</v>
      </c>
      <c r="M94" s="87">
        <f>VLOOKUP($A94,'Data shares'!$C:$FA,97)</f>
        <v>1.6899999999999998E-2</v>
      </c>
      <c r="N94" s="86">
        <f>VLOOKUP($A94,'Data shares'!$C:$FA,78)</f>
        <v>65505000</v>
      </c>
      <c r="O94" s="87">
        <f>VLOOKUP($A94,'Data shares'!$C:$FA,81)</f>
        <v>-1.8E-3</v>
      </c>
    </row>
    <row r="95" spans="1:15" x14ac:dyDescent="0.25">
      <c r="A95" s="100" t="str">
        <f>'Data Vlaue (Cr)'!C90</f>
        <v>INDHOTEL</v>
      </c>
      <c r="B95" s="82">
        <f>VLOOKUP(A95,'Data shares'!$C$2:$CV$213,98,0)</f>
        <v>36223000</v>
      </c>
      <c r="C95" s="82">
        <f>VLOOKUP(A95,'Data shares'!$C$2:$CX$213,100,0)</f>
        <v>-65000</v>
      </c>
      <c r="D95" s="141">
        <f>VLOOKUP(A95,'Data shares'!$C$2:$CY$536,101,0)</f>
        <v>-1.8E-3</v>
      </c>
      <c r="E95" s="86">
        <f>VLOOKUP($A95,'Data shares'!$C:$FA,74)</f>
        <v>20704000</v>
      </c>
      <c r="F95" s="86">
        <f>VLOOKUP($A95,'Data shares'!$C:$FA,76)</f>
        <v>-856000</v>
      </c>
      <c r="G95" s="87">
        <f>VLOOKUP(A95,'Data shares'!$C$2:$CA$213,77,0)</f>
        <v>-3.9699999999999999E-2</v>
      </c>
      <c r="H95" s="86">
        <f>VLOOKUP($A95,'Data shares'!$C:$FA,90)</f>
        <v>8356000</v>
      </c>
      <c r="I95" s="86">
        <f>VLOOKUP($A95,'Data shares'!$C:$FA,92)</f>
        <v>286000</v>
      </c>
      <c r="J95" s="87">
        <f>VLOOKUP($A95,'Data shares'!$C:$FA,93)</f>
        <v>3.5400000000000001E-2</v>
      </c>
      <c r="K95" s="86">
        <f>VLOOKUP($A95,'Data shares'!$C:$FA,94)</f>
        <v>7163000</v>
      </c>
      <c r="L95" s="86">
        <f>VLOOKUP($A95,'Data shares'!$C:$FA,96)</f>
        <v>505000</v>
      </c>
      <c r="M95" s="87">
        <f>VLOOKUP($A95,'Data shares'!$C:$FA,97)</f>
        <v>7.5800000000000006E-2</v>
      </c>
      <c r="N95" s="86">
        <f>VLOOKUP($A95,'Data shares'!$C:$FA,78)</f>
        <v>19811000</v>
      </c>
      <c r="O95" s="87">
        <f>VLOOKUP($A95,'Data shares'!$C:$FA,81)</f>
        <v>-4.2099999999999999E-2</v>
      </c>
    </row>
    <row r="96" spans="1:15" x14ac:dyDescent="0.25">
      <c r="A96" s="100" t="str">
        <f>'Data Vlaue (Cr)'!C91</f>
        <v>INDIANB</v>
      </c>
      <c r="B96" s="82">
        <f>VLOOKUP(A96,'Data shares'!$C$2:$CV$213,98,0)</f>
        <v>17624000</v>
      </c>
      <c r="C96" s="82">
        <f>VLOOKUP(A96,'Data shares'!$C$2:$CX$213,100,0)</f>
        <v>866000</v>
      </c>
      <c r="D96" s="141">
        <f>VLOOKUP(A96,'Data shares'!$C$2:$CY$536,101,0)</f>
        <v>5.1700000000000003E-2</v>
      </c>
      <c r="E96" s="86">
        <f>VLOOKUP($A96,'Data shares'!$C:$FA,74)</f>
        <v>8307000</v>
      </c>
      <c r="F96" s="86">
        <f>VLOOKUP($A96,'Data shares'!$C:$FA,76)</f>
        <v>198000</v>
      </c>
      <c r="G96" s="87">
        <f>VLOOKUP(A96,'Data shares'!$C$2:$CA$213,77,0)</f>
        <v>2.4400000000000002E-2</v>
      </c>
      <c r="H96" s="86">
        <f>VLOOKUP($A96,'Data shares'!$C:$FA,90)</f>
        <v>5595000</v>
      </c>
      <c r="I96" s="86">
        <f>VLOOKUP($A96,'Data shares'!$C:$FA,92)</f>
        <v>592000</v>
      </c>
      <c r="J96" s="87">
        <f>VLOOKUP($A96,'Data shares'!$C:$FA,93)</f>
        <v>0.1183</v>
      </c>
      <c r="K96" s="86">
        <f>VLOOKUP($A96,'Data shares'!$C:$FA,94)</f>
        <v>3722000</v>
      </c>
      <c r="L96" s="86">
        <f>VLOOKUP($A96,'Data shares'!$C:$FA,96)</f>
        <v>76000</v>
      </c>
      <c r="M96" s="87">
        <f>VLOOKUP($A96,'Data shares'!$C:$FA,97)</f>
        <v>2.0799999999999999E-2</v>
      </c>
      <c r="N96" s="86">
        <f>VLOOKUP($A96,'Data shares'!$C:$FA,78)</f>
        <v>8104000</v>
      </c>
      <c r="O96" s="87">
        <f>VLOOKUP($A96,'Data shares'!$C:$FA,81)</f>
        <v>2.2100000000000002E-2</v>
      </c>
    </row>
    <row r="97" spans="1:15" x14ac:dyDescent="0.25">
      <c r="A97" s="100" t="str">
        <f>'Data Vlaue (Cr)'!C92</f>
        <v>INDIAVIX</v>
      </c>
      <c r="B97" s="82">
        <f>VLOOKUP(A97,'Data shares'!$C$2:$CV$213,98,0)</f>
        <v>0</v>
      </c>
      <c r="C97" s="82">
        <f>VLOOKUP(A97,'Data shares'!$C$2:$CX$213,100,0)</f>
        <v>0</v>
      </c>
      <c r="D97" s="141">
        <f>VLOOKUP(A97,'Data shares'!$C$2:$CY$536,101,0)</f>
        <v>0</v>
      </c>
      <c r="E97" s="86">
        <f>VLOOKUP($A97,'Data shares'!$C:$FA,74)</f>
        <v>0</v>
      </c>
      <c r="F97" s="86">
        <f>VLOOKUP($A97,'Data shares'!$C:$FA,76)</f>
        <v>0</v>
      </c>
      <c r="G97" s="87">
        <f>VLOOKUP(A97,'Data shares'!$C$2:$CA$213,77,0)</f>
        <v>0</v>
      </c>
      <c r="H97" s="86">
        <f>VLOOKUP($A97,'Data shares'!$C:$FA,90)</f>
        <v>0</v>
      </c>
      <c r="I97" s="86">
        <f>VLOOKUP($A97,'Data shares'!$C:$FA,92)</f>
        <v>0</v>
      </c>
      <c r="J97" s="87">
        <f>VLOOKUP($A97,'Data shares'!$C:$FA,93)</f>
        <v>0</v>
      </c>
      <c r="K97" s="86">
        <f>VLOOKUP($A97,'Data shares'!$C:$FA,94)</f>
        <v>0</v>
      </c>
      <c r="L97" s="86">
        <f>VLOOKUP($A97,'Data shares'!$C:$FA,96)</f>
        <v>0</v>
      </c>
      <c r="M97" s="87">
        <f>VLOOKUP($A97,'Data shares'!$C:$FA,97)</f>
        <v>0</v>
      </c>
      <c r="N97" s="86">
        <f>VLOOKUP($A97,'Data shares'!$C:$FA,78)</f>
        <v>0</v>
      </c>
      <c r="O97" s="87">
        <f>VLOOKUP($A97,'Data shares'!$C:$FA,81)</f>
        <v>0</v>
      </c>
    </row>
    <row r="98" spans="1:15" x14ac:dyDescent="0.25">
      <c r="A98" s="100" t="str">
        <f>'Data Vlaue (Cr)'!C93</f>
        <v>INDIGO</v>
      </c>
      <c r="B98" s="82">
        <f>VLOOKUP(A98,'Data shares'!$C$2:$CV$213,98,0)</f>
        <v>21913500</v>
      </c>
      <c r="C98" s="82">
        <f>VLOOKUP(A98,'Data shares'!$C$2:$CX$213,100,0)</f>
        <v>-22800</v>
      </c>
      <c r="D98" s="141">
        <f>VLOOKUP(A98,'Data shares'!$C$2:$CY$536,101,0)</f>
        <v>-1E-3</v>
      </c>
      <c r="E98" s="86">
        <f>VLOOKUP($A98,'Data shares'!$C:$FA,74)</f>
        <v>9673650</v>
      </c>
      <c r="F98" s="86">
        <f>VLOOKUP($A98,'Data shares'!$C:$FA,76)</f>
        <v>-12450</v>
      </c>
      <c r="G98" s="87">
        <f>VLOOKUP(A98,'Data shares'!$C$2:$CA$213,77,0)</f>
        <v>-1.2999999999999999E-3</v>
      </c>
      <c r="H98" s="86">
        <f>VLOOKUP($A98,'Data shares'!$C:$FA,90)</f>
        <v>7901400</v>
      </c>
      <c r="I98" s="86">
        <f>VLOOKUP($A98,'Data shares'!$C:$FA,92)</f>
        <v>228300</v>
      </c>
      <c r="J98" s="87">
        <f>VLOOKUP($A98,'Data shares'!$C:$FA,93)</f>
        <v>2.98E-2</v>
      </c>
      <c r="K98" s="86">
        <f>VLOOKUP($A98,'Data shares'!$C:$FA,94)</f>
        <v>4338450</v>
      </c>
      <c r="L98" s="86">
        <f>VLOOKUP($A98,'Data shares'!$C:$FA,96)</f>
        <v>-238650</v>
      </c>
      <c r="M98" s="87">
        <f>VLOOKUP($A98,'Data shares'!$C:$FA,97)</f>
        <v>-5.21E-2</v>
      </c>
      <c r="N98" s="86">
        <f>VLOOKUP($A98,'Data shares'!$C:$FA,78)</f>
        <v>8661300</v>
      </c>
      <c r="O98" s="87">
        <f>VLOOKUP($A98,'Data shares'!$C:$FA,81)</f>
        <v>-3.5999999999999999E-3</v>
      </c>
    </row>
    <row r="99" spans="1:15" x14ac:dyDescent="0.25">
      <c r="A99" s="100" t="str">
        <f>'Data Vlaue (Cr)'!C94</f>
        <v>INDUSINDBK</v>
      </c>
      <c r="B99" s="82">
        <f>VLOOKUP(A99,'Data shares'!$C$2:$CV$213,98,0)</f>
        <v>57665300</v>
      </c>
      <c r="C99" s="82">
        <f>VLOOKUP(A99,'Data shares'!$C$2:$CX$213,100,0)</f>
        <v>4865700</v>
      </c>
      <c r="D99" s="141">
        <f>VLOOKUP(A99,'Data shares'!$C$2:$CY$536,101,0)</f>
        <v>9.2200000000000004E-2</v>
      </c>
      <c r="E99" s="86">
        <f>VLOOKUP($A99,'Data shares'!$C:$FA,74)</f>
        <v>41130600</v>
      </c>
      <c r="F99" s="86">
        <f>VLOOKUP($A99,'Data shares'!$C:$FA,76)</f>
        <v>1176000</v>
      </c>
      <c r="G99" s="87">
        <f>VLOOKUP(A99,'Data shares'!$C$2:$CA$213,77,0)</f>
        <v>2.9399999999999999E-2</v>
      </c>
      <c r="H99" s="86">
        <f>VLOOKUP($A99,'Data shares'!$C:$FA,90)</f>
        <v>9250500</v>
      </c>
      <c r="I99" s="86">
        <f>VLOOKUP($A99,'Data shares'!$C:$FA,92)</f>
        <v>2322600</v>
      </c>
      <c r="J99" s="87">
        <f>VLOOKUP($A99,'Data shares'!$C:$FA,93)</f>
        <v>0.33529999999999999</v>
      </c>
      <c r="K99" s="86">
        <f>VLOOKUP($A99,'Data shares'!$C:$FA,94)</f>
        <v>7284200</v>
      </c>
      <c r="L99" s="86">
        <f>VLOOKUP($A99,'Data shares'!$C:$FA,96)</f>
        <v>1367100</v>
      </c>
      <c r="M99" s="87">
        <f>VLOOKUP($A99,'Data shares'!$C:$FA,97)</f>
        <v>0.23100000000000001</v>
      </c>
      <c r="N99" s="86">
        <f>VLOOKUP($A99,'Data shares'!$C:$FA,78)</f>
        <v>36365700</v>
      </c>
      <c r="O99" s="87">
        <f>VLOOKUP($A99,'Data shares'!$C:$FA,81)</f>
        <v>2.9999999999999997E-4</v>
      </c>
    </row>
    <row r="100" spans="1:15" x14ac:dyDescent="0.25">
      <c r="A100" s="100" t="str">
        <f>'Data Vlaue (Cr)'!C95</f>
        <v>INDUSTOWER</v>
      </c>
      <c r="B100" s="82">
        <f>VLOOKUP(A100,'Data shares'!$C$2:$CV$213,98,0)</f>
        <v>92995100</v>
      </c>
      <c r="C100" s="82">
        <f>VLOOKUP(A100,'Data shares'!$C$2:$CX$213,100,0)</f>
        <v>646000</v>
      </c>
      <c r="D100" s="141">
        <f>VLOOKUP(A100,'Data shares'!$C$2:$CY$536,101,0)</f>
        <v>7.0000000000000001E-3</v>
      </c>
      <c r="E100" s="86">
        <f>VLOOKUP($A100,'Data shares'!$C:$FA,74)</f>
        <v>72438700</v>
      </c>
      <c r="F100" s="86">
        <f>VLOOKUP($A100,'Data shares'!$C:$FA,76)</f>
        <v>-397800</v>
      </c>
      <c r="G100" s="87">
        <f>VLOOKUP(A100,'Data shares'!$C$2:$CA$213,77,0)</f>
        <v>-5.4999999999999997E-3</v>
      </c>
      <c r="H100" s="86">
        <f>VLOOKUP($A100,'Data shares'!$C:$FA,90)</f>
        <v>13436800</v>
      </c>
      <c r="I100" s="86">
        <f>VLOOKUP($A100,'Data shares'!$C:$FA,92)</f>
        <v>486200</v>
      </c>
      <c r="J100" s="87">
        <f>VLOOKUP($A100,'Data shares'!$C:$FA,93)</f>
        <v>3.7499999999999999E-2</v>
      </c>
      <c r="K100" s="86">
        <f>VLOOKUP($A100,'Data shares'!$C:$FA,94)</f>
        <v>7119600</v>
      </c>
      <c r="L100" s="86">
        <f>VLOOKUP($A100,'Data shares'!$C:$FA,96)</f>
        <v>557600</v>
      </c>
      <c r="M100" s="87">
        <f>VLOOKUP($A100,'Data shares'!$C:$FA,97)</f>
        <v>8.5000000000000006E-2</v>
      </c>
      <c r="N100" s="86">
        <f>VLOOKUP($A100,'Data shares'!$C:$FA,78)</f>
        <v>70907000</v>
      </c>
      <c r="O100" s="87">
        <f>VLOOKUP($A100,'Data shares'!$C:$FA,81)</f>
        <v>-1.06E-2</v>
      </c>
    </row>
    <row r="101" spans="1:15" x14ac:dyDescent="0.25">
      <c r="A101" s="100" t="str">
        <f>'Data Vlaue (Cr)'!C96</f>
        <v>INFY</v>
      </c>
      <c r="B101" s="82">
        <f>VLOOKUP(A101,'Data shares'!$C$2:$CV$213,98,0)</f>
        <v>139255200</v>
      </c>
      <c r="C101" s="82">
        <f>VLOOKUP(A101,'Data shares'!$C$2:$CX$213,100,0)</f>
        <v>-766400</v>
      </c>
      <c r="D101" s="141">
        <f>VLOOKUP(A101,'Data shares'!$C$2:$CY$536,101,0)</f>
        <v>-5.4999999999999997E-3</v>
      </c>
      <c r="E101" s="86">
        <f>VLOOKUP($A101,'Data shares'!$C:$FA,74)</f>
        <v>78263200</v>
      </c>
      <c r="F101" s="86">
        <f>VLOOKUP($A101,'Data shares'!$C:$FA,76)</f>
        <v>-600800</v>
      </c>
      <c r="G101" s="87">
        <f>VLOOKUP(A101,'Data shares'!$C$2:$CA$213,77,0)</f>
        <v>-7.6E-3</v>
      </c>
      <c r="H101" s="86">
        <f>VLOOKUP($A101,'Data shares'!$C:$FA,90)</f>
        <v>41625600</v>
      </c>
      <c r="I101" s="86">
        <f>VLOOKUP($A101,'Data shares'!$C:$FA,92)</f>
        <v>-12000</v>
      </c>
      <c r="J101" s="87">
        <f>VLOOKUP($A101,'Data shares'!$C:$FA,93)</f>
        <v>-2.9999999999999997E-4</v>
      </c>
      <c r="K101" s="86">
        <f>VLOOKUP($A101,'Data shares'!$C:$FA,94)</f>
        <v>19366400</v>
      </c>
      <c r="L101" s="86">
        <f>VLOOKUP($A101,'Data shares'!$C:$FA,96)</f>
        <v>-153600</v>
      </c>
      <c r="M101" s="87">
        <f>VLOOKUP($A101,'Data shares'!$C:$FA,97)</f>
        <v>-7.9000000000000008E-3</v>
      </c>
      <c r="N101" s="86">
        <f>VLOOKUP($A101,'Data shares'!$C:$FA,78)</f>
        <v>70228800</v>
      </c>
      <c r="O101" s="87">
        <f>VLOOKUP($A101,'Data shares'!$C:$FA,81)</f>
        <v>-2.98E-2</v>
      </c>
    </row>
    <row r="102" spans="1:15" x14ac:dyDescent="0.25">
      <c r="A102" s="100" t="str">
        <f>'Data Vlaue (Cr)'!C97</f>
        <v>INOXWIND</v>
      </c>
      <c r="B102" s="82">
        <f>VLOOKUP(A102,'Data shares'!$C$2:$CV$213,98,0)</f>
        <v>165029150</v>
      </c>
      <c r="C102" s="82">
        <f>VLOOKUP(A102,'Data shares'!$C$2:$CX$213,100,0)</f>
        <v>-1008150</v>
      </c>
      <c r="D102" s="141">
        <f>VLOOKUP(A102,'Data shares'!$C$2:$CY$536,101,0)</f>
        <v>-6.1000000000000004E-3</v>
      </c>
      <c r="E102" s="86">
        <f>VLOOKUP($A102,'Data shares'!$C:$FA,74)</f>
        <v>102670425</v>
      </c>
      <c r="F102" s="86">
        <f>VLOOKUP($A102,'Data shares'!$C:$FA,76)</f>
        <v>218075</v>
      </c>
      <c r="G102" s="87">
        <f>VLOOKUP(A102,'Data shares'!$C$2:$CA$213,77,0)</f>
        <v>2.0999999999999999E-3</v>
      </c>
      <c r="H102" s="86">
        <f>VLOOKUP($A102,'Data shares'!$C:$FA,90)</f>
        <v>37083475</v>
      </c>
      <c r="I102" s="86">
        <f>VLOOKUP($A102,'Data shares'!$C:$FA,92)</f>
        <v>-1465750</v>
      </c>
      <c r="J102" s="87">
        <f>VLOOKUP($A102,'Data shares'!$C:$FA,93)</f>
        <v>-3.7999999999999999E-2</v>
      </c>
      <c r="K102" s="86">
        <f>VLOOKUP($A102,'Data shares'!$C:$FA,94)</f>
        <v>25275250</v>
      </c>
      <c r="L102" s="86">
        <f>VLOOKUP($A102,'Data shares'!$C:$FA,96)</f>
        <v>239525</v>
      </c>
      <c r="M102" s="87">
        <f>VLOOKUP($A102,'Data shares'!$C:$FA,97)</f>
        <v>9.5999999999999992E-3</v>
      </c>
      <c r="N102" s="86">
        <f>VLOOKUP($A102,'Data shares'!$C:$FA,78)</f>
        <v>96467800</v>
      </c>
      <c r="O102" s="87">
        <f>VLOOKUP($A102,'Data shares'!$C:$FA,81)</f>
        <v>-5.3E-3</v>
      </c>
    </row>
    <row r="103" spans="1:15" x14ac:dyDescent="0.25">
      <c r="A103" s="100" t="str">
        <f>'Data Vlaue (Cr)'!C98</f>
        <v>IOC</v>
      </c>
      <c r="B103" s="82">
        <f>VLOOKUP(A103,'Data shares'!$C$2:$CV$213,98,0)</f>
        <v>232362000</v>
      </c>
      <c r="C103" s="82">
        <f>VLOOKUP(A103,'Data shares'!$C$2:$CX$213,100,0)</f>
        <v>5074875</v>
      </c>
      <c r="D103" s="141">
        <f>VLOOKUP(A103,'Data shares'!$C$2:$CY$536,101,0)</f>
        <v>2.23E-2</v>
      </c>
      <c r="E103" s="86">
        <f>VLOOKUP($A103,'Data shares'!$C:$FA,74)</f>
        <v>100386000</v>
      </c>
      <c r="F103" s="86">
        <f>VLOOKUP($A103,'Data shares'!$C:$FA,76)</f>
        <v>-750750</v>
      </c>
      <c r="G103" s="87">
        <f>VLOOKUP(A103,'Data shares'!$C$2:$CA$213,77,0)</f>
        <v>-7.4000000000000003E-3</v>
      </c>
      <c r="H103" s="86">
        <f>VLOOKUP($A103,'Data shares'!$C:$FA,90)</f>
        <v>69907500</v>
      </c>
      <c r="I103" s="86">
        <f>VLOOKUP($A103,'Data shares'!$C:$FA,92)</f>
        <v>4558125</v>
      </c>
      <c r="J103" s="87">
        <f>VLOOKUP($A103,'Data shares'!$C:$FA,93)</f>
        <v>6.9800000000000001E-2</v>
      </c>
      <c r="K103" s="86">
        <f>VLOOKUP($A103,'Data shares'!$C:$FA,94)</f>
        <v>62068500</v>
      </c>
      <c r="L103" s="86">
        <f>VLOOKUP($A103,'Data shares'!$C:$FA,96)</f>
        <v>1267500</v>
      </c>
      <c r="M103" s="87">
        <f>VLOOKUP($A103,'Data shares'!$C:$FA,97)</f>
        <v>2.0799999999999999E-2</v>
      </c>
      <c r="N103" s="86">
        <f>VLOOKUP($A103,'Data shares'!$C:$FA,78)</f>
        <v>96135000</v>
      </c>
      <c r="O103" s="87">
        <f>VLOOKUP($A103,'Data shares'!$C:$FA,81)</f>
        <v>-1.01E-2</v>
      </c>
    </row>
    <row r="104" spans="1:15" x14ac:dyDescent="0.25">
      <c r="A104" s="100" t="str">
        <f>'Data Vlaue (Cr)'!C99</f>
        <v>IREDA</v>
      </c>
      <c r="B104" s="82">
        <f>VLOOKUP(A104,'Data shares'!$C$2:$CV$213,98,0)</f>
        <v>113860350</v>
      </c>
      <c r="C104" s="82">
        <f>VLOOKUP(A104,'Data shares'!$C$2:$CX$213,100,0)</f>
        <v>-420900</v>
      </c>
      <c r="D104" s="141">
        <f>VLOOKUP(A104,'Data shares'!$C$2:$CY$536,101,0)</f>
        <v>-3.7000000000000002E-3</v>
      </c>
      <c r="E104" s="86">
        <f>VLOOKUP($A104,'Data shares'!$C:$FA,74)</f>
        <v>65708700</v>
      </c>
      <c r="F104" s="86">
        <f>VLOOKUP($A104,'Data shares'!$C:$FA,76)</f>
        <v>227700</v>
      </c>
      <c r="G104" s="87">
        <f>VLOOKUP(A104,'Data shares'!$C$2:$CA$213,77,0)</f>
        <v>3.5000000000000001E-3</v>
      </c>
      <c r="H104" s="86">
        <f>VLOOKUP($A104,'Data shares'!$C:$FA,90)</f>
        <v>28945500</v>
      </c>
      <c r="I104" s="86">
        <f>VLOOKUP($A104,'Data shares'!$C:$FA,92)</f>
        <v>-262200</v>
      </c>
      <c r="J104" s="87">
        <f>VLOOKUP($A104,'Data shares'!$C:$FA,93)</f>
        <v>-8.9999999999999993E-3</v>
      </c>
      <c r="K104" s="86">
        <f>VLOOKUP($A104,'Data shares'!$C:$FA,94)</f>
        <v>19206150</v>
      </c>
      <c r="L104" s="86">
        <f>VLOOKUP($A104,'Data shares'!$C:$FA,96)</f>
        <v>-386400</v>
      </c>
      <c r="M104" s="87">
        <f>VLOOKUP($A104,'Data shares'!$C:$FA,97)</f>
        <v>-1.9699999999999999E-2</v>
      </c>
      <c r="N104" s="86">
        <f>VLOOKUP($A104,'Data shares'!$C:$FA,78)</f>
        <v>56673150</v>
      </c>
      <c r="O104" s="87">
        <f>VLOOKUP($A104,'Data shares'!$C:$FA,81)</f>
        <v>-3.5999999999999999E-3</v>
      </c>
    </row>
    <row r="105" spans="1:15" x14ac:dyDescent="0.25">
      <c r="A105" s="100" t="str">
        <f>'Data Vlaue (Cr)'!C100</f>
        <v>IRFC</v>
      </c>
      <c r="B105" s="82">
        <f>VLOOKUP(A105,'Data shares'!$C$2:$CV$213,98,0)</f>
        <v>203779000</v>
      </c>
      <c r="C105" s="82">
        <f>VLOOKUP(A105,'Data shares'!$C$2:$CX$213,100,0)</f>
        <v>-624750</v>
      </c>
      <c r="D105" s="141">
        <f>VLOOKUP(A105,'Data shares'!$C$2:$CY$536,101,0)</f>
        <v>-3.0999999999999999E-3</v>
      </c>
      <c r="E105" s="86">
        <f>VLOOKUP($A105,'Data shares'!$C:$FA,74)</f>
        <v>73720500</v>
      </c>
      <c r="F105" s="86">
        <f>VLOOKUP($A105,'Data shares'!$C:$FA,76)</f>
        <v>-1066750</v>
      </c>
      <c r="G105" s="87">
        <f>VLOOKUP(A105,'Data shares'!$C$2:$CA$213,77,0)</f>
        <v>-1.43E-2</v>
      </c>
      <c r="H105" s="86">
        <f>VLOOKUP($A105,'Data shares'!$C:$FA,90)</f>
        <v>82518000</v>
      </c>
      <c r="I105" s="86">
        <f>VLOOKUP($A105,'Data shares'!$C:$FA,92)</f>
        <v>34000</v>
      </c>
      <c r="J105" s="87">
        <f>VLOOKUP($A105,'Data shares'!$C:$FA,93)</f>
        <v>4.0000000000000002E-4</v>
      </c>
      <c r="K105" s="86">
        <f>VLOOKUP($A105,'Data shares'!$C:$FA,94)</f>
        <v>47540500</v>
      </c>
      <c r="L105" s="86">
        <f>VLOOKUP($A105,'Data shares'!$C:$FA,96)</f>
        <v>408000</v>
      </c>
      <c r="M105" s="87">
        <f>VLOOKUP($A105,'Data shares'!$C:$FA,97)</f>
        <v>8.6999999999999994E-3</v>
      </c>
      <c r="N105" s="86">
        <f>VLOOKUP($A105,'Data shares'!$C:$FA,78)</f>
        <v>60830250</v>
      </c>
      <c r="O105" s="87">
        <f>VLOOKUP($A105,'Data shares'!$C:$FA,81)</f>
        <v>-2.4299999999999999E-2</v>
      </c>
    </row>
    <row r="106" spans="1:15" x14ac:dyDescent="0.25">
      <c r="A106" s="100" t="str">
        <f>'Data Vlaue (Cr)'!C101</f>
        <v>ITC</v>
      </c>
      <c r="B106" s="82">
        <f>VLOOKUP(A106,'Data shares'!$C$2:$CV$213,98,0)</f>
        <v>345281600</v>
      </c>
      <c r="C106" s="82">
        <f>VLOOKUP(A106,'Data shares'!$C$2:$CX$213,100,0)</f>
        <v>3025600</v>
      </c>
      <c r="D106" s="141">
        <f>VLOOKUP(A106,'Data shares'!$C$2:$CY$536,101,0)</f>
        <v>8.8000000000000005E-3</v>
      </c>
      <c r="E106" s="86">
        <f>VLOOKUP($A106,'Data shares'!$C:$FA,74)</f>
        <v>168619200</v>
      </c>
      <c r="F106" s="86">
        <f>VLOOKUP($A106,'Data shares'!$C:$FA,76)</f>
        <v>-944000</v>
      </c>
      <c r="G106" s="87">
        <f>VLOOKUP(A106,'Data shares'!$C$2:$CA$213,77,0)</f>
        <v>-5.5999999999999999E-3</v>
      </c>
      <c r="H106" s="86">
        <f>VLOOKUP($A106,'Data shares'!$C:$FA,90)</f>
        <v>121761600</v>
      </c>
      <c r="I106" s="86">
        <f>VLOOKUP($A106,'Data shares'!$C:$FA,92)</f>
        <v>2187200</v>
      </c>
      <c r="J106" s="87">
        <f>VLOOKUP($A106,'Data shares'!$C:$FA,93)</f>
        <v>1.83E-2</v>
      </c>
      <c r="K106" s="86">
        <f>VLOOKUP($A106,'Data shares'!$C:$FA,94)</f>
        <v>54900800</v>
      </c>
      <c r="L106" s="86">
        <f>VLOOKUP($A106,'Data shares'!$C:$FA,96)</f>
        <v>1782400</v>
      </c>
      <c r="M106" s="87">
        <f>VLOOKUP($A106,'Data shares'!$C:$FA,97)</f>
        <v>3.3599999999999998E-2</v>
      </c>
      <c r="N106" s="86">
        <f>VLOOKUP($A106,'Data shares'!$C:$FA,78)</f>
        <v>154356800</v>
      </c>
      <c r="O106" s="87">
        <f>VLOOKUP($A106,'Data shares'!$C:$FA,81)</f>
        <v>-9.4999999999999998E-3</v>
      </c>
    </row>
    <row r="107" spans="1:15" x14ac:dyDescent="0.25">
      <c r="A107" s="100" t="str">
        <f>'Data Vlaue (Cr)'!C102</f>
        <v>JINDALSTEL</v>
      </c>
      <c r="B107" s="82">
        <f>VLOOKUP(A107,'Data shares'!$C$2:$CV$213,98,0)</f>
        <v>17154375</v>
      </c>
      <c r="C107" s="82">
        <f>VLOOKUP(A107,'Data shares'!$C$2:$CX$213,100,0)</f>
        <v>-126875</v>
      </c>
      <c r="D107" s="141">
        <f>VLOOKUP(A107,'Data shares'!$C$2:$CY$536,101,0)</f>
        <v>-7.3000000000000001E-3</v>
      </c>
      <c r="E107" s="86">
        <f>VLOOKUP($A107,'Data shares'!$C:$FA,74)</f>
        <v>10211250</v>
      </c>
      <c r="F107" s="86">
        <f>VLOOKUP($A107,'Data shares'!$C:$FA,76)</f>
        <v>-143125</v>
      </c>
      <c r="G107" s="87">
        <f>VLOOKUP(A107,'Data shares'!$C$2:$CA$213,77,0)</f>
        <v>-1.38E-2</v>
      </c>
      <c r="H107" s="86">
        <f>VLOOKUP($A107,'Data shares'!$C:$FA,90)</f>
        <v>3258750</v>
      </c>
      <c r="I107" s="86">
        <f>VLOOKUP($A107,'Data shares'!$C:$FA,92)</f>
        <v>-154375</v>
      </c>
      <c r="J107" s="87">
        <f>VLOOKUP($A107,'Data shares'!$C:$FA,93)</f>
        <v>-4.5199999999999997E-2</v>
      </c>
      <c r="K107" s="86">
        <f>VLOOKUP($A107,'Data shares'!$C:$FA,94)</f>
        <v>3684375</v>
      </c>
      <c r="L107" s="86">
        <f>VLOOKUP($A107,'Data shares'!$C:$FA,96)</f>
        <v>170625</v>
      </c>
      <c r="M107" s="87">
        <f>VLOOKUP($A107,'Data shares'!$C:$FA,97)</f>
        <v>4.8599999999999997E-2</v>
      </c>
      <c r="N107" s="86">
        <f>VLOOKUP($A107,'Data shares'!$C:$FA,78)</f>
        <v>10012500</v>
      </c>
      <c r="O107" s="87">
        <f>VLOOKUP($A107,'Data shares'!$C:$FA,81)</f>
        <v>-1.8200000000000001E-2</v>
      </c>
    </row>
    <row r="108" spans="1:15" x14ac:dyDescent="0.25">
      <c r="A108" s="100" t="str">
        <f>'Data Vlaue (Cr)'!C103</f>
        <v>JIOFIN</v>
      </c>
      <c r="B108" s="82">
        <f>VLOOKUP(A108,'Data shares'!$C$2:$CV$213,98,0)</f>
        <v>269389900</v>
      </c>
      <c r="C108" s="82">
        <f>VLOOKUP(A108,'Data shares'!$C$2:$CX$213,100,0)</f>
        <v>-371300</v>
      </c>
      <c r="D108" s="141">
        <f>VLOOKUP(A108,'Data shares'!$C$2:$CY$536,101,0)</f>
        <v>-1.4E-3</v>
      </c>
      <c r="E108" s="86">
        <f>VLOOKUP($A108,'Data shares'!$C:$FA,74)</f>
        <v>175183100</v>
      </c>
      <c r="F108" s="86">
        <f>VLOOKUP($A108,'Data shares'!$C:$FA,76)</f>
        <v>-1290150</v>
      </c>
      <c r="G108" s="87">
        <f>VLOOKUP(A108,'Data shares'!$C$2:$CA$213,77,0)</f>
        <v>-7.3000000000000001E-3</v>
      </c>
      <c r="H108" s="86">
        <f>VLOOKUP($A108,'Data shares'!$C:$FA,90)</f>
        <v>52054850</v>
      </c>
      <c r="I108" s="86">
        <f>VLOOKUP($A108,'Data shares'!$C:$FA,92)</f>
        <v>138650</v>
      </c>
      <c r="J108" s="87">
        <f>VLOOKUP($A108,'Data shares'!$C:$FA,93)</f>
        <v>2.7000000000000001E-3</v>
      </c>
      <c r="K108" s="86">
        <f>VLOOKUP($A108,'Data shares'!$C:$FA,94)</f>
        <v>42151950</v>
      </c>
      <c r="L108" s="86">
        <f>VLOOKUP($A108,'Data shares'!$C:$FA,96)</f>
        <v>780200</v>
      </c>
      <c r="M108" s="87">
        <f>VLOOKUP($A108,'Data shares'!$C:$FA,97)</f>
        <v>1.89E-2</v>
      </c>
      <c r="N108" s="86">
        <f>VLOOKUP($A108,'Data shares'!$C:$FA,78)</f>
        <v>158930500</v>
      </c>
      <c r="O108" s="87">
        <f>VLOOKUP($A108,'Data shares'!$C:$FA,81)</f>
        <v>-1.21E-2</v>
      </c>
    </row>
    <row r="109" spans="1:15" x14ac:dyDescent="0.25">
      <c r="A109" s="100" t="str">
        <f>'Data Vlaue (Cr)'!C104</f>
        <v>JSWENERGY</v>
      </c>
      <c r="B109" s="82">
        <f>VLOOKUP(A109,'Data shares'!$C$2:$CV$213,98,0)</f>
        <v>40134000</v>
      </c>
      <c r="C109" s="82">
        <f>VLOOKUP(A109,'Data shares'!$C$2:$CX$213,100,0)</f>
        <v>965000</v>
      </c>
      <c r="D109" s="141">
        <f>VLOOKUP(A109,'Data shares'!$C$2:$CY$536,101,0)</f>
        <v>2.46E-2</v>
      </c>
      <c r="E109" s="86">
        <f>VLOOKUP($A109,'Data shares'!$C:$FA,74)</f>
        <v>27320000</v>
      </c>
      <c r="F109" s="86">
        <f>VLOOKUP($A109,'Data shares'!$C:$FA,76)</f>
        <v>-1168000</v>
      </c>
      <c r="G109" s="87">
        <f>VLOOKUP(A109,'Data shares'!$C$2:$CA$213,77,0)</f>
        <v>-4.1000000000000002E-2</v>
      </c>
      <c r="H109" s="86">
        <f>VLOOKUP($A109,'Data shares'!$C:$FA,90)</f>
        <v>7087000</v>
      </c>
      <c r="I109" s="86">
        <f>VLOOKUP($A109,'Data shares'!$C:$FA,92)</f>
        <v>978000</v>
      </c>
      <c r="J109" s="87">
        <f>VLOOKUP($A109,'Data shares'!$C:$FA,93)</f>
        <v>0.16009999999999999</v>
      </c>
      <c r="K109" s="86">
        <f>VLOOKUP($A109,'Data shares'!$C:$FA,94)</f>
        <v>5727000</v>
      </c>
      <c r="L109" s="86">
        <f>VLOOKUP($A109,'Data shares'!$C:$FA,96)</f>
        <v>1155000</v>
      </c>
      <c r="M109" s="87">
        <f>VLOOKUP($A109,'Data shares'!$C:$FA,97)</f>
        <v>0.25259999999999999</v>
      </c>
      <c r="N109" s="86">
        <f>VLOOKUP($A109,'Data shares'!$C:$FA,78)</f>
        <v>26106000</v>
      </c>
      <c r="O109" s="87">
        <f>VLOOKUP($A109,'Data shares'!$C:$FA,81)</f>
        <v>-4.2799999999999998E-2</v>
      </c>
    </row>
    <row r="110" spans="1:15" x14ac:dyDescent="0.25">
      <c r="A110" s="100" t="str">
        <f>'Data Vlaue (Cr)'!C105</f>
        <v>JSWSTEEL</v>
      </c>
      <c r="B110" s="82">
        <f>VLOOKUP(A110,'Data shares'!$C$2:$CV$213,98,0)</f>
        <v>63227925</v>
      </c>
      <c r="C110" s="82">
        <f>VLOOKUP(A110,'Data shares'!$C$2:$CX$213,100,0)</f>
        <v>418500</v>
      </c>
      <c r="D110" s="141">
        <f>VLOOKUP(A110,'Data shares'!$C$2:$CY$536,101,0)</f>
        <v>6.7000000000000002E-3</v>
      </c>
      <c r="E110" s="86">
        <f>VLOOKUP($A110,'Data shares'!$C:$FA,74)</f>
        <v>52308450</v>
      </c>
      <c r="F110" s="86">
        <f>VLOOKUP($A110,'Data shares'!$C:$FA,76)</f>
        <v>7425</v>
      </c>
      <c r="G110" s="87">
        <f>VLOOKUP(A110,'Data shares'!$C$2:$CA$213,77,0)</f>
        <v>1E-4</v>
      </c>
      <c r="H110" s="86">
        <f>VLOOKUP($A110,'Data shares'!$C:$FA,90)</f>
        <v>7196850</v>
      </c>
      <c r="I110" s="86">
        <f>VLOOKUP($A110,'Data shares'!$C:$FA,92)</f>
        <v>263925</v>
      </c>
      <c r="J110" s="87">
        <f>VLOOKUP($A110,'Data shares'!$C:$FA,93)</f>
        <v>3.8100000000000002E-2</v>
      </c>
      <c r="K110" s="86">
        <f>VLOOKUP($A110,'Data shares'!$C:$FA,94)</f>
        <v>3722625</v>
      </c>
      <c r="L110" s="86">
        <f>VLOOKUP($A110,'Data shares'!$C:$FA,96)</f>
        <v>147150</v>
      </c>
      <c r="M110" s="87">
        <f>VLOOKUP($A110,'Data shares'!$C:$FA,97)</f>
        <v>4.1200000000000001E-2</v>
      </c>
      <c r="N110" s="86">
        <f>VLOOKUP($A110,'Data shares'!$C:$FA,78)</f>
        <v>45696150</v>
      </c>
      <c r="O110" s="87">
        <f>VLOOKUP($A110,'Data shares'!$C:$FA,81)</f>
        <v>-1.61E-2</v>
      </c>
    </row>
    <row r="111" spans="1:15" x14ac:dyDescent="0.25">
      <c r="A111" s="100" t="str">
        <f>'Data Vlaue (Cr)'!C106</f>
        <v>JUBLFOOD</v>
      </c>
      <c r="B111" s="82">
        <f>VLOOKUP(A111,'Data shares'!$C$2:$CV$213,98,0)</f>
        <v>45052500</v>
      </c>
      <c r="C111" s="82">
        <f>VLOOKUP(A111,'Data shares'!$C$2:$CX$213,100,0)</f>
        <v>2657500</v>
      </c>
      <c r="D111" s="141">
        <f>VLOOKUP(A111,'Data shares'!$C$2:$CY$536,101,0)</f>
        <v>6.2700000000000006E-2</v>
      </c>
      <c r="E111" s="86">
        <f>VLOOKUP($A111,'Data shares'!$C:$FA,74)</f>
        <v>29006250</v>
      </c>
      <c r="F111" s="86">
        <f>VLOOKUP($A111,'Data shares'!$C:$FA,76)</f>
        <v>1270000</v>
      </c>
      <c r="G111" s="87">
        <f>VLOOKUP(A111,'Data shares'!$C$2:$CA$213,77,0)</f>
        <v>4.58E-2</v>
      </c>
      <c r="H111" s="86">
        <f>VLOOKUP($A111,'Data shares'!$C:$FA,90)</f>
        <v>9268750</v>
      </c>
      <c r="I111" s="86">
        <f>VLOOKUP($A111,'Data shares'!$C:$FA,92)</f>
        <v>748750</v>
      </c>
      <c r="J111" s="87">
        <f>VLOOKUP($A111,'Data shares'!$C:$FA,93)</f>
        <v>8.7900000000000006E-2</v>
      </c>
      <c r="K111" s="86">
        <f>VLOOKUP($A111,'Data shares'!$C:$FA,94)</f>
        <v>6777500</v>
      </c>
      <c r="L111" s="86">
        <f>VLOOKUP($A111,'Data shares'!$C:$FA,96)</f>
        <v>638750</v>
      </c>
      <c r="M111" s="87">
        <f>VLOOKUP($A111,'Data shares'!$C:$FA,97)</f>
        <v>0.1041</v>
      </c>
      <c r="N111" s="86">
        <f>VLOOKUP($A111,'Data shares'!$C:$FA,78)</f>
        <v>25900000</v>
      </c>
      <c r="O111" s="87">
        <f>VLOOKUP($A111,'Data shares'!$C:$FA,81)</f>
        <v>3.61E-2</v>
      </c>
    </row>
    <row r="112" spans="1:15" x14ac:dyDescent="0.25">
      <c r="A112" s="100" t="str">
        <f>'Data Vlaue (Cr)'!C107</f>
        <v>KALYANKJIL</v>
      </c>
      <c r="B112" s="82">
        <f>VLOOKUP(A112,'Data shares'!$C$2:$CV$213,98,0)</f>
        <v>38953600</v>
      </c>
      <c r="C112" s="82">
        <f>VLOOKUP(A112,'Data shares'!$C$2:$CX$213,100,0)</f>
        <v>-258500</v>
      </c>
      <c r="D112" s="141">
        <f>VLOOKUP(A112,'Data shares'!$C$2:$CY$536,101,0)</f>
        <v>-6.6E-3</v>
      </c>
      <c r="E112" s="86">
        <f>VLOOKUP($A112,'Data shares'!$C:$FA,74)</f>
        <v>24644450</v>
      </c>
      <c r="F112" s="86">
        <f>VLOOKUP($A112,'Data shares'!$C:$FA,76)</f>
        <v>-532275</v>
      </c>
      <c r="G112" s="87">
        <f>VLOOKUP(A112,'Data shares'!$C$2:$CA$213,77,0)</f>
        <v>-2.1100000000000001E-2</v>
      </c>
      <c r="H112" s="86">
        <f>VLOOKUP($A112,'Data shares'!$C:$FA,90)</f>
        <v>9014600</v>
      </c>
      <c r="I112" s="86">
        <f>VLOOKUP($A112,'Data shares'!$C:$FA,92)</f>
        <v>157450</v>
      </c>
      <c r="J112" s="87">
        <f>VLOOKUP($A112,'Data shares'!$C:$FA,93)</f>
        <v>1.78E-2</v>
      </c>
      <c r="K112" s="86">
        <f>VLOOKUP($A112,'Data shares'!$C:$FA,94)</f>
        <v>5294550</v>
      </c>
      <c r="L112" s="86">
        <f>VLOOKUP($A112,'Data shares'!$C:$FA,96)</f>
        <v>116325</v>
      </c>
      <c r="M112" s="87">
        <f>VLOOKUP($A112,'Data shares'!$C:$FA,97)</f>
        <v>2.2499999999999999E-2</v>
      </c>
      <c r="N112" s="86">
        <f>VLOOKUP($A112,'Data shares'!$C:$FA,78)</f>
        <v>23749100</v>
      </c>
      <c r="O112" s="87">
        <f>VLOOKUP($A112,'Data shares'!$C:$FA,81)</f>
        <v>-2.63E-2</v>
      </c>
    </row>
    <row r="113" spans="1:15" x14ac:dyDescent="0.25">
      <c r="A113" s="100" t="str">
        <f>'Data Vlaue (Cr)'!C108</f>
        <v>KAYNES</v>
      </c>
      <c r="B113" s="82">
        <f>VLOOKUP(A113,'Data shares'!$C$2:$CV$213,98,0)</f>
        <v>7035300</v>
      </c>
      <c r="C113" s="82">
        <f>VLOOKUP(A113,'Data shares'!$C$2:$CX$213,100,0)</f>
        <v>230300</v>
      </c>
      <c r="D113" s="141">
        <f>VLOOKUP(A113,'Data shares'!$C$2:$CY$536,101,0)</f>
        <v>3.3799999999999997E-2</v>
      </c>
      <c r="E113" s="86">
        <f>VLOOKUP($A113,'Data shares'!$C:$FA,74)</f>
        <v>3919400</v>
      </c>
      <c r="F113" s="86">
        <f>VLOOKUP($A113,'Data shares'!$C:$FA,76)</f>
        <v>96400</v>
      </c>
      <c r="G113" s="87">
        <f>VLOOKUP(A113,'Data shares'!$C$2:$CA$213,77,0)</f>
        <v>2.52E-2</v>
      </c>
      <c r="H113" s="86">
        <f>VLOOKUP($A113,'Data shares'!$C:$FA,90)</f>
        <v>1765000</v>
      </c>
      <c r="I113" s="86">
        <f>VLOOKUP($A113,'Data shares'!$C:$FA,92)</f>
        <v>130900</v>
      </c>
      <c r="J113" s="87">
        <f>VLOOKUP($A113,'Data shares'!$C:$FA,93)</f>
        <v>8.0100000000000005E-2</v>
      </c>
      <c r="K113" s="86">
        <f>VLOOKUP($A113,'Data shares'!$C:$FA,94)</f>
        <v>1350900</v>
      </c>
      <c r="L113" s="86">
        <f>VLOOKUP($A113,'Data shares'!$C:$FA,96)</f>
        <v>3000</v>
      </c>
      <c r="M113" s="87">
        <f>VLOOKUP($A113,'Data shares'!$C:$FA,97)</f>
        <v>2.2000000000000001E-3</v>
      </c>
      <c r="N113" s="86">
        <f>VLOOKUP($A113,'Data shares'!$C:$FA,78)</f>
        <v>3697600</v>
      </c>
      <c r="O113" s="87">
        <f>VLOOKUP($A113,'Data shares'!$C:$FA,81)</f>
        <v>2.1299999999999999E-2</v>
      </c>
    </row>
    <row r="114" spans="1:15" x14ac:dyDescent="0.25">
      <c r="A114" s="100" t="str">
        <f>'Data Vlaue (Cr)'!C109</f>
        <v>KEI</v>
      </c>
      <c r="B114" s="82">
        <f>VLOOKUP(A114,'Data shares'!$C$2:$CV$213,98,0)</f>
        <v>3715425</v>
      </c>
      <c r="C114" s="82">
        <f>VLOOKUP(A114,'Data shares'!$C$2:$CX$213,100,0)</f>
        <v>34825</v>
      </c>
      <c r="D114" s="141">
        <f>VLOOKUP(A114,'Data shares'!$C$2:$CY$536,101,0)</f>
        <v>9.4999999999999998E-3</v>
      </c>
      <c r="E114" s="86">
        <f>VLOOKUP($A114,'Data shares'!$C:$FA,74)</f>
        <v>1968225</v>
      </c>
      <c r="F114" s="86">
        <f>VLOOKUP($A114,'Data shares'!$C:$FA,76)</f>
        <v>37100</v>
      </c>
      <c r="G114" s="87">
        <f>VLOOKUP(A114,'Data shares'!$C$2:$CA$213,77,0)</f>
        <v>1.9199999999999998E-2</v>
      </c>
      <c r="H114" s="86">
        <f>VLOOKUP($A114,'Data shares'!$C:$FA,90)</f>
        <v>976850</v>
      </c>
      <c r="I114" s="86">
        <f>VLOOKUP($A114,'Data shares'!$C:$FA,92)</f>
        <v>23450</v>
      </c>
      <c r="J114" s="87">
        <f>VLOOKUP($A114,'Data shares'!$C:$FA,93)</f>
        <v>2.46E-2</v>
      </c>
      <c r="K114" s="86">
        <f>VLOOKUP($A114,'Data shares'!$C:$FA,94)</f>
        <v>770350</v>
      </c>
      <c r="L114" s="86">
        <f>VLOOKUP($A114,'Data shares'!$C:$FA,96)</f>
        <v>-25725</v>
      </c>
      <c r="M114" s="87">
        <f>VLOOKUP($A114,'Data shares'!$C:$FA,97)</f>
        <v>-3.2300000000000002E-2</v>
      </c>
      <c r="N114" s="86">
        <f>VLOOKUP($A114,'Data shares'!$C:$FA,78)</f>
        <v>1714650</v>
      </c>
      <c r="O114" s="87">
        <f>VLOOKUP($A114,'Data shares'!$C:$FA,81)</f>
        <v>1.4800000000000001E-2</v>
      </c>
    </row>
    <row r="115" spans="1:15" x14ac:dyDescent="0.25">
      <c r="A115" s="100" t="str">
        <f>'Data Vlaue (Cr)'!C110</f>
        <v>KFINTECH</v>
      </c>
      <c r="B115" s="82">
        <f>VLOOKUP(A115,'Data shares'!$C$2:$CV$213,98,0)</f>
        <v>5436000</v>
      </c>
      <c r="C115" s="82">
        <f>VLOOKUP(A115,'Data shares'!$C$2:$CX$213,100,0)</f>
        <v>-68000</v>
      </c>
      <c r="D115" s="141">
        <f>VLOOKUP(A115,'Data shares'!$C$2:$CY$536,101,0)</f>
        <v>-1.24E-2</v>
      </c>
      <c r="E115" s="86">
        <f>VLOOKUP($A115,'Data shares'!$C:$FA,74)</f>
        <v>2430000</v>
      </c>
      <c r="F115" s="86">
        <f>VLOOKUP($A115,'Data shares'!$C:$FA,76)</f>
        <v>-18000</v>
      </c>
      <c r="G115" s="87">
        <f>VLOOKUP(A115,'Data shares'!$C$2:$CA$213,77,0)</f>
        <v>-7.4000000000000003E-3</v>
      </c>
      <c r="H115" s="86">
        <f>VLOOKUP($A115,'Data shares'!$C:$FA,90)</f>
        <v>1875000</v>
      </c>
      <c r="I115" s="86">
        <f>VLOOKUP($A115,'Data shares'!$C:$FA,92)</f>
        <v>-65000</v>
      </c>
      <c r="J115" s="87">
        <f>VLOOKUP($A115,'Data shares'!$C:$FA,93)</f>
        <v>-3.3500000000000002E-2</v>
      </c>
      <c r="K115" s="86">
        <f>VLOOKUP($A115,'Data shares'!$C:$FA,94)</f>
        <v>1131000</v>
      </c>
      <c r="L115" s="86">
        <f>VLOOKUP($A115,'Data shares'!$C:$FA,96)</f>
        <v>15000</v>
      </c>
      <c r="M115" s="87">
        <f>VLOOKUP($A115,'Data shares'!$C:$FA,97)</f>
        <v>1.34E-2</v>
      </c>
      <c r="N115" s="86">
        <f>VLOOKUP($A115,'Data shares'!$C:$FA,78)</f>
        <v>2168500</v>
      </c>
      <c r="O115" s="87">
        <f>VLOOKUP($A115,'Data shares'!$C:$FA,81)</f>
        <v>-8.0000000000000002E-3</v>
      </c>
    </row>
    <row r="116" spans="1:15" x14ac:dyDescent="0.25">
      <c r="A116" s="100" t="str">
        <f>'Data Vlaue (Cr)'!C111</f>
        <v>KOTAKBANK</v>
      </c>
      <c r="B116" s="82">
        <f>VLOOKUP(A116,'Data shares'!$C$2:$CV$213,98,0)</f>
        <v>289916000</v>
      </c>
      <c r="C116" s="82">
        <f>VLOOKUP(A116,'Data shares'!$C$2:$CX$213,100,0)</f>
        <v>8822000</v>
      </c>
      <c r="D116" s="141">
        <f>VLOOKUP(A116,'Data shares'!$C$2:$CY$536,101,0)</f>
        <v>3.1399999999999997E-2</v>
      </c>
      <c r="E116" s="86">
        <f>VLOOKUP($A116,'Data shares'!$C:$FA,74)</f>
        <v>226342000</v>
      </c>
      <c r="F116" s="86">
        <f>VLOOKUP($A116,'Data shares'!$C:$FA,76)</f>
        <v>6084000</v>
      </c>
      <c r="G116" s="87">
        <f>VLOOKUP(A116,'Data shares'!$C$2:$CA$213,77,0)</f>
        <v>2.76E-2</v>
      </c>
      <c r="H116" s="86">
        <f>VLOOKUP($A116,'Data shares'!$C:$FA,90)</f>
        <v>38688000</v>
      </c>
      <c r="I116" s="86">
        <f>VLOOKUP($A116,'Data shares'!$C:$FA,92)</f>
        <v>2174000</v>
      </c>
      <c r="J116" s="87">
        <f>VLOOKUP($A116,'Data shares'!$C:$FA,93)</f>
        <v>5.9499999999999997E-2</v>
      </c>
      <c r="K116" s="86">
        <f>VLOOKUP($A116,'Data shares'!$C:$FA,94)</f>
        <v>24886000</v>
      </c>
      <c r="L116" s="86">
        <f>VLOOKUP($A116,'Data shares'!$C:$FA,96)</f>
        <v>564000</v>
      </c>
      <c r="M116" s="87">
        <f>VLOOKUP($A116,'Data shares'!$C:$FA,97)</f>
        <v>2.3199999999999998E-2</v>
      </c>
      <c r="N116" s="86">
        <f>VLOOKUP($A116,'Data shares'!$C:$FA,78)</f>
        <v>217652000</v>
      </c>
      <c r="O116" s="87">
        <f>VLOOKUP($A116,'Data shares'!$C:$FA,81)</f>
        <v>1.9599999999999999E-2</v>
      </c>
    </row>
    <row r="117" spans="1:15" x14ac:dyDescent="0.25">
      <c r="A117" s="100" t="str">
        <f>'Data Vlaue (Cr)'!C112</f>
        <v>KPITTECH</v>
      </c>
      <c r="B117" s="82">
        <f>VLOOKUP(A117,'Data shares'!$C$2:$CV$213,98,0)</f>
        <v>16935400</v>
      </c>
      <c r="C117" s="82">
        <f>VLOOKUP(A117,'Data shares'!$C$2:$CX$213,100,0)</f>
        <v>759900</v>
      </c>
      <c r="D117" s="141">
        <f>VLOOKUP(A117,'Data shares'!$C$2:$CY$536,101,0)</f>
        <v>4.7E-2</v>
      </c>
      <c r="E117" s="86">
        <f>VLOOKUP($A117,'Data shares'!$C:$FA,74)</f>
        <v>7953875</v>
      </c>
      <c r="F117" s="86">
        <f>VLOOKUP($A117,'Data shares'!$C:$FA,76)</f>
        <v>131325</v>
      </c>
      <c r="G117" s="87">
        <f>VLOOKUP(A117,'Data shares'!$C$2:$CA$213,77,0)</f>
        <v>1.6799999999999999E-2</v>
      </c>
      <c r="H117" s="86">
        <f>VLOOKUP($A117,'Data shares'!$C:$FA,90)</f>
        <v>5986125</v>
      </c>
      <c r="I117" s="86">
        <f>VLOOKUP($A117,'Data shares'!$C:$FA,92)</f>
        <v>605625</v>
      </c>
      <c r="J117" s="87">
        <f>VLOOKUP($A117,'Data shares'!$C:$FA,93)</f>
        <v>0.11260000000000001</v>
      </c>
      <c r="K117" s="86">
        <f>VLOOKUP($A117,'Data shares'!$C:$FA,94)</f>
        <v>2995400</v>
      </c>
      <c r="L117" s="86">
        <f>VLOOKUP($A117,'Data shares'!$C:$FA,96)</f>
        <v>22950</v>
      </c>
      <c r="M117" s="87">
        <f>VLOOKUP($A117,'Data shares'!$C:$FA,97)</f>
        <v>7.7000000000000002E-3</v>
      </c>
      <c r="N117" s="86">
        <f>VLOOKUP($A117,'Data shares'!$C:$FA,78)</f>
        <v>7301925</v>
      </c>
      <c r="O117" s="87">
        <f>VLOOKUP($A117,'Data shares'!$C:$FA,81)</f>
        <v>1.3899999999999999E-2</v>
      </c>
    </row>
    <row r="118" spans="1:15" x14ac:dyDescent="0.25">
      <c r="A118" s="100" t="str">
        <f>'Data Vlaue (Cr)'!C113</f>
        <v>LAURUSLABS</v>
      </c>
      <c r="B118" s="82">
        <f>VLOOKUP(A118,'Data shares'!$C$2:$CV$213,98,0)</f>
        <v>34129200</v>
      </c>
      <c r="C118" s="82">
        <f>VLOOKUP(A118,'Data shares'!$C$2:$CX$213,100,0)</f>
        <v>465800</v>
      </c>
      <c r="D118" s="141">
        <f>VLOOKUP(A118,'Data shares'!$C$2:$CY$536,101,0)</f>
        <v>1.38E-2</v>
      </c>
      <c r="E118" s="86">
        <f>VLOOKUP($A118,'Data shares'!$C:$FA,74)</f>
        <v>20415300</v>
      </c>
      <c r="F118" s="86">
        <f>VLOOKUP($A118,'Data shares'!$C:$FA,76)</f>
        <v>12750</v>
      </c>
      <c r="G118" s="87">
        <f>VLOOKUP(A118,'Data shares'!$C$2:$CA$213,77,0)</f>
        <v>5.9999999999999995E-4</v>
      </c>
      <c r="H118" s="86">
        <f>VLOOKUP($A118,'Data shares'!$C:$FA,90)</f>
        <v>8985350</v>
      </c>
      <c r="I118" s="86">
        <f>VLOOKUP($A118,'Data shares'!$C:$FA,92)</f>
        <v>191250</v>
      </c>
      <c r="J118" s="87">
        <f>VLOOKUP($A118,'Data shares'!$C:$FA,93)</f>
        <v>2.1700000000000001E-2</v>
      </c>
      <c r="K118" s="86">
        <f>VLOOKUP($A118,'Data shares'!$C:$FA,94)</f>
        <v>4728550</v>
      </c>
      <c r="L118" s="86">
        <f>VLOOKUP($A118,'Data shares'!$C:$FA,96)</f>
        <v>261800</v>
      </c>
      <c r="M118" s="87">
        <f>VLOOKUP($A118,'Data shares'!$C:$FA,97)</f>
        <v>5.8599999999999999E-2</v>
      </c>
      <c r="N118" s="86">
        <f>VLOOKUP($A118,'Data shares'!$C:$FA,78)</f>
        <v>18921000</v>
      </c>
      <c r="O118" s="87">
        <f>VLOOKUP($A118,'Data shares'!$C:$FA,81)</f>
        <v>-7.4000000000000003E-3</v>
      </c>
    </row>
    <row r="119" spans="1:15" x14ac:dyDescent="0.25">
      <c r="A119" s="100" t="str">
        <f>'Data Vlaue (Cr)'!C114</f>
        <v>LICHSGFIN</v>
      </c>
      <c r="B119" s="82">
        <f>VLOOKUP(A119,'Data shares'!$C$2:$CV$213,98,0)</f>
        <v>46828000</v>
      </c>
      <c r="C119" s="82">
        <f>VLOOKUP(A119,'Data shares'!$C$2:$CX$213,100,0)</f>
        <v>1448000</v>
      </c>
      <c r="D119" s="141">
        <f>VLOOKUP(A119,'Data shares'!$C$2:$CY$536,101,0)</f>
        <v>3.1899999999999998E-2</v>
      </c>
      <c r="E119" s="86">
        <f>VLOOKUP($A119,'Data shares'!$C:$FA,74)</f>
        <v>33497000</v>
      </c>
      <c r="F119" s="86">
        <f>VLOOKUP($A119,'Data shares'!$C:$FA,76)</f>
        <v>825000</v>
      </c>
      <c r="G119" s="87">
        <f>VLOOKUP(A119,'Data shares'!$C$2:$CA$213,77,0)</f>
        <v>2.53E-2</v>
      </c>
      <c r="H119" s="86">
        <f>VLOOKUP($A119,'Data shares'!$C:$FA,90)</f>
        <v>6764000</v>
      </c>
      <c r="I119" s="86">
        <f>VLOOKUP($A119,'Data shares'!$C:$FA,92)</f>
        <v>102000</v>
      </c>
      <c r="J119" s="87">
        <f>VLOOKUP($A119,'Data shares'!$C:$FA,93)</f>
        <v>1.5299999999999999E-2</v>
      </c>
      <c r="K119" s="86">
        <f>VLOOKUP($A119,'Data shares'!$C:$FA,94)</f>
        <v>6567000</v>
      </c>
      <c r="L119" s="86">
        <f>VLOOKUP($A119,'Data shares'!$C:$FA,96)</f>
        <v>521000</v>
      </c>
      <c r="M119" s="87">
        <f>VLOOKUP($A119,'Data shares'!$C:$FA,97)</f>
        <v>8.6199999999999999E-2</v>
      </c>
      <c r="N119" s="86">
        <f>VLOOKUP($A119,'Data shares'!$C:$FA,78)</f>
        <v>27774000</v>
      </c>
      <c r="O119" s="87">
        <f>VLOOKUP($A119,'Data shares'!$C:$FA,81)</f>
        <v>2.35E-2</v>
      </c>
    </row>
    <row r="120" spans="1:15" x14ac:dyDescent="0.25">
      <c r="A120" s="100" t="str">
        <f>'Data Vlaue (Cr)'!C115</f>
        <v>LICI</v>
      </c>
      <c r="B120" s="82">
        <f>VLOOKUP(A120,'Data shares'!$C$2:$CV$213,98,0)</f>
        <v>19142200</v>
      </c>
      <c r="C120" s="82">
        <f>VLOOKUP(A120,'Data shares'!$C$2:$CX$213,100,0)</f>
        <v>547400</v>
      </c>
      <c r="D120" s="141">
        <f>VLOOKUP(A120,'Data shares'!$C$2:$CY$536,101,0)</f>
        <v>2.9399999999999999E-2</v>
      </c>
      <c r="E120" s="86">
        <f>VLOOKUP($A120,'Data shares'!$C:$FA,74)</f>
        <v>9986200</v>
      </c>
      <c r="F120" s="86">
        <f>VLOOKUP($A120,'Data shares'!$C:$FA,76)</f>
        <v>134400</v>
      </c>
      <c r="G120" s="87">
        <f>VLOOKUP(A120,'Data shares'!$C$2:$CA$213,77,0)</f>
        <v>1.3599999999999999E-2</v>
      </c>
      <c r="H120" s="86">
        <f>VLOOKUP($A120,'Data shares'!$C:$FA,90)</f>
        <v>6154400</v>
      </c>
      <c r="I120" s="86">
        <f>VLOOKUP($A120,'Data shares'!$C:$FA,92)</f>
        <v>262500</v>
      </c>
      <c r="J120" s="87">
        <f>VLOOKUP($A120,'Data shares'!$C:$FA,93)</f>
        <v>4.4600000000000001E-2</v>
      </c>
      <c r="K120" s="86">
        <f>VLOOKUP($A120,'Data shares'!$C:$FA,94)</f>
        <v>3001600</v>
      </c>
      <c r="L120" s="86">
        <f>VLOOKUP($A120,'Data shares'!$C:$FA,96)</f>
        <v>150500</v>
      </c>
      <c r="M120" s="87">
        <f>VLOOKUP($A120,'Data shares'!$C:$FA,97)</f>
        <v>5.28E-2</v>
      </c>
      <c r="N120" s="86">
        <f>VLOOKUP($A120,'Data shares'!$C:$FA,78)</f>
        <v>8857100</v>
      </c>
      <c r="O120" s="87">
        <f>VLOOKUP($A120,'Data shares'!$C:$FA,81)</f>
        <v>1.04E-2</v>
      </c>
    </row>
    <row r="121" spans="1:15" x14ac:dyDescent="0.25">
      <c r="A121" s="100" t="str">
        <f>'Data Vlaue (Cr)'!C116</f>
        <v>LODHA</v>
      </c>
      <c r="B121" s="82">
        <f>VLOOKUP(A121,'Data shares'!$C$2:$CV$213,98,0)</f>
        <v>15189300</v>
      </c>
      <c r="C121" s="82">
        <f>VLOOKUP(A121,'Data shares'!$C$2:$CX$213,100,0)</f>
        <v>573300</v>
      </c>
      <c r="D121" s="141">
        <f>VLOOKUP(A121,'Data shares'!$C$2:$CY$536,101,0)</f>
        <v>3.9199999999999999E-2</v>
      </c>
      <c r="E121" s="86">
        <f>VLOOKUP($A121,'Data shares'!$C:$FA,74)</f>
        <v>9796050</v>
      </c>
      <c r="F121" s="86">
        <f>VLOOKUP($A121,'Data shares'!$C:$FA,76)</f>
        <v>81000</v>
      </c>
      <c r="G121" s="87">
        <f>VLOOKUP(A121,'Data shares'!$C$2:$CA$213,77,0)</f>
        <v>8.3000000000000001E-3</v>
      </c>
      <c r="H121" s="86">
        <f>VLOOKUP($A121,'Data shares'!$C:$FA,90)</f>
        <v>2853450</v>
      </c>
      <c r="I121" s="86">
        <f>VLOOKUP($A121,'Data shares'!$C:$FA,92)</f>
        <v>342900</v>
      </c>
      <c r="J121" s="87">
        <f>VLOOKUP($A121,'Data shares'!$C:$FA,93)</f>
        <v>0.1366</v>
      </c>
      <c r="K121" s="86">
        <f>VLOOKUP($A121,'Data shares'!$C:$FA,94)</f>
        <v>2539800</v>
      </c>
      <c r="L121" s="86">
        <f>VLOOKUP($A121,'Data shares'!$C:$FA,96)</f>
        <v>149400</v>
      </c>
      <c r="M121" s="87">
        <f>VLOOKUP($A121,'Data shares'!$C:$FA,97)</f>
        <v>6.25E-2</v>
      </c>
      <c r="N121" s="86">
        <f>VLOOKUP($A121,'Data shares'!$C:$FA,78)</f>
        <v>9519750</v>
      </c>
      <c r="O121" s="87">
        <f>VLOOKUP($A121,'Data shares'!$C:$FA,81)</f>
        <v>7.6E-3</v>
      </c>
    </row>
    <row r="122" spans="1:15" x14ac:dyDescent="0.25">
      <c r="A122" s="100" t="str">
        <f>'Data Vlaue (Cr)'!C117</f>
        <v>LT</v>
      </c>
      <c r="B122" s="82">
        <f>VLOOKUP(A122,'Data shares'!$C$2:$CV$213,98,0)</f>
        <v>33486600</v>
      </c>
      <c r="C122" s="82">
        <f>VLOOKUP(A122,'Data shares'!$C$2:$CX$213,100,0)</f>
        <v>2140250</v>
      </c>
      <c r="D122" s="141">
        <f>VLOOKUP(A122,'Data shares'!$C$2:$CY$536,101,0)</f>
        <v>6.83E-2</v>
      </c>
      <c r="E122" s="86">
        <f>VLOOKUP($A122,'Data shares'!$C:$FA,74)</f>
        <v>14596225</v>
      </c>
      <c r="F122" s="86">
        <f>VLOOKUP($A122,'Data shares'!$C:$FA,76)</f>
        <v>641725</v>
      </c>
      <c r="G122" s="87">
        <f>VLOOKUP(A122,'Data shares'!$C$2:$CA$213,77,0)</f>
        <v>4.5999999999999999E-2</v>
      </c>
      <c r="H122" s="86">
        <f>VLOOKUP($A122,'Data shares'!$C:$FA,90)</f>
        <v>12407150</v>
      </c>
      <c r="I122" s="86">
        <f>VLOOKUP($A122,'Data shares'!$C:$FA,92)</f>
        <v>956725</v>
      </c>
      <c r="J122" s="87">
        <f>VLOOKUP($A122,'Data shares'!$C:$FA,93)</f>
        <v>8.3599999999999994E-2</v>
      </c>
      <c r="K122" s="86">
        <f>VLOOKUP($A122,'Data shares'!$C:$FA,94)</f>
        <v>6483225</v>
      </c>
      <c r="L122" s="86">
        <f>VLOOKUP($A122,'Data shares'!$C:$FA,96)</f>
        <v>541800</v>
      </c>
      <c r="M122" s="87">
        <f>VLOOKUP($A122,'Data shares'!$C:$FA,97)</f>
        <v>9.1200000000000003E-2</v>
      </c>
      <c r="N122" s="86">
        <f>VLOOKUP($A122,'Data shares'!$C:$FA,78)</f>
        <v>13616225</v>
      </c>
      <c r="O122" s="87">
        <f>VLOOKUP($A122,'Data shares'!$C:$FA,81)</f>
        <v>3.6999999999999998E-2</v>
      </c>
    </row>
    <row r="123" spans="1:15" x14ac:dyDescent="0.25">
      <c r="A123" s="100" t="str">
        <f>'Data Vlaue (Cr)'!C118</f>
        <v>LTF</v>
      </c>
      <c r="B123" s="82">
        <f>VLOOKUP(A123,'Data shares'!$C$2:$CV$213,98,0)</f>
        <v>120525750</v>
      </c>
      <c r="C123" s="82">
        <f>VLOOKUP(A123,'Data shares'!$C$2:$CX$213,100,0)</f>
        <v>-1219500</v>
      </c>
      <c r="D123" s="141">
        <f>VLOOKUP(A123,'Data shares'!$C$2:$CY$536,101,0)</f>
        <v>-0.01</v>
      </c>
      <c r="E123" s="86">
        <f>VLOOKUP($A123,'Data shares'!$C:$FA,74)</f>
        <v>60581250</v>
      </c>
      <c r="F123" s="86">
        <f>VLOOKUP($A123,'Data shares'!$C:$FA,76)</f>
        <v>-1098000</v>
      </c>
      <c r="G123" s="87">
        <f>VLOOKUP(A123,'Data shares'!$C$2:$CA$213,77,0)</f>
        <v>-1.78E-2</v>
      </c>
      <c r="H123" s="86">
        <f>VLOOKUP($A123,'Data shares'!$C:$FA,90)</f>
        <v>39766500</v>
      </c>
      <c r="I123" s="86">
        <f>VLOOKUP($A123,'Data shares'!$C:$FA,92)</f>
        <v>-247500</v>
      </c>
      <c r="J123" s="87">
        <f>VLOOKUP($A123,'Data shares'!$C:$FA,93)</f>
        <v>-6.1999999999999998E-3</v>
      </c>
      <c r="K123" s="86">
        <f>VLOOKUP($A123,'Data shares'!$C:$FA,94)</f>
        <v>20178000</v>
      </c>
      <c r="L123" s="86">
        <f>VLOOKUP($A123,'Data shares'!$C:$FA,96)</f>
        <v>126000</v>
      </c>
      <c r="M123" s="87">
        <f>VLOOKUP($A123,'Data shares'!$C:$FA,97)</f>
        <v>6.3E-3</v>
      </c>
      <c r="N123" s="86">
        <f>VLOOKUP($A123,'Data shares'!$C:$FA,78)</f>
        <v>55806750</v>
      </c>
      <c r="O123" s="87">
        <f>VLOOKUP($A123,'Data shares'!$C:$FA,81)</f>
        <v>-1.77E-2</v>
      </c>
    </row>
    <row r="124" spans="1:15" x14ac:dyDescent="0.25">
      <c r="A124" s="100" t="str">
        <f>'Data Vlaue (Cr)'!C119</f>
        <v>LTM</v>
      </c>
      <c r="B124" s="82">
        <f>VLOOKUP(A124,'Data shares'!$C$2:$CV$213,98,0)</f>
        <v>5791050</v>
      </c>
      <c r="C124" s="82">
        <f>VLOOKUP(A124,'Data shares'!$C$2:$CX$213,100,0)</f>
        <v>103350</v>
      </c>
      <c r="D124" s="141">
        <f>VLOOKUP(A124,'Data shares'!$C$2:$CY$536,101,0)</f>
        <v>1.8200000000000001E-2</v>
      </c>
      <c r="E124" s="86">
        <f>VLOOKUP($A124,'Data shares'!$C:$FA,74)</f>
        <v>3529050</v>
      </c>
      <c r="F124" s="86">
        <f>VLOOKUP($A124,'Data shares'!$C:$FA,76)</f>
        <v>145200</v>
      </c>
      <c r="G124" s="87">
        <f>VLOOKUP(A124,'Data shares'!$C$2:$CA$213,77,0)</f>
        <v>4.2900000000000001E-2</v>
      </c>
      <c r="H124" s="86">
        <f>VLOOKUP($A124,'Data shares'!$C:$FA,90)</f>
        <v>1364850</v>
      </c>
      <c r="I124" s="86">
        <f>VLOOKUP($A124,'Data shares'!$C:$FA,92)</f>
        <v>-59850</v>
      </c>
      <c r="J124" s="87">
        <f>VLOOKUP($A124,'Data shares'!$C:$FA,93)</f>
        <v>-4.2000000000000003E-2</v>
      </c>
      <c r="K124" s="86">
        <f>VLOOKUP($A124,'Data shares'!$C:$FA,94)</f>
        <v>897150</v>
      </c>
      <c r="L124" s="86">
        <f>VLOOKUP($A124,'Data shares'!$C:$FA,96)</f>
        <v>18000</v>
      </c>
      <c r="M124" s="87">
        <f>VLOOKUP($A124,'Data shares'!$C:$FA,97)</f>
        <v>2.0500000000000001E-2</v>
      </c>
      <c r="N124" s="86">
        <f>VLOOKUP($A124,'Data shares'!$C:$FA,78)</f>
        <v>3329100</v>
      </c>
      <c r="O124" s="87">
        <f>VLOOKUP($A124,'Data shares'!$C:$FA,81)</f>
        <v>1.89E-2</v>
      </c>
    </row>
    <row r="125" spans="1:15" x14ac:dyDescent="0.25">
      <c r="A125" s="100" t="str">
        <f>'Data Vlaue (Cr)'!C120</f>
        <v>LUPIN</v>
      </c>
      <c r="B125" s="82">
        <f>VLOOKUP(A125,'Data shares'!$C$2:$CV$213,98,0)</f>
        <v>13235350</v>
      </c>
      <c r="C125" s="82">
        <f>VLOOKUP(A125,'Data shares'!$C$2:$CX$213,100,0)</f>
        <v>337025</v>
      </c>
      <c r="D125" s="141">
        <f>VLOOKUP(A125,'Data shares'!$C$2:$CY$536,101,0)</f>
        <v>2.6100000000000002E-2</v>
      </c>
      <c r="E125" s="86">
        <f>VLOOKUP($A125,'Data shares'!$C:$FA,74)</f>
        <v>7490200</v>
      </c>
      <c r="F125" s="86">
        <f>VLOOKUP($A125,'Data shares'!$C:$FA,76)</f>
        <v>187850</v>
      </c>
      <c r="G125" s="87">
        <f>VLOOKUP(A125,'Data shares'!$C$2:$CA$213,77,0)</f>
        <v>2.5700000000000001E-2</v>
      </c>
      <c r="H125" s="86">
        <f>VLOOKUP($A125,'Data shares'!$C:$FA,90)</f>
        <v>3599750</v>
      </c>
      <c r="I125" s="86">
        <f>VLOOKUP($A125,'Data shares'!$C:$FA,92)</f>
        <v>28475</v>
      </c>
      <c r="J125" s="87">
        <f>VLOOKUP($A125,'Data shares'!$C:$FA,93)</f>
        <v>8.0000000000000002E-3</v>
      </c>
      <c r="K125" s="86">
        <f>VLOOKUP($A125,'Data shares'!$C:$FA,94)</f>
        <v>2145400</v>
      </c>
      <c r="L125" s="86">
        <f>VLOOKUP($A125,'Data shares'!$C:$FA,96)</f>
        <v>120700</v>
      </c>
      <c r="M125" s="87">
        <f>VLOOKUP($A125,'Data shares'!$C:$FA,97)</f>
        <v>5.96E-2</v>
      </c>
      <c r="N125" s="86">
        <f>VLOOKUP($A125,'Data shares'!$C:$FA,78)</f>
        <v>7259425</v>
      </c>
      <c r="O125" s="87">
        <f>VLOOKUP($A125,'Data shares'!$C:$FA,81)</f>
        <v>2.47E-2</v>
      </c>
    </row>
    <row r="126" spans="1:15" x14ac:dyDescent="0.25">
      <c r="A126" s="100" t="str">
        <f>'Data Vlaue (Cr)'!C121</f>
        <v>M&amp;M</v>
      </c>
      <c r="B126" s="82">
        <f>VLOOKUP(A126,'Data shares'!$C$2:$CV$213,98,0)</f>
        <v>28936200</v>
      </c>
      <c r="C126" s="82">
        <f>VLOOKUP(A126,'Data shares'!$C$2:$CX$213,100,0)</f>
        <v>2019000</v>
      </c>
      <c r="D126" s="141">
        <f>VLOOKUP(A126,'Data shares'!$C$2:$CY$536,101,0)</f>
        <v>7.4999999999999997E-2</v>
      </c>
      <c r="E126" s="86">
        <f>VLOOKUP($A126,'Data shares'!$C:$FA,74)</f>
        <v>18644400</v>
      </c>
      <c r="F126" s="86">
        <f>VLOOKUP($A126,'Data shares'!$C:$FA,76)</f>
        <v>795200</v>
      </c>
      <c r="G126" s="87">
        <f>VLOOKUP(A126,'Data shares'!$C$2:$CA$213,77,0)</f>
        <v>4.4600000000000001E-2</v>
      </c>
      <c r="H126" s="86">
        <f>VLOOKUP($A126,'Data shares'!$C:$FA,90)</f>
        <v>6546200</v>
      </c>
      <c r="I126" s="86">
        <f>VLOOKUP($A126,'Data shares'!$C:$FA,92)</f>
        <v>973200</v>
      </c>
      <c r="J126" s="87">
        <f>VLOOKUP($A126,'Data shares'!$C:$FA,93)</f>
        <v>0.17460000000000001</v>
      </c>
      <c r="K126" s="86">
        <f>VLOOKUP($A126,'Data shares'!$C:$FA,94)</f>
        <v>3745600</v>
      </c>
      <c r="L126" s="86">
        <f>VLOOKUP($A126,'Data shares'!$C:$FA,96)</f>
        <v>250600</v>
      </c>
      <c r="M126" s="87">
        <f>VLOOKUP($A126,'Data shares'!$C:$FA,97)</f>
        <v>7.17E-2</v>
      </c>
      <c r="N126" s="86">
        <f>VLOOKUP($A126,'Data shares'!$C:$FA,78)</f>
        <v>17858200</v>
      </c>
      <c r="O126" s="87">
        <f>VLOOKUP($A126,'Data shares'!$C:$FA,81)</f>
        <v>3.2300000000000002E-2</v>
      </c>
    </row>
    <row r="127" spans="1:15" x14ac:dyDescent="0.25">
      <c r="A127" s="100" t="str">
        <f>'Data Vlaue (Cr)'!C122</f>
        <v>MANAPPURAM</v>
      </c>
      <c r="B127" s="82">
        <f>VLOOKUP(A127,'Data shares'!$C$2:$CV$213,98,0)</f>
        <v>102237000</v>
      </c>
      <c r="C127" s="82">
        <f>VLOOKUP(A127,'Data shares'!$C$2:$CX$213,100,0)</f>
        <v>3204000</v>
      </c>
      <c r="D127" s="141">
        <f>VLOOKUP(A127,'Data shares'!$C$2:$CY$536,101,0)</f>
        <v>3.2399999999999998E-2</v>
      </c>
      <c r="E127" s="86">
        <f>VLOOKUP($A127,'Data shares'!$C:$FA,74)</f>
        <v>57594000</v>
      </c>
      <c r="F127" s="86">
        <f>VLOOKUP($A127,'Data shares'!$C:$FA,76)</f>
        <v>1818000</v>
      </c>
      <c r="G127" s="87">
        <f>VLOOKUP(A127,'Data shares'!$C$2:$CA$213,77,0)</f>
        <v>3.2599999999999997E-2</v>
      </c>
      <c r="H127" s="86">
        <f>VLOOKUP($A127,'Data shares'!$C:$FA,90)</f>
        <v>23907000</v>
      </c>
      <c r="I127" s="86">
        <f>VLOOKUP($A127,'Data shares'!$C:$FA,92)</f>
        <v>1056000</v>
      </c>
      <c r="J127" s="87">
        <f>VLOOKUP($A127,'Data shares'!$C:$FA,93)</f>
        <v>4.6199999999999998E-2</v>
      </c>
      <c r="K127" s="86">
        <f>VLOOKUP($A127,'Data shares'!$C:$FA,94)</f>
        <v>20736000</v>
      </c>
      <c r="L127" s="86">
        <f>VLOOKUP($A127,'Data shares'!$C:$FA,96)</f>
        <v>330000</v>
      </c>
      <c r="M127" s="87">
        <f>VLOOKUP($A127,'Data shares'!$C:$FA,97)</f>
        <v>1.6199999999999999E-2</v>
      </c>
      <c r="N127" s="86">
        <f>VLOOKUP($A127,'Data shares'!$C:$FA,78)</f>
        <v>55644000</v>
      </c>
      <c r="O127" s="87">
        <f>VLOOKUP($A127,'Data shares'!$C:$FA,81)</f>
        <v>3.3399999999999999E-2</v>
      </c>
    </row>
    <row r="128" spans="1:15" x14ac:dyDescent="0.25">
      <c r="A128" s="100" t="str">
        <f>'Data Vlaue (Cr)'!C123</f>
        <v>MANKIND</v>
      </c>
      <c r="B128" s="82">
        <f>VLOOKUP(A128,'Data shares'!$C$2:$CV$213,98,0)</f>
        <v>4400775</v>
      </c>
      <c r="C128" s="82">
        <f>VLOOKUP(A128,'Data shares'!$C$2:$CX$213,100,0)</f>
        <v>450</v>
      </c>
      <c r="D128" s="141">
        <f>VLOOKUP(A128,'Data shares'!$C$2:$CY$536,101,0)</f>
        <v>1E-4</v>
      </c>
      <c r="E128" s="86">
        <f>VLOOKUP($A128,'Data shares'!$C:$FA,74)</f>
        <v>2672775</v>
      </c>
      <c r="F128" s="86">
        <f>VLOOKUP($A128,'Data shares'!$C:$FA,76)</f>
        <v>9000</v>
      </c>
      <c r="G128" s="87">
        <f>VLOOKUP(A128,'Data shares'!$C$2:$CA$213,77,0)</f>
        <v>3.3999999999999998E-3</v>
      </c>
      <c r="H128" s="86">
        <f>VLOOKUP($A128,'Data shares'!$C:$FA,90)</f>
        <v>1159875</v>
      </c>
      <c r="I128" s="86">
        <f>VLOOKUP($A128,'Data shares'!$C:$FA,92)</f>
        <v>19350</v>
      </c>
      <c r="J128" s="87">
        <f>VLOOKUP($A128,'Data shares'!$C:$FA,93)</f>
        <v>1.7000000000000001E-2</v>
      </c>
      <c r="K128" s="86">
        <f>VLOOKUP($A128,'Data shares'!$C:$FA,94)</f>
        <v>568125</v>
      </c>
      <c r="L128" s="86">
        <f>VLOOKUP($A128,'Data shares'!$C:$FA,96)</f>
        <v>-27900</v>
      </c>
      <c r="M128" s="87">
        <f>VLOOKUP($A128,'Data shares'!$C:$FA,97)</f>
        <v>-4.6800000000000001E-2</v>
      </c>
      <c r="N128" s="86">
        <f>VLOOKUP($A128,'Data shares'!$C:$FA,78)</f>
        <v>2603025</v>
      </c>
      <c r="O128" s="87">
        <f>VLOOKUP($A128,'Data shares'!$C:$FA,81)</f>
        <v>4.1000000000000003E-3</v>
      </c>
    </row>
    <row r="129" spans="1:15" x14ac:dyDescent="0.25">
      <c r="A129" s="100" t="str">
        <f>'Data Vlaue (Cr)'!C124</f>
        <v>MARICO</v>
      </c>
      <c r="B129" s="82">
        <f>VLOOKUP(A129,'Data shares'!$C$2:$CV$213,98,0)</f>
        <v>34574400</v>
      </c>
      <c r="C129" s="82">
        <f>VLOOKUP(A129,'Data shares'!$C$2:$CX$213,100,0)</f>
        <v>298800</v>
      </c>
      <c r="D129" s="141">
        <f>VLOOKUP(A129,'Data shares'!$C$2:$CY$536,101,0)</f>
        <v>8.6999999999999994E-3</v>
      </c>
      <c r="E129" s="86">
        <f>VLOOKUP($A129,'Data shares'!$C:$FA,74)</f>
        <v>25310400</v>
      </c>
      <c r="F129" s="86">
        <f>VLOOKUP($A129,'Data shares'!$C:$FA,76)</f>
        <v>-598800</v>
      </c>
      <c r="G129" s="87">
        <f>VLOOKUP(A129,'Data shares'!$C$2:$CA$213,77,0)</f>
        <v>-2.3099999999999999E-2</v>
      </c>
      <c r="H129" s="86">
        <f>VLOOKUP($A129,'Data shares'!$C:$FA,90)</f>
        <v>5839200</v>
      </c>
      <c r="I129" s="86">
        <f>VLOOKUP($A129,'Data shares'!$C:$FA,92)</f>
        <v>530400</v>
      </c>
      <c r="J129" s="87">
        <f>VLOOKUP($A129,'Data shares'!$C:$FA,93)</f>
        <v>9.9900000000000003E-2</v>
      </c>
      <c r="K129" s="86">
        <f>VLOOKUP($A129,'Data shares'!$C:$FA,94)</f>
        <v>3424800</v>
      </c>
      <c r="L129" s="86">
        <f>VLOOKUP($A129,'Data shares'!$C:$FA,96)</f>
        <v>367200</v>
      </c>
      <c r="M129" s="87">
        <f>VLOOKUP($A129,'Data shares'!$C:$FA,97)</f>
        <v>0.1201</v>
      </c>
      <c r="N129" s="86">
        <f>VLOOKUP($A129,'Data shares'!$C:$FA,78)</f>
        <v>25130400</v>
      </c>
      <c r="O129" s="87">
        <f>VLOOKUP($A129,'Data shares'!$C:$FA,81)</f>
        <v>-2.63E-2</v>
      </c>
    </row>
    <row r="130" spans="1:15" x14ac:dyDescent="0.25">
      <c r="A130" s="100" t="str">
        <f>'Data Vlaue (Cr)'!C125</f>
        <v>MARUTI</v>
      </c>
      <c r="B130" s="82">
        <f>VLOOKUP(A130,'Data shares'!$C$2:$CV$213,98,0)</f>
        <v>6659350</v>
      </c>
      <c r="C130" s="82">
        <f>VLOOKUP(A130,'Data shares'!$C$2:$CX$213,100,0)</f>
        <v>499500</v>
      </c>
      <c r="D130" s="141">
        <f>VLOOKUP(A130,'Data shares'!$C$2:$CY$536,101,0)</f>
        <v>8.1100000000000005E-2</v>
      </c>
      <c r="E130" s="86">
        <f>VLOOKUP($A130,'Data shares'!$C:$FA,74)</f>
        <v>2852700</v>
      </c>
      <c r="F130" s="86">
        <f>VLOOKUP($A130,'Data shares'!$C:$FA,76)</f>
        <v>69300</v>
      </c>
      <c r="G130" s="87">
        <f>VLOOKUP(A130,'Data shares'!$C$2:$CA$213,77,0)</f>
        <v>2.4899999999999999E-2</v>
      </c>
      <c r="H130" s="86">
        <f>VLOOKUP($A130,'Data shares'!$C:$FA,90)</f>
        <v>2731350</v>
      </c>
      <c r="I130" s="86">
        <f>VLOOKUP($A130,'Data shares'!$C:$FA,92)</f>
        <v>354050</v>
      </c>
      <c r="J130" s="87">
        <f>VLOOKUP($A130,'Data shares'!$C:$FA,93)</f>
        <v>0.1489</v>
      </c>
      <c r="K130" s="86">
        <f>VLOOKUP($A130,'Data shares'!$C:$FA,94)</f>
        <v>1075300</v>
      </c>
      <c r="L130" s="86">
        <f>VLOOKUP($A130,'Data shares'!$C:$FA,96)</f>
        <v>76150</v>
      </c>
      <c r="M130" s="87">
        <f>VLOOKUP($A130,'Data shares'!$C:$FA,97)</f>
        <v>7.6200000000000004E-2</v>
      </c>
      <c r="N130" s="86">
        <f>VLOOKUP($A130,'Data shares'!$C:$FA,78)</f>
        <v>2756800</v>
      </c>
      <c r="O130" s="87">
        <f>VLOOKUP($A130,'Data shares'!$C:$FA,81)</f>
        <v>1.9300000000000001E-2</v>
      </c>
    </row>
    <row r="131" spans="1:15" x14ac:dyDescent="0.25">
      <c r="A131" s="100" t="str">
        <f>'Data Vlaue (Cr)'!C126</f>
        <v>MAXHEALTH</v>
      </c>
      <c r="B131" s="82">
        <f>VLOOKUP(A131,'Data shares'!$C$2:$CV$213,98,0)</f>
        <v>18439050</v>
      </c>
      <c r="C131" s="82">
        <f>VLOOKUP(A131,'Data shares'!$C$2:$CX$213,100,0)</f>
        <v>44625</v>
      </c>
      <c r="D131" s="141">
        <f>VLOOKUP(A131,'Data shares'!$C$2:$CY$536,101,0)</f>
        <v>2.3999999999999998E-3</v>
      </c>
      <c r="E131" s="86">
        <f>VLOOKUP($A131,'Data shares'!$C:$FA,74)</f>
        <v>13491450</v>
      </c>
      <c r="F131" s="86">
        <f>VLOOKUP($A131,'Data shares'!$C:$FA,76)</f>
        <v>-134400</v>
      </c>
      <c r="G131" s="87">
        <f>VLOOKUP(A131,'Data shares'!$C$2:$CA$213,77,0)</f>
        <v>-9.9000000000000008E-3</v>
      </c>
      <c r="H131" s="86">
        <f>VLOOKUP($A131,'Data shares'!$C:$FA,90)</f>
        <v>2662275</v>
      </c>
      <c r="I131" s="86">
        <f>VLOOKUP($A131,'Data shares'!$C:$FA,92)</f>
        <v>110250</v>
      </c>
      <c r="J131" s="87">
        <f>VLOOKUP($A131,'Data shares'!$C:$FA,93)</f>
        <v>4.3200000000000002E-2</v>
      </c>
      <c r="K131" s="86">
        <f>VLOOKUP($A131,'Data shares'!$C:$FA,94)</f>
        <v>2285325</v>
      </c>
      <c r="L131" s="86">
        <f>VLOOKUP($A131,'Data shares'!$C:$FA,96)</f>
        <v>68775</v>
      </c>
      <c r="M131" s="87">
        <f>VLOOKUP($A131,'Data shares'!$C:$FA,97)</f>
        <v>3.1E-2</v>
      </c>
      <c r="N131" s="86">
        <f>VLOOKUP($A131,'Data shares'!$C:$FA,78)</f>
        <v>13265175</v>
      </c>
      <c r="O131" s="87">
        <f>VLOOKUP($A131,'Data shares'!$C:$FA,81)</f>
        <v>-1.17E-2</v>
      </c>
    </row>
    <row r="132" spans="1:15" x14ac:dyDescent="0.25">
      <c r="A132" s="100" t="str">
        <f>'Data Vlaue (Cr)'!C127</f>
        <v>MAZDOCK</v>
      </c>
      <c r="B132" s="82">
        <f>VLOOKUP(A132,'Data shares'!$C$2:$CV$213,98,0)</f>
        <v>12564800</v>
      </c>
      <c r="C132" s="82">
        <f>VLOOKUP(A132,'Data shares'!$C$2:$CX$213,100,0)</f>
        <v>353400</v>
      </c>
      <c r="D132" s="141">
        <f>VLOOKUP(A132,'Data shares'!$C$2:$CY$536,101,0)</f>
        <v>2.8899999999999999E-2</v>
      </c>
      <c r="E132" s="86">
        <f>VLOOKUP($A132,'Data shares'!$C:$FA,74)</f>
        <v>5146600</v>
      </c>
      <c r="F132" s="86">
        <f>VLOOKUP($A132,'Data shares'!$C:$FA,76)</f>
        <v>403000</v>
      </c>
      <c r="G132" s="87">
        <f>VLOOKUP(A132,'Data shares'!$C$2:$CA$213,77,0)</f>
        <v>8.5000000000000006E-2</v>
      </c>
      <c r="H132" s="86">
        <f>VLOOKUP($A132,'Data shares'!$C:$FA,90)</f>
        <v>4607400</v>
      </c>
      <c r="I132" s="86">
        <f>VLOOKUP($A132,'Data shares'!$C:$FA,92)</f>
        <v>-155000</v>
      </c>
      <c r="J132" s="87">
        <f>VLOOKUP($A132,'Data shares'!$C:$FA,93)</f>
        <v>-3.2500000000000001E-2</v>
      </c>
      <c r="K132" s="86">
        <f>VLOOKUP($A132,'Data shares'!$C:$FA,94)</f>
        <v>2810800</v>
      </c>
      <c r="L132" s="86">
        <f>VLOOKUP($A132,'Data shares'!$C:$FA,96)</f>
        <v>105400</v>
      </c>
      <c r="M132" s="87">
        <f>VLOOKUP($A132,'Data shares'!$C:$FA,97)</f>
        <v>3.9E-2</v>
      </c>
      <c r="N132" s="86">
        <f>VLOOKUP($A132,'Data shares'!$C:$FA,78)</f>
        <v>4299000</v>
      </c>
      <c r="O132" s="87">
        <f>VLOOKUP($A132,'Data shares'!$C:$FA,81)</f>
        <v>7.6600000000000001E-2</v>
      </c>
    </row>
    <row r="133" spans="1:15" x14ac:dyDescent="0.25">
      <c r="A133" s="100" t="str">
        <f>'Data Vlaue (Cr)'!C128</f>
        <v>MCX</v>
      </c>
      <c r="B133" s="82">
        <f>VLOOKUP(A133,'Data shares'!$C$2:$CV$213,98,0)</f>
        <v>27298125</v>
      </c>
      <c r="C133" s="82">
        <f>VLOOKUP(A133,'Data shares'!$C$2:$CX$213,100,0)</f>
        <v>2500</v>
      </c>
      <c r="D133" s="141">
        <f>VLOOKUP(A133,'Data shares'!$C$2:$CY$536,101,0)</f>
        <v>1E-4</v>
      </c>
      <c r="E133" s="86">
        <f>VLOOKUP($A133,'Data shares'!$C:$FA,74)</f>
        <v>13342500</v>
      </c>
      <c r="F133" s="86">
        <f>VLOOKUP($A133,'Data shares'!$C:$FA,76)</f>
        <v>85625</v>
      </c>
      <c r="G133" s="87">
        <f>VLOOKUP(A133,'Data shares'!$C$2:$CA$213,77,0)</f>
        <v>6.4999999999999997E-3</v>
      </c>
      <c r="H133" s="86">
        <f>VLOOKUP($A133,'Data shares'!$C:$FA,90)</f>
        <v>8058125</v>
      </c>
      <c r="I133" s="86">
        <f>VLOOKUP($A133,'Data shares'!$C:$FA,92)</f>
        <v>-10000</v>
      </c>
      <c r="J133" s="87">
        <f>VLOOKUP($A133,'Data shares'!$C:$FA,93)</f>
        <v>-1.1999999999999999E-3</v>
      </c>
      <c r="K133" s="86">
        <f>VLOOKUP($A133,'Data shares'!$C:$FA,94)</f>
        <v>5897500</v>
      </c>
      <c r="L133" s="86">
        <f>VLOOKUP($A133,'Data shares'!$C:$FA,96)</f>
        <v>-73125</v>
      </c>
      <c r="M133" s="87">
        <f>VLOOKUP($A133,'Data shares'!$C:$FA,97)</f>
        <v>-1.2200000000000001E-2</v>
      </c>
      <c r="N133" s="86">
        <f>VLOOKUP($A133,'Data shares'!$C:$FA,78)</f>
        <v>12536250</v>
      </c>
      <c r="O133" s="87">
        <f>VLOOKUP($A133,'Data shares'!$C:$FA,81)</f>
        <v>6.3E-3</v>
      </c>
    </row>
    <row r="134" spans="1:15" x14ac:dyDescent="0.25">
      <c r="A134" s="100" t="str">
        <f>'Data Vlaue (Cr)'!C129</f>
        <v>MFSL</v>
      </c>
      <c r="B134" s="82">
        <f>VLOOKUP(A134,'Data shares'!$C$2:$CV$213,98,0)</f>
        <v>11172800</v>
      </c>
      <c r="C134" s="82">
        <f>VLOOKUP(A134,'Data shares'!$C$2:$CX$213,100,0)</f>
        <v>136800</v>
      </c>
      <c r="D134" s="141">
        <f>VLOOKUP(A134,'Data shares'!$C$2:$CY$536,101,0)</f>
        <v>1.24E-2</v>
      </c>
      <c r="E134" s="86">
        <f>VLOOKUP($A134,'Data shares'!$C:$FA,74)</f>
        <v>9387200</v>
      </c>
      <c r="F134" s="86">
        <f>VLOOKUP($A134,'Data shares'!$C:$FA,76)</f>
        <v>102400</v>
      </c>
      <c r="G134" s="87">
        <f>VLOOKUP(A134,'Data shares'!$C$2:$CA$213,77,0)</f>
        <v>1.0999999999999999E-2</v>
      </c>
      <c r="H134" s="86">
        <f>VLOOKUP($A134,'Data shares'!$C:$FA,90)</f>
        <v>931600</v>
      </c>
      <c r="I134" s="86">
        <f>VLOOKUP($A134,'Data shares'!$C:$FA,92)</f>
        <v>-13200</v>
      </c>
      <c r="J134" s="87">
        <f>VLOOKUP($A134,'Data shares'!$C:$FA,93)</f>
        <v>-1.4E-2</v>
      </c>
      <c r="K134" s="86">
        <f>VLOOKUP($A134,'Data shares'!$C:$FA,94)</f>
        <v>854000</v>
      </c>
      <c r="L134" s="86">
        <f>VLOOKUP($A134,'Data shares'!$C:$FA,96)</f>
        <v>47600</v>
      </c>
      <c r="M134" s="87">
        <f>VLOOKUP($A134,'Data shares'!$C:$FA,97)</f>
        <v>5.8999999999999997E-2</v>
      </c>
      <c r="N134" s="86">
        <f>VLOOKUP($A134,'Data shares'!$C:$FA,78)</f>
        <v>9362000</v>
      </c>
      <c r="O134" s="87">
        <f>VLOOKUP($A134,'Data shares'!$C:$FA,81)</f>
        <v>1.09E-2</v>
      </c>
    </row>
    <row r="135" spans="1:15" x14ac:dyDescent="0.25">
      <c r="A135" s="100" t="str">
        <f>'Data Vlaue (Cr)'!C130</f>
        <v>MIDCPNIFTY</v>
      </c>
      <c r="B135" s="82">
        <f>VLOOKUP(A135,'Data shares'!$C$2:$CV$213,98,0)</f>
        <v>15640440</v>
      </c>
      <c r="C135" s="82">
        <f>VLOOKUP(A135,'Data shares'!$C$2:$CX$213,100,0)</f>
        <v>353640</v>
      </c>
      <c r="D135" s="141">
        <f>VLOOKUP(A135,'Data shares'!$C$2:$CY$536,101,0)</f>
        <v>2.3099999999999999E-2</v>
      </c>
      <c r="E135" s="86">
        <f>VLOOKUP($A135,'Data shares'!$C:$FA,74)</f>
        <v>2970840</v>
      </c>
      <c r="F135" s="86">
        <f>VLOOKUP($A135,'Data shares'!$C:$FA,76)</f>
        <v>18960</v>
      </c>
      <c r="G135" s="87">
        <f>VLOOKUP(A135,'Data shares'!$C$2:$CA$213,77,0)</f>
        <v>6.4000000000000003E-3</v>
      </c>
      <c r="H135" s="86">
        <f>VLOOKUP($A135,'Data shares'!$C:$FA,90)</f>
        <v>6489720</v>
      </c>
      <c r="I135" s="86">
        <f>VLOOKUP($A135,'Data shares'!$C:$FA,92)</f>
        <v>108480</v>
      </c>
      <c r="J135" s="87">
        <f>VLOOKUP($A135,'Data shares'!$C:$FA,93)</f>
        <v>1.7000000000000001E-2</v>
      </c>
      <c r="K135" s="86">
        <f>VLOOKUP($A135,'Data shares'!$C:$FA,94)</f>
        <v>6179880</v>
      </c>
      <c r="L135" s="86">
        <f>VLOOKUP($A135,'Data shares'!$C:$FA,96)</f>
        <v>226200</v>
      </c>
      <c r="M135" s="87">
        <f>VLOOKUP($A135,'Data shares'!$C:$FA,97)</f>
        <v>3.7999999999999999E-2</v>
      </c>
      <c r="N135" s="86">
        <f>VLOOKUP($A135,'Data shares'!$C:$FA,78)</f>
        <v>2825160</v>
      </c>
      <c r="O135" s="87">
        <f>VLOOKUP($A135,'Data shares'!$C:$FA,81)</f>
        <v>-5.9999999999999995E-4</v>
      </c>
    </row>
    <row r="136" spans="1:15" x14ac:dyDescent="0.25">
      <c r="A136" s="100" t="str">
        <f>'Data Vlaue (Cr)'!C131</f>
        <v>MOTHERSON</v>
      </c>
      <c r="B136" s="82">
        <f>VLOOKUP(A136,'Data shares'!$C$2:$CV$213,98,0)</f>
        <v>209905650</v>
      </c>
      <c r="C136" s="82">
        <f>VLOOKUP(A136,'Data shares'!$C$2:$CX$213,100,0)</f>
        <v>1051650</v>
      </c>
      <c r="D136" s="141">
        <f>VLOOKUP(A136,'Data shares'!$C$2:$CY$536,101,0)</f>
        <v>5.0000000000000001E-3</v>
      </c>
      <c r="E136" s="86">
        <f>VLOOKUP($A136,'Data shares'!$C:$FA,74)</f>
        <v>126640800</v>
      </c>
      <c r="F136" s="86">
        <f>VLOOKUP($A136,'Data shares'!$C:$FA,76)</f>
        <v>-4557150</v>
      </c>
      <c r="G136" s="87">
        <f>VLOOKUP(A136,'Data shares'!$C$2:$CA$213,77,0)</f>
        <v>-3.4700000000000002E-2</v>
      </c>
      <c r="H136" s="86">
        <f>VLOOKUP($A136,'Data shares'!$C:$FA,90)</f>
        <v>49845750</v>
      </c>
      <c r="I136" s="86">
        <f>VLOOKUP($A136,'Data shares'!$C:$FA,92)</f>
        <v>4624800</v>
      </c>
      <c r="J136" s="87">
        <f>VLOOKUP($A136,'Data shares'!$C:$FA,93)</f>
        <v>0.1023</v>
      </c>
      <c r="K136" s="86">
        <f>VLOOKUP($A136,'Data shares'!$C:$FA,94)</f>
        <v>33419100</v>
      </c>
      <c r="L136" s="86">
        <f>VLOOKUP($A136,'Data shares'!$C:$FA,96)</f>
        <v>984000</v>
      </c>
      <c r="M136" s="87">
        <f>VLOOKUP($A136,'Data shares'!$C:$FA,97)</f>
        <v>3.0300000000000001E-2</v>
      </c>
      <c r="N136" s="86">
        <f>VLOOKUP($A136,'Data shares'!$C:$FA,78)</f>
        <v>122348100</v>
      </c>
      <c r="O136" s="87">
        <f>VLOOKUP($A136,'Data shares'!$C:$FA,81)</f>
        <v>-4.2900000000000001E-2</v>
      </c>
    </row>
    <row r="137" spans="1:15" x14ac:dyDescent="0.25">
      <c r="A137" s="100" t="str">
        <f>'Data Vlaue (Cr)'!C132</f>
        <v>MPHASIS</v>
      </c>
      <c r="B137" s="82">
        <f>VLOOKUP(A137,'Data shares'!$C$2:$CV$213,98,0)</f>
        <v>7737125</v>
      </c>
      <c r="C137" s="82">
        <f>VLOOKUP(A137,'Data shares'!$C$2:$CX$213,100,0)</f>
        <v>111925</v>
      </c>
      <c r="D137" s="141">
        <f>VLOOKUP(A137,'Data shares'!$C$2:$CY$536,101,0)</f>
        <v>1.47E-2</v>
      </c>
      <c r="E137" s="86">
        <f>VLOOKUP($A137,'Data shares'!$C:$FA,74)</f>
        <v>5485700</v>
      </c>
      <c r="F137" s="86">
        <f>VLOOKUP($A137,'Data shares'!$C:$FA,76)</f>
        <v>-6600</v>
      </c>
      <c r="G137" s="87">
        <f>VLOOKUP(A137,'Data shares'!$C$2:$CA$213,77,0)</f>
        <v>-1.1999999999999999E-3</v>
      </c>
      <c r="H137" s="86">
        <f>VLOOKUP($A137,'Data shares'!$C:$FA,90)</f>
        <v>1454200</v>
      </c>
      <c r="I137" s="86">
        <f>VLOOKUP($A137,'Data shares'!$C:$FA,92)</f>
        <v>145750</v>
      </c>
      <c r="J137" s="87">
        <f>VLOOKUP($A137,'Data shares'!$C:$FA,93)</f>
        <v>0.1114</v>
      </c>
      <c r="K137" s="86">
        <f>VLOOKUP($A137,'Data shares'!$C:$FA,94)</f>
        <v>797225</v>
      </c>
      <c r="L137" s="86">
        <f>VLOOKUP($A137,'Data shares'!$C:$FA,96)</f>
        <v>-27225</v>
      </c>
      <c r="M137" s="87">
        <f>VLOOKUP($A137,'Data shares'!$C:$FA,97)</f>
        <v>-3.3000000000000002E-2</v>
      </c>
      <c r="N137" s="86">
        <f>VLOOKUP($A137,'Data shares'!$C:$FA,78)</f>
        <v>5348475</v>
      </c>
      <c r="O137" s="87">
        <f>VLOOKUP($A137,'Data shares'!$C:$FA,81)</f>
        <v>-1E-3</v>
      </c>
    </row>
    <row r="138" spans="1:15" x14ac:dyDescent="0.25">
      <c r="A138" s="100" t="str">
        <f>'Data Vlaue (Cr)'!C133</f>
        <v>MUTHOOTFIN</v>
      </c>
      <c r="B138" s="82">
        <f>VLOOKUP(A138,'Data shares'!$C$2:$CV$213,98,0)</f>
        <v>9778175</v>
      </c>
      <c r="C138" s="82">
        <f>VLOOKUP(A138,'Data shares'!$C$2:$CX$213,100,0)</f>
        <v>-67925</v>
      </c>
      <c r="D138" s="141">
        <f>VLOOKUP(A138,'Data shares'!$C$2:$CY$536,101,0)</f>
        <v>-6.8999999999999999E-3</v>
      </c>
      <c r="E138" s="86">
        <f>VLOOKUP($A138,'Data shares'!$C:$FA,74)</f>
        <v>3941025</v>
      </c>
      <c r="F138" s="86">
        <f>VLOOKUP($A138,'Data shares'!$C:$FA,76)</f>
        <v>0</v>
      </c>
      <c r="G138" s="87">
        <f>VLOOKUP(A138,'Data shares'!$C$2:$CA$213,77,0)</f>
        <v>0</v>
      </c>
      <c r="H138" s="86">
        <f>VLOOKUP($A138,'Data shares'!$C:$FA,90)</f>
        <v>4089525</v>
      </c>
      <c r="I138" s="86">
        <f>VLOOKUP($A138,'Data shares'!$C:$FA,92)</f>
        <v>-103950</v>
      </c>
      <c r="J138" s="87">
        <f>VLOOKUP($A138,'Data shares'!$C:$FA,93)</f>
        <v>-2.4799999999999999E-2</v>
      </c>
      <c r="K138" s="86">
        <f>VLOOKUP($A138,'Data shares'!$C:$FA,94)</f>
        <v>1747625</v>
      </c>
      <c r="L138" s="86">
        <f>VLOOKUP($A138,'Data shares'!$C:$FA,96)</f>
        <v>36025</v>
      </c>
      <c r="M138" s="87">
        <f>VLOOKUP($A138,'Data shares'!$C:$FA,97)</f>
        <v>2.1000000000000001E-2</v>
      </c>
      <c r="N138" s="86">
        <f>VLOOKUP($A138,'Data shares'!$C:$FA,78)</f>
        <v>3711950</v>
      </c>
      <c r="O138" s="87">
        <f>VLOOKUP($A138,'Data shares'!$C:$FA,81)</f>
        <v>-3.0000000000000001E-3</v>
      </c>
    </row>
    <row r="139" spans="1:15" x14ac:dyDescent="0.25">
      <c r="A139" s="100" t="str">
        <f>'Data Vlaue (Cr)'!C134</f>
        <v>NATIONALUM</v>
      </c>
      <c r="B139" s="82">
        <f>VLOOKUP(A139,'Data shares'!$C$2:$CV$213,98,0)</f>
        <v>131141250</v>
      </c>
      <c r="C139" s="82">
        <f>VLOOKUP(A139,'Data shares'!$C$2:$CX$213,100,0)</f>
        <v>1563750</v>
      </c>
      <c r="D139" s="141">
        <f>VLOOKUP(A139,'Data shares'!$C$2:$CY$536,101,0)</f>
        <v>1.21E-2</v>
      </c>
      <c r="E139" s="86">
        <f>VLOOKUP($A139,'Data shares'!$C:$FA,74)</f>
        <v>59493750</v>
      </c>
      <c r="F139" s="86">
        <f>VLOOKUP($A139,'Data shares'!$C:$FA,76)</f>
        <v>172500</v>
      </c>
      <c r="G139" s="87">
        <f>VLOOKUP(A139,'Data shares'!$C$2:$CA$213,77,0)</f>
        <v>2.8999999999999998E-3</v>
      </c>
      <c r="H139" s="86">
        <f>VLOOKUP($A139,'Data shares'!$C:$FA,90)</f>
        <v>38066250</v>
      </c>
      <c r="I139" s="86">
        <f>VLOOKUP($A139,'Data shares'!$C:$FA,92)</f>
        <v>-1050000</v>
      </c>
      <c r="J139" s="87">
        <f>VLOOKUP($A139,'Data shares'!$C:$FA,93)</f>
        <v>-2.6800000000000001E-2</v>
      </c>
      <c r="K139" s="86">
        <f>VLOOKUP($A139,'Data shares'!$C:$FA,94)</f>
        <v>33581250</v>
      </c>
      <c r="L139" s="86">
        <f>VLOOKUP($A139,'Data shares'!$C:$FA,96)</f>
        <v>2441250</v>
      </c>
      <c r="M139" s="87">
        <f>VLOOKUP($A139,'Data shares'!$C:$FA,97)</f>
        <v>7.8399999999999997E-2</v>
      </c>
      <c r="N139" s="86">
        <f>VLOOKUP($A139,'Data shares'!$C:$FA,78)</f>
        <v>46372500</v>
      </c>
      <c r="O139" s="87">
        <f>VLOOKUP($A139,'Data shares'!$C:$FA,81)</f>
        <v>-6.6E-3</v>
      </c>
    </row>
    <row r="140" spans="1:15" x14ac:dyDescent="0.25">
      <c r="A140" s="100" t="str">
        <f>'Data Vlaue (Cr)'!C135</f>
        <v>NAUKRI</v>
      </c>
      <c r="B140" s="82">
        <f>VLOOKUP(A140,'Data shares'!$C$2:$CV$213,98,0)</f>
        <v>16894875</v>
      </c>
      <c r="C140" s="82">
        <f>VLOOKUP(A140,'Data shares'!$C$2:$CX$213,100,0)</f>
        <v>240375</v>
      </c>
      <c r="D140" s="141">
        <f>VLOOKUP(A140,'Data shares'!$C$2:$CY$536,101,0)</f>
        <v>1.44E-2</v>
      </c>
      <c r="E140" s="86">
        <f>VLOOKUP($A140,'Data shares'!$C:$FA,74)</f>
        <v>11184750</v>
      </c>
      <c r="F140" s="86">
        <f>VLOOKUP($A140,'Data shares'!$C:$FA,76)</f>
        <v>70500</v>
      </c>
      <c r="G140" s="87">
        <f>VLOOKUP(A140,'Data shares'!$C$2:$CA$213,77,0)</f>
        <v>6.3E-3</v>
      </c>
      <c r="H140" s="86">
        <f>VLOOKUP($A140,'Data shares'!$C:$FA,90)</f>
        <v>3849750</v>
      </c>
      <c r="I140" s="86">
        <f>VLOOKUP($A140,'Data shares'!$C:$FA,92)</f>
        <v>154500</v>
      </c>
      <c r="J140" s="87">
        <f>VLOOKUP($A140,'Data shares'!$C:$FA,93)</f>
        <v>4.1799999999999997E-2</v>
      </c>
      <c r="K140" s="86">
        <f>VLOOKUP($A140,'Data shares'!$C:$FA,94)</f>
        <v>1860375</v>
      </c>
      <c r="L140" s="86">
        <f>VLOOKUP($A140,'Data shares'!$C:$FA,96)</f>
        <v>15375</v>
      </c>
      <c r="M140" s="87">
        <f>VLOOKUP($A140,'Data shares'!$C:$FA,97)</f>
        <v>8.3000000000000001E-3</v>
      </c>
      <c r="N140" s="86">
        <f>VLOOKUP($A140,'Data shares'!$C:$FA,78)</f>
        <v>10881375</v>
      </c>
      <c r="O140" s="87">
        <f>VLOOKUP($A140,'Data shares'!$C:$FA,81)</f>
        <v>4.8999999999999998E-3</v>
      </c>
    </row>
    <row r="141" spans="1:15" x14ac:dyDescent="0.25">
      <c r="A141" s="100" t="str">
        <f>'Data Vlaue (Cr)'!C136</f>
        <v>NBCC</v>
      </c>
      <c r="B141" s="82">
        <f>VLOOKUP(A141,'Data shares'!$C$2:$CV$213,98,0)</f>
        <v>141583000</v>
      </c>
      <c r="C141" s="82">
        <f>VLOOKUP(A141,'Data shares'!$C$2:$CX$213,100,0)</f>
        <v>1579500</v>
      </c>
      <c r="D141" s="141">
        <f>VLOOKUP(A141,'Data shares'!$C$2:$CY$536,101,0)</f>
        <v>1.1299999999999999E-2</v>
      </c>
      <c r="E141" s="86">
        <f>VLOOKUP($A141,'Data shares'!$C:$FA,74)</f>
        <v>86879000</v>
      </c>
      <c r="F141" s="86">
        <f>VLOOKUP($A141,'Data shares'!$C:$FA,76)</f>
        <v>747500</v>
      </c>
      <c r="G141" s="87">
        <f>VLOOKUP(A141,'Data shares'!$C$2:$CA$213,77,0)</f>
        <v>8.6999999999999994E-3</v>
      </c>
      <c r="H141" s="86">
        <f>VLOOKUP($A141,'Data shares'!$C:$FA,90)</f>
        <v>33137000</v>
      </c>
      <c r="I141" s="86">
        <f>VLOOKUP($A141,'Data shares'!$C:$FA,92)</f>
        <v>559000</v>
      </c>
      <c r="J141" s="87">
        <f>VLOOKUP($A141,'Data shares'!$C:$FA,93)</f>
        <v>1.72E-2</v>
      </c>
      <c r="K141" s="86">
        <f>VLOOKUP($A141,'Data shares'!$C:$FA,94)</f>
        <v>21567000</v>
      </c>
      <c r="L141" s="86">
        <f>VLOOKUP($A141,'Data shares'!$C:$FA,96)</f>
        <v>273000</v>
      </c>
      <c r="M141" s="87">
        <f>VLOOKUP($A141,'Data shares'!$C:$FA,97)</f>
        <v>1.2800000000000001E-2</v>
      </c>
      <c r="N141" s="86">
        <f>VLOOKUP($A141,'Data shares'!$C:$FA,78)</f>
        <v>83213000</v>
      </c>
      <c r="O141" s="87">
        <f>VLOOKUP($A141,'Data shares'!$C:$FA,81)</f>
        <v>6.7000000000000002E-3</v>
      </c>
    </row>
    <row r="142" spans="1:15" x14ac:dyDescent="0.25">
      <c r="A142" s="100" t="str">
        <f>'Data Vlaue (Cr)'!C137</f>
        <v>NESTLEIND</v>
      </c>
      <c r="B142" s="82">
        <f>VLOOKUP(A142,'Data shares'!$C$2:$CV$213,98,0)</f>
        <v>21872000</v>
      </c>
      <c r="C142" s="82">
        <f>VLOOKUP(A142,'Data shares'!$C$2:$CX$213,100,0)</f>
        <v>53000</v>
      </c>
      <c r="D142" s="141">
        <f>VLOOKUP(A142,'Data shares'!$C$2:$CY$536,101,0)</f>
        <v>2.3999999999999998E-3</v>
      </c>
      <c r="E142" s="86">
        <f>VLOOKUP($A142,'Data shares'!$C:$FA,74)</f>
        <v>16435500</v>
      </c>
      <c r="F142" s="86">
        <f>VLOOKUP($A142,'Data shares'!$C:$FA,76)</f>
        <v>-115000</v>
      </c>
      <c r="G142" s="87">
        <f>VLOOKUP(A142,'Data shares'!$C$2:$CA$213,77,0)</f>
        <v>-6.8999999999999999E-3</v>
      </c>
      <c r="H142" s="86">
        <f>VLOOKUP($A142,'Data shares'!$C:$FA,90)</f>
        <v>3700500</v>
      </c>
      <c r="I142" s="86">
        <f>VLOOKUP($A142,'Data shares'!$C:$FA,92)</f>
        <v>19500</v>
      </c>
      <c r="J142" s="87">
        <f>VLOOKUP($A142,'Data shares'!$C:$FA,93)</f>
        <v>5.3E-3</v>
      </c>
      <c r="K142" s="86">
        <f>VLOOKUP($A142,'Data shares'!$C:$FA,94)</f>
        <v>1736000</v>
      </c>
      <c r="L142" s="86">
        <f>VLOOKUP($A142,'Data shares'!$C:$FA,96)</f>
        <v>148500</v>
      </c>
      <c r="M142" s="87">
        <f>VLOOKUP($A142,'Data shares'!$C:$FA,97)</f>
        <v>9.35E-2</v>
      </c>
      <c r="N142" s="86">
        <f>VLOOKUP($A142,'Data shares'!$C:$FA,78)</f>
        <v>15740000</v>
      </c>
      <c r="O142" s="87">
        <f>VLOOKUP($A142,'Data shares'!$C:$FA,81)</f>
        <v>-8.0000000000000002E-3</v>
      </c>
    </row>
    <row r="143" spans="1:15" x14ac:dyDescent="0.25">
      <c r="A143" s="100" t="str">
        <f>'Data Vlaue (Cr)'!C138</f>
        <v>NHPC</v>
      </c>
      <c r="B143" s="82">
        <f>VLOOKUP(A143,'Data shares'!$C$2:$CV$213,98,0)</f>
        <v>135507200</v>
      </c>
      <c r="C143" s="82">
        <f>VLOOKUP(A143,'Data shares'!$C$2:$CX$213,100,0)</f>
        <v>-3756800</v>
      </c>
      <c r="D143" s="141">
        <f>VLOOKUP(A143,'Data shares'!$C$2:$CY$536,101,0)</f>
        <v>-2.7E-2</v>
      </c>
      <c r="E143" s="86">
        <f>VLOOKUP($A143,'Data shares'!$C:$FA,74)</f>
        <v>76780800</v>
      </c>
      <c r="F143" s="86">
        <f>VLOOKUP($A143,'Data shares'!$C:$FA,76)</f>
        <v>1139200</v>
      </c>
      <c r="G143" s="87">
        <f>VLOOKUP(A143,'Data shares'!$C$2:$CA$213,77,0)</f>
        <v>1.5100000000000001E-2</v>
      </c>
      <c r="H143" s="86">
        <f>VLOOKUP($A143,'Data shares'!$C:$FA,90)</f>
        <v>38028800</v>
      </c>
      <c r="I143" s="86">
        <f>VLOOKUP($A143,'Data shares'!$C:$FA,92)</f>
        <v>-4486400</v>
      </c>
      <c r="J143" s="87">
        <f>VLOOKUP($A143,'Data shares'!$C:$FA,93)</f>
        <v>-0.1055</v>
      </c>
      <c r="K143" s="86">
        <f>VLOOKUP($A143,'Data shares'!$C:$FA,94)</f>
        <v>20697600</v>
      </c>
      <c r="L143" s="86">
        <f>VLOOKUP($A143,'Data shares'!$C:$FA,96)</f>
        <v>-409600</v>
      </c>
      <c r="M143" s="87">
        <f>VLOOKUP($A143,'Data shares'!$C:$FA,97)</f>
        <v>-1.9400000000000001E-2</v>
      </c>
      <c r="N143" s="86">
        <f>VLOOKUP($A143,'Data shares'!$C:$FA,78)</f>
        <v>72108800</v>
      </c>
      <c r="O143" s="87">
        <f>VLOOKUP($A143,'Data shares'!$C:$FA,81)</f>
        <v>8.6E-3</v>
      </c>
    </row>
    <row r="144" spans="1:15" x14ac:dyDescent="0.25">
      <c r="A144" s="100" t="str">
        <f>'Data Vlaue (Cr)'!C139</f>
        <v>NIFTY</v>
      </c>
      <c r="B144" s="82">
        <f>VLOOKUP(A144,'Data shares'!$C$2:$CV$213,98,0)</f>
        <v>469361895</v>
      </c>
      <c r="C144" s="82">
        <f>VLOOKUP(A144,'Data shares'!$C$2:$CX$213,100,0)</f>
        <v>38685860</v>
      </c>
      <c r="D144" s="141">
        <f>VLOOKUP(A144,'Data shares'!$C$2:$CY$536,101,0)</f>
        <v>8.9800000000000005E-2</v>
      </c>
      <c r="E144" s="86">
        <f>VLOOKUP($A144,'Data shares'!$C:$FA,74)</f>
        <v>21744125</v>
      </c>
      <c r="F144" s="86">
        <f>VLOOKUP($A144,'Data shares'!$C:$FA,76)</f>
        <v>351325</v>
      </c>
      <c r="G144" s="87">
        <f>VLOOKUP(A144,'Data shares'!$C$2:$CA$213,77,0)</f>
        <v>1.6400000000000001E-2</v>
      </c>
      <c r="H144" s="86">
        <f>VLOOKUP($A144,'Data shares'!$C:$FA,90)</f>
        <v>240860925</v>
      </c>
      <c r="I144" s="86">
        <f>VLOOKUP($A144,'Data shares'!$C:$FA,92)</f>
        <v>17750150</v>
      </c>
      <c r="J144" s="87">
        <f>VLOOKUP($A144,'Data shares'!$C:$FA,93)</f>
        <v>7.9600000000000004E-2</v>
      </c>
      <c r="K144" s="86">
        <f>VLOOKUP($A144,'Data shares'!$C:$FA,94)</f>
        <v>206756845</v>
      </c>
      <c r="L144" s="86">
        <f>VLOOKUP($A144,'Data shares'!$C:$FA,96)</f>
        <v>20584385</v>
      </c>
      <c r="M144" s="87">
        <f>VLOOKUP($A144,'Data shares'!$C:$FA,97)</f>
        <v>0.1106</v>
      </c>
      <c r="N144" s="86">
        <f>VLOOKUP($A144,'Data shares'!$C:$FA,78)</f>
        <v>18280860</v>
      </c>
      <c r="O144" s="87">
        <f>VLOOKUP($A144,'Data shares'!$C:$FA,81)</f>
        <v>1.1299999999999999E-2</v>
      </c>
    </row>
    <row r="145" spans="1:15" x14ac:dyDescent="0.25">
      <c r="A145" s="100" t="str">
        <f>'Data Vlaue (Cr)'!C140</f>
        <v>NIFTYNXT50</v>
      </c>
      <c r="B145" s="82">
        <f>VLOOKUP(A145,'Data shares'!$C$2:$CV$213,98,0)</f>
        <v>34975</v>
      </c>
      <c r="C145" s="82">
        <f>VLOOKUP(A145,'Data shares'!$C$2:$CX$213,100,0)</f>
        <v>1600</v>
      </c>
      <c r="D145" s="141">
        <f>VLOOKUP(A145,'Data shares'!$C$2:$CY$536,101,0)</f>
        <v>4.7899999999999998E-2</v>
      </c>
      <c r="E145" s="86">
        <f>VLOOKUP($A145,'Data shares'!$C:$FA,74)</f>
        <v>18300</v>
      </c>
      <c r="F145" s="86">
        <f>VLOOKUP($A145,'Data shares'!$C:$FA,76)</f>
        <v>350</v>
      </c>
      <c r="G145" s="87">
        <f>VLOOKUP(A145,'Data shares'!$C$2:$CA$213,77,0)</f>
        <v>1.95E-2</v>
      </c>
      <c r="H145" s="86">
        <f>VLOOKUP($A145,'Data shares'!$C:$FA,90)</f>
        <v>11750</v>
      </c>
      <c r="I145" s="86">
        <f>VLOOKUP($A145,'Data shares'!$C:$FA,92)</f>
        <v>900</v>
      </c>
      <c r="J145" s="87">
        <f>VLOOKUP($A145,'Data shares'!$C:$FA,93)</f>
        <v>8.2900000000000001E-2</v>
      </c>
      <c r="K145" s="86">
        <f>VLOOKUP($A145,'Data shares'!$C:$FA,94)</f>
        <v>4925</v>
      </c>
      <c r="L145" s="86">
        <f>VLOOKUP($A145,'Data shares'!$C:$FA,96)</f>
        <v>350</v>
      </c>
      <c r="M145" s="87">
        <f>VLOOKUP($A145,'Data shares'!$C:$FA,97)</f>
        <v>7.6499999999999999E-2</v>
      </c>
      <c r="N145" s="86">
        <f>VLOOKUP($A145,'Data shares'!$C:$FA,78)</f>
        <v>15950</v>
      </c>
      <c r="O145" s="87">
        <f>VLOOKUP($A145,'Data shares'!$C:$FA,81)</f>
        <v>1.11E-2</v>
      </c>
    </row>
    <row r="146" spans="1:15" x14ac:dyDescent="0.25">
      <c r="A146" s="100" t="str">
        <f>'Data Vlaue (Cr)'!C141</f>
        <v>NMDC</v>
      </c>
      <c r="B146" s="82">
        <f>VLOOKUP(A146,'Data shares'!$C$2:$CV$213,98,0)</f>
        <v>472743000</v>
      </c>
      <c r="C146" s="82">
        <f>VLOOKUP(A146,'Data shares'!$C$2:$CX$213,100,0)</f>
        <v>2193750</v>
      </c>
      <c r="D146" s="141">
        <f>VLOOKUP(A146,'Data shares'!$C$2:$CY$536,101,0)</f>
        <v>4.7000000000000002E-3</v>
      </c>
      <c r="E146" s="86">
        <f>VLOOKUP($A146,'Data shares'!$C:$FA,74)</f>
        <v>338829750</v>
      </c>
      <c r="F146" s="86">
        <f>VLOOKUP($A146,'Data shares'!$C:$FA,76)</f>
        <v>-3044250</v>
      </c>
      <c r="G146" s="87">
        <f>VLOOKUP(A146,'Data shares'!$C$2:$CA$213,77,0)</f>
        <v>-8.8999999999999999E-3</v>
      </c>
      <c r="H146" s="86">
        <f>VLOOKUP($A146,'Data shares'!$C:$FA,90)</f>
        <v>86096250</v>
      </c>
      <c r="I146" s="86">
        <f>VLOOKUP($A146,'Data shares'!$C:$FA,92)</f>
        <v>4131000</v>
      </c>
      <c r="J146" s="87">
        <f>VLOOKUP($A146,'Data shares'!$C:$FA,93)</f>
        <v>5.04E-2</v>
      </c>
      <c r="K146" s="86">
        <f>VLOOKUP($A146,'Data shares'!$C:$FA,94)</f>
        <v>47817000</v>
      </c>
      <c r="L146" s="86">
        <f>VLOOKUP($A146,'Data shares'!$C:$FA,96)</f>
        <v>1107000</v>
      </c>
      <c r="M146" s="87">
        <f>VLOOKUP($A146,'Data shares'!$C:$FA,97)</f>
        <v>2.3699999999999999E-2</v>
      </c>
      <c r="N146" s="86">
        <f>VLOOKUP($A146,'Data shares'!$C:$FA,78)</f>
        <v>323554500</v>
      </c>
      <c r="O146" s="87">
        <f>VLOOKUP($A146,'Data shares'!$C:$FA,81)</f>
        <v>-1.5299999999999999E-2</v>
      </c>
    </row>
    <row r="147" spans="1:15" x14ac:dyDescent="0.25">
      <c r="A147" s="100" t="str">
        <f>'Data Vlaue (Cr)'!C142</f>
        <v>NTPC</v>
      </c>
      <c r="B147" s="82">
        <f>VLOOKUP(A147,'Data shares'!$C$2:$CV$213,98,0)</f>
        <v>228325500</v>
      </c>
      <c r="C147" s="82">
        <f>VLOOKUP(A147,'Data shares'!$C$2:$CX$213,100,0)</f>
        <v>30253500</v>
      </c>
      <c r="D147" s="141">
        <f>VLOOKUP(A147,'Data shares'!$C$2:$CY$536,101,0)</f>
        <v>0.1527</v>
      </c>
      <c r="E147" s="86">
        <f>VLOOKUP($A147,'Data shares'!$C:$FA,74)</f>
        <v>107530500</v>
      </c>
      <c r="F147" s="86">
        <f>VLOOKUP($A147,'Data shares'!$C:$FA,76)</f>
        <v>6688500</v>
      </c>
      <c r="G147" s="87">
        <f>VLOOKUP(A147,'Data shares'!$C$2:$CA$213,77,0)</f>
        <v>6.6299999999999998E-2</v>
      </c>
      <c r="H147" s="86">
        <f>VLOOKUP($A147,'Data shares'!$C:$FA,90)</f>
        <v>83953500</v>
      </c>
      <c r="I147" s="86">
        <f>VLOOKUP($A147,'Data shares'!$C:$FA,92)</f>
        <v>13866000</v>
      </c>
      <c r="J147" s="87">
        <f>VLOOKUP($A147,'Data shares'!$C:$FA,93)</f>
        <v>0.1978</v>
      </c>
      <c r="K147" s="86">
        <f>VLOOKUP($A147,'Data shares'!$C:$FA,94)</f>
        <v>36841500</v>
      </c>
      <c r="L147" s="86">
        <f>VLOOKUP($A147,'Data shares'!$C:$FA,96)</f>
        <v>9699000</v>
      </c>
      <c r="M147" s="87">
        <f>VLOOKUP($A147,'Data shares'!$C:$FA,97)</f>
        <v>0.35730000000000001</v>
      </c>
      <c r="N147" s="86">
        <f>VLOOKUP($A147,'Data shares'!$C:$FA,78)</f>
        <v>104949000</v>
      </c>
      <c r="O147" s="87">
        <f>VLOOKUP($A147,'Data shares'!$C:$FA,81)</f>
        <v>6.2199999999999998E-2</v>
      </c>
    </row>
    <row r="148" spans="1:15" x14ac:dyDescent="0.25">
      <c r="A148" s="100" t="str">
        <f>'Data Vlaue (Cr)'!C143</f>
        <v>NUVAMA</v>
      </c>
      <c r="B148" s="82">
        <f>VLOOKUP(A148,'Data shares'!$C$2:$CV$213,98,0)</f>
        <v>3660500</v>
      </c>
      <c r="C148" s="82">
        <f>VLOOKUP(A148,'Data shares'!$C$2:$CX$213,100,0)</f>
        <v>20500</v>
      </c>
      <c r="D148" s="141">
        <f>VLOOKUP(A148,'Data shares'!$C$2:$CY$536,101,0)</f>
        <v>5.5999999999999999E-3</v>
      </c>
      <c r="E148" s="86">
        <f>VLOOKUP($A148,'Data shares'!$C:$FA,74)</f>
        <v>2244500</v>
      </c>
      <c r="F148" s="86">
        <f>VLOOKUP($A148,'Data shares'!$C:$FA,76)</f>
        <v>32500</v>
      </c>
      <c r="G148" s="87">
        <f>VLOOKUP(A148,'Data shares'!$C$2:$CA$213,77,0)</f>
        <v>1.47E-2</v>
      </c>
      <c r="H148" s="86">
        <f>VLOOKUP($A148,'Data shares'!$C:$FA,90)</f>
        <v>854500</v>
      </c>
      <c r="I148" s="86">
        <f>VLOOKUP($A148,'Data shares'!$C:$FA,92)</f>
        <v>0</v>
      </c>
      <c r="J148" s="87">
        <f>VLOOKUP($A148,'Data shares'!$C:$FA,93)</f>
        <v>0</v>
      </c>
      <c r="K148" s="86">
        <f>VLOOKUP($A148,'Data shares'!$C:$FA,94)</f>
        <v>561500</v>
      </c>
      <c r="L148" s="86">
        <f>VLOOKUP($A148,'Data shares'!$C:$FA,96)</f>
        <v>-12000</v>
      </c>
      <c r="M148" s="87">
        <f>VLOOKUP($A148,'Data shares'!$C:$FA,97)</f>
        <v>-2.0899999999999998E-2</v>
      </c>
      <c r="N148" s="86">
        <f>VLOOKUP($A148,'Data shares'!$C:$FA,78)</f>
        <v>2052500</v>
      </c>
      <c r="O148" s="87">
        <f>VLOOKUP($A148,'Data shares'!$C:$FA,81)</f>
        <v>1.3100000000000001E-2</v>
      </c>
    </row>
    <row r="149" spans="1:15" x14ac:dyDescent="0.25">
      <c r="A149" s="100" t="str">
        <f>'Data Vlaue (Cr)'!C144</f>
        <v>NYKAA</v>
      </c>
      <c r="B149" s="82">
        <f>VLOOKUP(A149,'Data shares'!$C$2:$CV$213,98,0)</f>
        <v>57068750</v>
      </c>
      <c r="C149" s="82">
        <f>VLOOKUP(A149,'Data shares'!$C$2:$CX$213,100,0)</f>
        <v>303125</v>
      </c>
      <c r="D149" s="141">
        <f>VLOOKUP(A149,'Data shares'!$C$2:$CY$536,101,0)</f>
        <v>5.3E-3</v>
      </c>
      <c r="E149" s="86">
        <f>VLOOKUP($A149,'Data shares'!$C:$FA,74)</f>
        <v>43843750</v>
      </c>
      <c r="F149" s="86">
        <f>VLOOKUP($A149,'Data shares'!$C:$FA,76)</f>
        <v>-128125</v>
      </c>
      <c r="G149" s="87">
        <f>VLOOKUP(A149,'Data shares'!$C$2:$CA$213,77,0)</f>
        <v>-2.8999999999999998E-3</v>
      </c>
      <c r="H149" s="86">
        <f>VLOOKUP($A149,'Data shares'!$C:$FA,90)</f>
        <v>8728125</v>
      </c>
      <c r="I149" s="86">
        <f>VLOOKUP($A149,'Data shares'!$C:$FA,92)</f>
        <v>546875</v>
      </c>
      <c r="J149" s="87">
        <f>VLOOKUP($A149,'Data shares'!$C:$FA,93)</f>
        <v>6.6799999999999998E-2</v>
      </c>
      <c r="K149" s="86">
        <f>VLOOKUP($A149,'Data shares'!$C:$FA,94)</f>
        <v>4496875</v>
      </c>
      <c r="L149" s="86">
        <f>VLOOKUP($A149,'Data shares'!$C:$FA,96)</f>
        <v>-115625</v>
      </c>
      <c r="M149" s="87">
        <f>VLOOKUP($A149,'Data shares'!$C:$FA,97)</f>
        <v>-2.5100000000000001E-2</v>
      </c>
      <c r="N149" s="86">
        <f>VLOOKUP($A149,'Data shares'!$C:$FA,78)</f>
        <v>42881250</v>
      </c>
      <c r="O149" s="87">
        <f>VLOOKUP($A149,'Data shares'!$C:$FA,81)</f>
        <v>-3.7000000000000002E-3</v>
      </c>
    </row>
    <row r="150" spans="1:15" x14ac:dyDescent="0.25">
      <c r="A150" s="100" t="str">
        <f>'Data Vlaue (Cr)'!C145</f>
        <v>OBEROIRLTY</v>
      </c>
      <c r="B150" s="82">
        <f>VLOOKUP(A150,'Data shares'!$C$2:$CV$213,98,0)</f>
        <v>9873500</v>
      </c>
      <c r="C150" s="82">
        <f>VLOOKUP(A150,'Data shares'!$C$2:$CX$213,100,0)</f>
        <v>-17850</v>
      </c>
      <c r="D150" s="141">
        <f>VLOOKUP(A150,'Data shares'!$C$2:$CY$536,101,0)</f>
        <v>-1.8E-3</v>
      </c>
      <c r="E150" s="86">
        <f>VLOOKUP($A150,'Data shares'!$C:$FA,74)</f>
        <v>7263900</v>
      </c>
      <c r="F150" s="86">
        <f>VLOOKUP($A150,'Data shares'!$C:$FA,76)</f>
        <v>65450</v>
      </c>
      <c r="G150" s="87">
        <f>VLOOKUP(A150,'Data shares'!$C$2:$CA$213,77,0)</f>
        <v>9.1000000000000004E-3</v>
      </c>
      <c r="H150" s="86">
        <f>VLOOKUP($A150,'Data shares'!$C:$FA,90)</f>
        <v>1351350</v>
      </c>
      <c r="I150" s="86">
        <f>VLOOKUP($A150,'Data shares'!$C:$FA,92)</f>
        <v>-63000</v>
      </c>
      <c r="J150" s="87">
        <f>VLOOKUP($A150,'Data shares'!$C:$FA,93)</f>
        <v>-4.4499999999999998E-2</v>
      </c>
      <c r="K150" s="86">
        <f>VLOOKUP($A150,'Data shares'!$C:$FA,94)</f>
        <v>1258250</v>
      </c>
      <c r="L150" s="86">
        <f>VLOOKUP($A150,'Data shares'!$C:$FA,96)</f>
        <v>-20300</v>
      </c>
      <c r="M150" s="87">
        <f>VLOOKUP($A150,'Data shares'!$C:$FA,97)</f>
        <v>-1.5900000000000001E-2</v>
      </c>
      <c r="N150" s="86">
        <f>VLOOKUP($A150,'Data shares'!$C:$FA,78)</f>
        <v>6931050</v>
      </c>
      <c r="O150" s="87">
        <f>VLOOKUP($A150,'Data shares'!$C:$FA,81)</f>
        <v>7.0000000000000001E-3</v>
      </c>
    </row>
    <row r="151" spans="1:15" x14ac:dyDescent="0.25">
      <c r="A151" s="100" t="str">
        <f>'Data Vlaue (Cr)'!C146</f>
        <v>OFSS</v>
      </c>
      <c r="B151" s="82">
        <f>VLOOKUP(A151,'Data shares'!$C$2:$CV$213,98,0)</f>
        <v>2455350</v>
      </c>
      <c r="C151" s="82">
        <f>VLOOKUP(A151,'Data shares'!$C$2:$CX$213,100,0)</f>
        <v>-10200</v>
      </c>
      <c r="D151" s="141">
        <f>VLOOKUP(A151,'Data shares'!$C$2:$CY$536,101,0)</f>
        <v>-4.1000000000000003E-3</v>
      </c>
      <c r="E151" s="86">
        <f>VLOOKUP($A151,'Data shares'!$C:$FA,74)</f>
        <v>1566900</v>
      </c>
      <c r="F151" s="86">
        <f>VLOOKUP($A151,'Data shares'!$C:$FA,76)</f>
        <v>4275</v>
      </c>
      <c r="G151" s="87">
        <f>VLOOKUP(A151,'Data shares'!$C$2:$CA$213,77,0)</f>
        <v>2.7000000000000001E-3</v>
      </c>
      <c r="H151" s="86">
        <f>VLOOKUP($A151,'Data shares'!$C:$FA,90)</f>
        <v>549750</v>
      </c>
      <c r="I151" s="86">
        <f>VLOOKUP($A151,'Data shares'!$C:$FA,92)</f>
        <v>-34200</v>
      </c>
      <c r="J151" s="87">
        <f>VLOOKUP($A151,'Data shares'!$C:$FA,93)</f>
        <v>-5.8599999999999999E-2</v>
      </c>
      <c r="K151" s="86">
        <f>VLOOKUP($A151,'Data shares'!$C:$FA,94)</f>
        <v>338700</v>
      </c>
      <c r="L151" s="86">
        <f>VLOOKUP($A151,'Data shares'!$C:$FA,96)</f>
        <v>19725</v>
      </c>
      <c r="M151" s="87">
        <f>VLOOKUP($A151,'Data shares'!$C:$FA,97)</f>
        <v>6.1800000000000001E-2</v>
      </c>
      <c r="N151" s="86">
        <f>VLOOKUP($A151,'Data shares'!$C:$FA,78)</f>
        <v>1499475</v>
      </c>
      <c r="O151" s="87">
        <f>VLOOKUP($A151,'Data shares'!$C:$FA,81)</f>
        <v>-2.9999999999999997E-4</v>
      </c>
    </row>
    <row r="152" spans="1:15" x14ac:dyDescent="0.25">
      <c r="A152" s="100" t="str">
        <f>'Data Vlaue (Cr)'!C147</f>
        <v>OIL</v>
      </c>
      <c r="B152" s="82">
        <f>VLOOKUP(A152,'Data shares'!$C$2:$CV$213,98,0)</f>
        <v>55045200</v>
      </c>
      <c r="C152" s="82">
        <f>VLOOKUP(A152,'Data shares'!$C$2:$CX$213,100,0)</f>
        <v>-373800</v>
      </c>
      <c r="D152" s="141">
        <f>VLOOKUP(A152,'Data shares'!$C$2:$CY$536,101,0)</f>
        <v>-6.7000000000000002E-3</v>
      </c>
      <c r="E152" s="86">
        <f>VLOOKUP($A152,'Data shares'!$C:$FA,74)</f>
        <v>24470600</v>
      </c>
      <c r="F152" s="86">
        <f>VLOOKUP($A152,'Data shares'!$C:$FA,76)</f>
        <v>743400</v>
      </c>
      <c r="G152" s="87">
        <f>VLOOKUP(A152,'Data shares'!$C$2:$CA$213,77,0)</f>
        <v>3.1300000000000001E-2</v>
      </c>
      <c r="H152" s="86">
        <f>VLOOKUP($A152,'Data shares'!$C:$FA,90)</f>
        <v>19735800</v>
      </c>
      <c r="I152" s="86">
        <f>VLOOKUP($A152,'Data shares'!$C:$FA,92)</f>
        <v>-1089200</v>
      </c>
      <c r="J152" s="87">
        <f>VLOOKUP($A152,'Data shares'!$C:$FA,93)</f>
        <v>-5.2299999999999999E-2</v>
      </c>
      <c r="K152" s="86">
        <f>VLOOKUP($A152,'Data shares'!$C:$FA,94)</f>
        <v>10838800</v>
      </c>
      <c r="L152" s="86">
        <f>VLOOKUP($A152,'Data shares'!$C:$FA,96)</f>
        <v>-28000</v>
      </c>
      <c r="M152" s="87">
        <f>VLOOKUP($A152,'Data shares'!$C:$FA,97)</f>
        <v>-2.5999999999999999E-3</v>
      </c>
      <c r="N152" s="86">
        <f>VLOOKUP($A152,'Data shares'!$C:$FA,78)</f>
        <v>23077600</v>
      </c>
      <c r="O152" s="87">
        <f>VLOOKUP($A152,'Data shares'!$C:$FA,81)</f>
        <v>2.46E-2</v>
      </c>
    </row>
    <row r="153" spans="1:15" x14ac:dyDescent="0.25">
      <c r="A153" s="100" t="str">
        <f>'Data Vlaue (Cr)'!C148</f>
        <v>ONGC</v>
      </c>
      <c r="B153" s="82">
        <f>VLOOKUP(A153,'Data shares'!$C$2:$CV$213,98,0)</f>
        <v>258183000</v>
      </c>
      <c r="C153" s="82">
        <f>VLOOKUP(A153,'Data shares'!$C$2:$CX$213,100,0)</f>
        <v>3186000</v>
      </c>
      <c r="D153" s="141">
        <f>VLOOKUP(A153,'Data shares'!$C$2:$CY$536,101,0)</f>
        <v>1.2500000000000001E-2</v>
      </c>
      <c r="E153" s="86">
        <f>VLOOKUP($A153,'Data shares'!$C:$FA,74)</f>
        <v>125354250</v>
      </c>
      <c r="F153" s="86">
        <f>VLOOKUP($A153,'Data shares'!$C:$FA,76)</f>
        <v>-213750</v>
      </c>
      <c r="G153" s="87">
        <f>VLOOKUP(A153,'Data shares'!$C$2:$CA$213,77,0)</f>
        <v>-1.6999999999999999E-3</v>
      </c>
      <c r="H153" s="86">
        <f>VLOOKUP($A153,'Data shares'!$C:$FA,90)</f>
        <v>91172250</v>
      </c>
      <c r="I153" s="86">
        <f>VLOOKUP($A153,'Data shares'!$C:$FA,92)</f>
        <v>1008000</v>
      </c>
      <c r="J153" s="87">
        <f>VLOOKUP($A153,'Data shares'!$C:$FA,93)</f>
        <v>1.12E-2</v>
      </c>
      <c r="K153" s="86">
        <f>VLOOKUP($A153,'Data shares'!$C:$FA,94)</f>
        <v>41656500</v>
      </c>
      <c r="L153" s="86">
        <f>VLOOKUP($A153,'Data shares'!$C:$FA,96)</f>
        <v>2391750</v>
      </c>
      <c r="M153" s="87">
        <f>VLOOKUP($A153,'Data shares'!$C:$FA,97)</f>
        <v>6.0900000000000003E-2</v>
      </c>
      <c r="N153" s="86">
        <f>VLOOKUP($A153,'Data shares'!$C:$FA,78)</f>
        <v>121243500</v>
      </c>
      <c r="O153" s="87">
        <f>VLOOKUP($A153,'Data shares'!$C:$FA,81)</f>
        <v>-3.5000000000000001E-3</v>
      </c>
    </row>
    <row r="154" spans="1:15" x14ac:dyDescent="0.25">
      <c r="A154" s="100" t="str">
        <f>'Data Vlaue (Cr)'!C149</f>
        <v>PAGEIND</v>
      </c>
      <c r="B154" s="82">
        <f>VLOOKUP(A154,'Data shares'!$C$2:$CV$213,98,0)</f>
        <v>423255</v>
      </c>
      <c r="C154" s="82">
        <f>VLOOKUP(A154,'Data shares'!$C$2:$CX$213,100,0)</f>
        <v>29670</v>
      </c>
      <c r="D154" s="141">
        <f>VLOOKUP(A154,'Data shares'!$C$2:$CY$536,101,0)</f>
        <v>7.5399999999999995E-2</v>
      </c>
      <c r="E154" s="86">
        <f>VLOOKUP($A154,'Data shares'!$C:$FA,74)</f>
        <v>242790</v>
      </c>
      <c r="F154" s="86">
        <f>VLOOKUP($A154,'Data shares'!$C:$FA,76)</f>
        <v>4065</v>
      </c>
      <c r="G154" s="87">
        <f>VLOOKUP(A154,'Data shares'!$C$2:$CA$213,77,0)</f>
        <v>1.7000000000000001E-2</v>
      </c>
      <c r="H154" s="86">
        <f>VLOOKUP($A154,'Data shares'!$C:$FA,90)</f>
        <v>127275</v>
      </c>
      <c r="I154" s="86">
        <f>VLOOKUP($A154,'Data shares'!$C:$FA,92)</f>
        <v>26595</v>
      </c>
      <c r="J154" s="87">
        <f>VLOOKUP($A154,'Data shares'!$C:$FA,93)</f>
        <v>0.26419999999999999</v>
      </c>
      <c r="K154" s="86">
        <f>VLOOKUP($A154,'Data shares'!$C:$FA,94)</f>
        <v>53190</v>
      </c>
      <c r="L154" s="86">
        <f>VLOOKUP($A154,'Data shares'!$C:$FA,96)</f>
        <v>-990</v>
      </c>
      <c r="M154" s="87">
        <f>VLOOKUP($A154,'Data shares'!$C:$FA,97)</f>
        <v>-1.83E-2</v>
      </c>
      <c r="N154" s="86">
        <f>VLOOKUP($A154,'Data shares'!$C:$FA,78)</f>
        <v>229080</v>
      </c>
      <c r="O154" s="87">
        <f>VLOOKUP($A154,'Data shares'!$C:$FA,81)</f>
        <v>1.23E-2</v>
      </c>
    </row>
    <row r="155" spans="1:15" x14ac:dyDescent="0.25">
      <c r="A155" s="100" t="str">
        <f>'Data Vlaue (Cr)'!C150</f>
        <v>PATANJALI</v>
      </c>
      <c r="B155" s="82">
        <f>VLOOKUP(A155,'Data shares'!$C$2:$CV$213,98,0)</f>
        <v>43995600</v>
      </c>
      <c r="C155" s="82">
        <f>VLOOKUP(A155,'Data shares'!$C$2:$CX$213,100,0)</f>
        <v>1257300</v>
      </c>
      <c r="D155" s="141">
        <f>VLOOKUP(A155,'Data shares'!$C$2:$CY$536,101,0)</f>
        <v>2.9399999999999999E-2</v>
      </c>
      <c r="E155" s="86">
        <f>VLOOKUP($A155,'Data shares'!$C:$FA,74)</f>
        <v>38030400</v>
      </c>
      <c r="F155" s="86">
        <f>VLOOKUP($A155,'Data shares'!$C:$FA,76)</f>
        <v>464400</v>
      </c>
      <c r="G155" s="87">
        <f>VLOOKUP(A155,'Data shares'!$C$2:$CA$213,77,0)</f>
        <v>1.24E-2</v>
      </c>
      <c r="H155" s="86">
        <f>VLOOKUP($A155,'Data shares'!$C:$FA,90)</f>
        <v>3168900</v>
      </c>
      <c r="I155" s="86">
        <f>VLOOKUP($A155,'Data shares'!$C:$FA,92)</f>
        <v>178200</v>
      </c>
      <c r="J155" s="87">
        <f>VLOOKUP($A155,'Data shares'!$C:$FA,93)</f>
        <v>5.96E-2</v>
      </c>
      <c r="K155" s="86">
        <f>VLOOKUP($A155,'Data shares'!$C:$FA,94)</f>
        <v>2796300</v>
      </c>
      <c r="L155" s="86">
        <f>VLOOKUP($A155,'Data shares'!$C:$FA,96)</f>
        <v>614700</v>
      </c>
      <c r="M155" s="87">
        <f>VLOOKUP($A155,'Data shares'!$C:$FA,97)</f>
        <v>0.28179999999999999</v>
      </c>
      <c r="N155" s="86">
        <f>VLOOKUP($A155,'Data shares'!$C:$FA,78)</f>
        <v>37449900</v>
      </c>
      <c r="O155" s="87">
        <f>VLOOKUP($A155,'Data shares'!$C:$FA,81)</f>
        <v>1.8E-3</v>
      </c>
    </row>
    <row r="156" spans="1:15" x14ac:dyDescent="0.25">
      <c r="A156" s="100" t="str">
        <f>'Data Vlaue (Cr)'!C151</f>
        <v>PAYTM</v>
      </c>
      <c r="B156" s="82">
        <f>VLOOKUP(A156,'Data shares'!$C$2:$CV$213,98,0)</f>
        <v>36619750</v>
      </c>
      <c r="C156" s="82">
        <f>VLOOKUP(A156,'Data shares'!$C$2:$CX$213,100,0)</f>
        <v>275500</v>
      </c>
      <c r="D156" s="141">
        <f>VLOOKUP(A156,'Data shares'!$C$2:$CY$536,101,0)</f>
        <v>7.6E-3</v>
      </c>
      <c r="E156" s="86">
        <f>VLOOKUP($A156,'Data shares'!$C:$FA,74)</f>
        <v>22346675</v>
      </c>
      <c r="F156" s="86">
        <f>VLOOKUP($A156,'Data shares'!$C:$FA,76)</f>
        <v>53650</v>
      </c>
      <c r="G156" s="87">
        <f>VLOOKUP(A156,'Data shares'!$C$2:$CA$213,77,0)</f>
        <v>2.3999999999999998E-3</v>
      </c>
      <c r="H156" s="86">
        <f>VLOOKUP($A156,'Data shares'!$C:$FA,90)</f>
        <v>8543400</v>
      </c>
      <c r="I156" s="86">
        <f>VLOOKUP($A156,'Data shares'!$C:$FA,92)</f>
        <v>147900</v>
      </c>
      <c r="J156" s="87">
        <f>VLOOKUP($A156,'Data shares'!$C:$FA,93)</f>
        <v>1.7600000000000001E-2</v>
      </c>
      <c r="K156" s="86">
        <f>VLOOKUP($A156,'Data shares'!$C:$FA,94)</f>
        <v>5729675</v>
      </c>
      <c r="L156" s="86">
        <f>VLOOKUP($A156,'Data shares'!$C:$FA,96)</f>
        <v>73950</v>
      </c>
      <c r="M156" s="87">
        <f>VLOOKUP($A156,'Data shares'!$C:$FA,97)</f>
        <v>1.3100000000000001E-2</v>
      </c>
      <c r="N156" s="86">
        <f>VLOOKUP($A156,'Data shares'!$C:$FA,78)</f>
        <v>21110550</v>
      </c>
      <c r="O156" s="87">
        <f>VLOOKUP($A156,'Data shares'!$C:$FA,81)</f>
        <v>0</v>
      </c>
    </row>
    <row r="157" spans="1:15" x14ac:dyDescent="0.25">
      <c r="A157" s="100" t="str">
        <f>'Data Vlaue (Cr)'!C152</f>
        <v>PERSISTENT</v>
      </c>
      <c r="B157" s="82">
        <f>VLOOKUP(A157,'Data shares'!$C$2:$CV$213,98,0)</f>
        <v>7380400</v>
      </c>
      <c r="C157" s="82">
        <f>VLOOKUP(A157,'Data shares'!$C$2:$CX$213,100,0)</f>
        <v>119000</v>
      </c>
      <c r="D157" s="141">
        <f>VLOOKUP(A157,'Data shares'!$C$2:$CY$536,101,0)</f>
        <v>1.6400000000000001E-2</v>
      </c>
      <c r="E157" s="86">
        <f>VLOOKUP($A157,'Data shares'!$C:$FA,74)</f>
        <v>4343200</v>
      </c>
      <c r="F157" s="86">
        <f>VLOOKUP($A157,'Data shares'!$C:$FA,76)</f>
        <v>121500</v>
      </c>
      <c r="G157" s="87">
        <f>VLOOKUP(A157,'Data shares'!$C$2:$CA$213,77,0)</f>
        <v>2.8799999999999999E-2</v>
      </c>
      <c r="H157" s="86">
        <f>VLOOKUP($A157,'Data shares'!$C:$FA,90)</f>
        <v>1849100</v>
      </c>
      <c r="I157" s="86">
        <f>VLOOKUP($A157,'Data shares'!$C:$FA,92)</f>
        <v>13900</v>
      </c>
      <c r="J157" s="87">
        <f>VLOOKUP($A157,'Data shares'!$C:$FA,93)</f>
        <v>7.6E-3</v>
      </c>
      <c r="K157" s="86">
        <f>VLOOKUP($A157,'Data shares'!$C:$FA,94)</f>
        <v>1188100</v>
      </c>
      <c r="L157" s="86">
        <f>VLOOKUP($A157,'Data shares'!$C:$FA,96)</f>
        <v>-16400</v>
      </c>
      <c r="M157" s="87">
        <f>VLOOKUP($A157,'Data shares'!$C:$FA,97)</f>
        <v>-1.3599999999999999E-2</v>
      </c>
      <c r="N157" s="86">
        <f>VLOOKUP($A157,'Data shares'!$C:$FA,78)</f>
        <v>4074800</v>
      </c>
      <c r="O157" s="87">
        <f>VLOOKUP($A157,'Data shares'!$C:$FA,81)</f>
        <v>2.1399999999999999E-2</v>
      </c>
    </row>
    <row r="158" spans="1:15" x14ac:dyDescent="0.25">
      <c r="A158" s="100" t="str">
        <f>'Data Vlaue (Cr)'!C153</f>
        <v>PETRONET</v>
      </c>
      <c r="B158" s="82">
        <f>VLOOKUP(A158,'Data shares'!$C$2:$CV$213,98,0)</f>
        <v>65793200</v>
      </c>
      <c r="C158" s="82">
        <f>VLOOKUP(A158,'Data shares'!$C$2:$CX$213,100,0)</f>
        <v>117800</v>
      </c>
      <c r="D158" s="141">
        <f>VLOOKUP(A158,'Data shares'!$C$2:$CY$536,101,0)</f>
        <v>1.8E-3</v>
      </c>
      <c r="E158" s="86">
        <f>VLOOKUP($A158,'Data shares'!$C:$FA,74)</f>
        <v>32784500</v>
      </c>
      <c r="F158" s="86">
        <f>VLOOKUP($A158,'Data shares'!$C:$FA,76)</f>
        <v>-697300</v>
      </c>
      <c r="G158" s="87">
        <f>VLOOKUP(A158,'Data shares'!$C$2:$CA$213,77,0)</f>
        <v>-2.0799999999999999E-2</v>
      </c>
      <c r="H158" s="86">
        <f>VLOOKUP($A158,'Data shares'!$C:$FA,90)</f>
        <v>17248200</v>
      </c>
      <c r="I158" s="86">
        <f>VLOOKUP($A158,'Data shares'!$C:$FA,92)</f>
        <v>640300</v>
      </c>
      <c r="J158" s="87">
        <f>VLOOKUP($A158,'Data shares'!$C:$FA,93)</f>
        <v>3.8600000000000002E-2</v>
      </c>
      <c r="K158" s="86">
        <f>VLOOKUP($A158,'Data shares'!$C:$FA,94)</f>
        <v>15760500</v>
      </c>
      <c r="L158" s="86">
        <f>VLOOKUP($A158,'Data shares'!$C:$FA,96)</f>
        <v>174800</v>
      </c>
      <c r="M158" s="87">
        <f>VLOOKUP($A158,'Data shares'!$C:$FA,97)</f>
        <v>1.12E-2</v>
      </c>
      <c r="N158" s="86">
        <f>VLOOKUP($A158,'Data shares'!$C:$FA,78)</f>
        <v>25992000</v>
      </c>
      <c r="O158" s="87">
        <f>VLOOKUP($A158,'Data shares'!$C:$FA,81)</f>
        <v>-2.6800000000000001E-2</v>
      </c>
    </row>
    <row r="159" spans="1:15" x14ac:dyDescent="0.25">
      <c r="A159" s="100" t="str">
        <f>'Data Vlaue (Cr)'!C154</f>
        <v>PFC</v>
      </c>
      <c r="B159" s="82">
        <f>VLOOKUP(A159,'Data shares'!$C$2:$CV$213,98,0)</f>
        <v>122014100</v>
      </c>
      <c r="C159" s="82">
        <f>VLOOKUP(A159,'Data shares'!$C$2:$CX$213,100,0)</f>
        <v>5220800</v>
      </c>
      <c r="D159" s="141">
        <f>VLOOKUP(A159,'Data shares'!$C$2:$CY$536,101,0)</f>
        <v>4.4699999999999997E-2</v>
      </c>
      <c r="E159" s="86">
        <f>VLOOKUP($A159,'Data shares'!$C:$FA,74)</f>
        <v>67268500</v>
      </c>
      <c r="F159" s="86">
        <f>VLOOKUP($A159,'Data shares'!$C:$FA,76)</f>
        <v>2176200</v>
      </c>
      <c r="G159" s="87">
        <f>VLOOKUP(A159,'Data shares'!$C$2:$CA$213,77,0)</f>
        <v>3.3399999999999999E-2</v>
      </c>
      <c r="H159" s="86">
        <f>VLOOKUP($A159,'Data shares'!$C:$FA,90)</f>
        <v>37209900</v>
      </c>
      <c r="I159" s="86">
        <f>VLOOKUP($A159,'Data shares'!$C:$FA,92)</f>
        <v>1948700</v>
      </c>
      <c r="J159" s="87">
        <f>VLOOKUP($A159,'Data shares'!$C:$FA,93)</f>
        <v>5.5300000000000002E-2</v>
      </c>
      <c r="K159" s="86">
        <f>VLOOKUP($A159,'Data shares'!$C:$FA,94)</f>
        <v>17535700</v>
      </c>
      <c r="L159" s="86">
        <f>VLOOKUP($A159,'Data shares'!$C:$FA,96)</f>
        <v>1095900</v>
      </c>
      <c r="M159" s="87">
        <f>VLOOKUP($A159,'Data shares'!$C:$FA,97)</f>
        <v>6.6699999999999995E-2</v>
      </c>
      <c r="N159" s="86">
        <f>VLOOKUP($A159,'Data shares'!$C:$FA,78)</f>
        <v>54450500</v>
      </c>
      <c r="O159" s="87">
        <f>VLOOKUP($A159,'Data shares'!$C:$FA,81)</f>
        <v>3.4799999999999998E-2</v>
      </c>
    </row>
    <row r="160" spans="1:15" x14ac:dyDescent="0.25">
      <c r="A160" s="100" t="str">
        <f>'Data Vlaue (Cr)'!C155</f>
        <v>PGEL</v>
      </c>
      <c r="B160" s="82">
        <f>VLOOKUP(A160,'Data shares'!$C$2:$CV$213,98,0)</f>
        <v>27883450</v>
      </c>
      <c r="C160" s="82">
        <f>VLOOKUP(A160,'Data shares'!$C$2:$CX$213,100,0)</f>
        <v>-750500</v>
      </c>
      <c r="D160" s="141">
        <f>VLOOKUP(A160,'Data shares'!$C$2:$CY$536,101,0)</f>
        <v>-2.6200000000000001E-2</v>
      </c>
      <c r="E160" s="86">
        <f>VLOOKUP($A160,'Data shares'!$C:$FA,74)</f>
        <v>13925100</v>
      </c>
      <c r="F160" s="86">
        <f>VLOOKUP($A160,'Data shares'!$C:$FA,76)</f>
        <v>-574750</v>
      </c>
      <c r="G160" s="87">
        <f>VLOOKUP(A160,'Data shares'!$C$2:$CA$213,77,0)</f>
        <v>-3.9600000000000003E-2</v>
      </c>
      <c r="H160" s="86">
        <f>VLOOKUP($A160,'Data shares'!$C:$FA,90)</f>
        <v>8427450</v>
      </c>
      <c r="I160" s="86">
        <f>VLOOKUP($A160,'Data shares'!$C:$FA,92)</f>
        <v>-139650</v>
      </c>
      <c r="J160" s="87">
        <f>VLOOKUP($A160,'Data shares'!$C:$FA,93)</f>
        <v>-1.6299999999999999E-2</v>
      </c>
      <c r="K160" s="86">
        <f>VLOOKUP($A160,'Data shares'!$C:$FA,94)</f>
        <v>5530900</v>
      </c>
      <c r="L160" s="86">
        <f>VLOOKUP($A160,'Data shares'!$C:$FA,96)</f>
        <v>-36100</v>
      </c>
      <c r="M160" s="87">
        <f>VLOOKUP($A160,'Data shares'!$C:$FA,97)</f>
        <v>-6.4999999999999997E-3</v>
      </c>
      <c r="N160" s="86">
        <f>VLOOKUP($A160,'Data shares'!$C:$FA,78)</f>
        <v>13555550</v>
      </c>
      <c r="O160" s="87">
        <f>VLOOKUP($A160,'Data shares'!$C:$FA,81)</f>
        <v>-4.19E-2</v>
      </c>
    </row>
    <row r="161" spans="1:15" x14ac:dyDescent="0.25">
      <c r="A161" s="100" t="str">
        <f>'Data Vlaue (Cr)'!C156</f>
        <v>PHOENIXLTD</v>
      </c>
      <c r="B161" s="82">
        <f>VLOOKUP(A161,'Data shares'!$C$2:$CV$213,98,0)</f>
        <v>5974850</v>
      </c>
      <c r="C161" s="82">
        <f>VLOOKUP(A161,'Data shares'!$C$2:$CX$213,100,0)</f>
        <v>34650</v>
      </c>
      <c r="D161" s="141">
        <f>VLOOKUP(A161,'Data shares'!$C$2:$CY$536,101,0)</f>
        <v>5.7999999999999996E-3</v>
      </c>
      <c r="E161" s="86">
        <f>VLOOKUP($A161,'Data shares'!$C:$FA,74)</f>
        <v>4138050</v>
      </c>
      <c r="F161" s="86">
        <f>VLOOKUP($A161,'Data shares'!$C:$FA,76)</f>
        <v>17850</v>
      </c>
      <c r="G161" s="87">
        <f>VLOOKUP(A161,'Data shares'!$C$2:$CA$213,77,0)</f>
        <v>4.3E-3</v>
      </c>
      <c r="H161" s="86">
        <f>VLOOKUP($A161,'Data shares'!$C:$FA,90)</f>
        <v>1152200</v>
      </c>
      <c r="I161" s="86">
        <f>VLOOKUP($A161,'Data shares'!$C:$FA,92)</f>
        <v>18900</v>
      </c>
      <c r="J161" s="87">
        <f>VLOOKUP($A161,'Data shares'!$C:$FA,93)</f>
        <v>1.67E-2</v>
      </c>
      <c r="K161" s="86">
        <f>VLOOKUP($A161,'Data shares'!$C:$FA,94)</f>
        <v>684600</v>
      </c>
      <c r="L161" s="86">
        <f>VLOOKUP($A161,'Data shares'!$C:$FA,96)</f>
        <v>-2100</v>
      </c>
      <c r="M161" s="87">
        <f>VLOOKUP($A161,'Data shares'!$C:$FA,97)</f>
        <v>-3.0999999999999999E-3</v>
      </c>
      <c r="N161" s="86">
        <f>VLOOKUP($A161,'Data shares'!$C:$FA,78)</f>
        <v>4063500</v>
      </c>
      <c r="O161" s="87">
        <f>VLOOKUP($A161,'Data shares'!$C:$FA,81)</f>
        <v>3.5999999999999999E-3</v>
      </c>
    </row>
    <row r="162" spans="1:15" x14ac:dyDescent="0.25">
      <c r="A162" s="100" t="str">
        <f>'Data Vlaue (Cr)'!C157</f>
        <v>PIDILITIND</v>
      </c>
      <c r="B162" s="82">
        <f>VLOOKUP(A162,'Data shares'!$C$2:$CV$213,98,0)</f>
        <v>10868000</v>
      </c>
      <c r="C162" s="82">
        <f>VLOOKUP(A162,'Data shares'!$C$2:$CX$213,100,0)</f>
        <v>38500</v>
      </c>
      <c r="D162" s="141">
        <f>VLOOKUP(A162,'Data shares'!$C$2:$CY$536,101,0)</f>
        <v>3.5999999999999999E-3</v>
      </c>
      <c r="E162" s="86">
        <f>VLOOKUP($A162,'Data shares'!$C:$FA,74)</f>
        <v>8116000</v>
      </c>
      <c r="F162" s="86">
        <f>VLOOKUP($A162,'Data shares'!$C:$FA,76)</f>
        <v>26000</v>
      </c>
      <c r="G162" s="87">
        <f>VLOOKUP(A162,'Data shares'!$C$2:$CA$213,77,0)</f>
        <v>3.2000000000000002E-3</v>
      </c>
      <c r="H162" s="86">
        <f>VLOOKUP($A162,'Data shares'!$C:$FA,90)</f>
        <v>1738500</v>
      </c>
      <c r="I162" s="86">
        <f>VLOOKUP($A162,'Data shares'!$C:$FA,92)</f>
        <v>-6000</v>
      </c>
      <c r="J162" s="87">
        <f>VLOOKUP($A162,'Data shares'!$C:$FA,93)</f>
        <v>-3.3999999999999998E-3</v>
      </c>
      <c r="K162" s="86">
        <f>VLOOKUP($A162,'Data shares'!$C:$FA,94)</f>
        <v>1013500</v>
      </c>
      <c r="L162" s="86">
        <f>VLOOKUP($A162,'Data shares'!$C:$FA,96)</f>
        <v>18500</v>
      </c>
      <c r="M162" s="87">
        <f>VLOOKUP($A162,'Data shares'!$C:$FA,97)</f>
        <v>1.8599999999999998E-2</v>
      </c>
      <c r="N162" s="86">
        <f>VLOOKUP($A162,'Data shares'!$C:$FA,78)</f>
        <v>8041500</v>
      </c>
      <c r="O162" s="87">
        <f>VLOOKUP($A162,'Data shares'!$C:$FA,81)</f>
        <v>2.3999999999999998E-3</v>
      </c>
    </row>
    <row r="163" spans="1:15" x14ac:dyDescent="0.25">
      <c r="A163" s="100" t="str">
        <f>'Data Vlaue (Cr)'!C158</f>
        <v>PIIND</v>
      </c>
      <c r="B163" s="82">
        <f>VLOOKUP(A163,'Data shares'!$C$2:$CV$213,98,0)</f>
        <v>4610375</v>
      </c>
      <c r="C163" s="82">
        <f>VLOOKUP(A163,'Data shares'!$C$2:$CX$213,100,0)</f>
        <v>35175</v>
      </c>
      <c r="D163" s="141">
        <f>VLOOKUP(A163,'Data shares'!$C$2:$CY$536,101,0)</f>
        <v>7.7000000000000002E-3</v>
      </c>
      <c r="E163" s="86">
        <f>VLOOKUP($A163,'Data shares'!$C:$FA,74)</f>
        <v>3421775</v>
      </c>
      <c r="F163" s="86">
        <f>VLOOKUP($A163,'Data shares'!$C:$FA,76)</f>
        <v>-32375</v>
      </c>
      <c r="G163" s="87">
        <f>VLOOKUP(A163,'Data shares'!$C$2:$CA$213,77,0)</f>
        <v>-9.4000000000000004E-3</v>
      </c>
      <c r="H163" s="86">
        <f>VLOOKUP($A163,'Data shares'!$C:$FA,90)</f>
        <v>749175</v>
      </c>
      <c r="I163" s="86">
        <f>VLOOKUP($A163,'Data shares'!$C:$FA,92)</f>
        <v>60200</v>
      </c>
      <c r="J163" s="87">
        <f>VLOOKUP($A163,'Data shares'!$C:$FA,93)</f>
        <v>8.7400000000000005E-2</v>
      </c>
      <c r="K163" s="86">
        <f>VLOOKUP($A163,'Data shares'!$C:$FA,94)</f>
        <v>439425</v>
      </c>
      <c r="L163" s="86">
        <f>VLOOKUP($A163,'Data shares'!$C:$FA,96)</f>
        <v>7350</v>
      </c>
      <c r="M163" s="87">
        <f>VLOOKUP($A163,'Data shares'!$C:$FA,97)</f>
        <v>1.7000000000000001E-2</v>
      </c>
      <c r="N163" s="86">
        <f>VLOOKUP($A163,'Data shares'!$C:$FA,78)</f>
        <v>3169425</v>
      </c>
      <c r="O163" s="87">
        <f>VLOOKUP($A163,'Data shares'!$C:$FA,81)</f>
        <v>-1.52E-2</v>
      </c>
    </row>
    <row r="164" spans="1:15" x14ac:dyDescent="0.25">
      <c r="A164" s="100" t="str">
        <f>'Data Vlaue (Cr)'!C159</f>
        <v>PNB</v>
      </c>
      <c r="B164" s="82">
        <f>VLOOKUP(A164,'Data shares'!$C$2:$CV$213,98,0)</f>
        <v>478160000</v>
      </c>
      <c r="C164" s="82">
        <f>VLOOKUP(A164,'Data shares'!$C$2:$CX$213,100,0)</f>
        <v>-3224000</v>
      </c>
      <c r="D164" s="141">
        <f>VLOOKUP(A164,'Data shares'!$C$2:$CY$536,101,0)</f>
        <v>-6.7000000000000002E-3</v>
      </c>
      <c r="E164" s="86">
        <f>VLOOKUP($A164,'Data shares'!$C:$FA,74)</f>
        <v>266560000</v>
      </c>
      <c r="F164" s="86">
        <f>VLOOKUP($A164,'Data shares'!$C:$FA,76)</f>
        <v>-352000</v>
      </c>
      <c r="G164" s="87">
        <f>VLOOKUP(A164,'Data shares'!$C$2:$CA$213,77,0)</f>
        <v>-1.2999999999999999E-3</v>
      </c>
      <c r="H164" s="86">
        <f>VLOOKUP($A164,'Data shares'!$C:$FA,90)</f>
        <v>125288000</v>
      </c>
      <c r="I164" s="86">
        <f>VLOOKUP($A164,'Data shares'!$C:$FA,92)</f>
        <v>-4360000</v>
      </c>
      <c r="J164" s="87">
        <f>VLOOKUP($A164,'Data shares'!$C:$FA,93)</f>
        <v>-3.3599999999999998E-2</v>
      </c>
      <c r="K164" s="86">
        <f>VLOOKUP($A164,'Data shares'!$C:$FA,94)</f>
        <v>86312000</v>
      </c>
      <c r="L164" s="86">
        <f>VLOOKUP($A164,'Data shares'!$C:$FA,96)</f>
        <v>1488000</v>
      </c>
      <c r="M164" s="87">
        <f>VLOOKUP($A164,'Data shares'!$C:$FA,97)</f>
        <v>1.7500000000000002E-2</v>
      </c>
      <c r="N164" s="86">
        <f>VLOOKUP($A164,'Data shares'!$C:$FA,78)</f>
        <v>243064000</v>
      </c>
      <c r="O164" s="87">
        <f>VLOOKUP($A164,'Data shares'!$C:$FA,81)</f>
        <v>-5.7999999999999996E-3</v>
      </c>
    </row>
    <row r="165" spans="1:15" x14ac:dyDescent="0.25">
      <c r="A165" s="100" t="str">
        <f>'Data Vlaue (Cr)'!C160</f>
        <v>PNBHOUSING</v>
      </c>
      <c r="B165" s="82">
        <f>VLOOKUP(A165,'Data shares'!$C$2:$CV$213,98,0)</f>
        <v>18504850</v>
      </c>
      <c r="C165" s="82">
        <f>VLOOKUP(A165,'Data shares'!$C$2:$CX$213,100,0)</f>
        <v>50050</v>
      </c>
      <c r="D165" s="141">
        <f>VLOOKUP(A165,'Data shares'!$C$2:$CY$536,101,0)</f>
        <v>2.7000000000000001E-3</v>
      </c>
      <c r="E165" s="86">
        <f>VLOOKUP($A165,'Data shares'!$C:$FA,74)</f>
        <v>13540150</v>
      </c>
      <c r="F165" s="86">
        <f>VLOOKUP($A165,'Data shares'!$C:$FA,76)</f>
        <v>-167050</v>
      </c>
      <c r="G165" s="87">
        <f>VLOOKUP(A165,'Data shares'!$C$2:$CA$213,77,0)</f>
        <v>-1.2200000000000001E-2</v>
      </c>
      <c r="H165" s="86">
        <f>VLOOKUP($A165,'Data shares'!$C:$FA,90)</f>
        <v>2687750</v>
      </c>
      <c r="I165" s="86">
        <f>VLOOKUP($A165,'Data shares'!$C:$FA,92)</f>
        <v>104000</v>
      </c>
      <c r="J165" s="87">
        <f>VLOOKUP($A165,'Data shares'!$C:$FA,93)</f>
        <v>4.0300000000000002E-2</v>
      </c>
      <c r="K165" s="86">
        <f>VLOOKUP($A165,'Data shares'!$C:$FA,94)</f>
        <v>2276950</v>
      </c>
      <c r="L165" s="86">
        <f>VLOOKUP($A165,'Data shares'!$C:$FA,96)</f>
        <v>113100</v>
      </c>
      <c r="M165" s="87">
        <f>VLOOKUP($A165,'Data shares'!$C:$FA,97)</f>
        <v>5.2299999999999999E-2</v>
      </c>
      <c r="N165" s="86">
        <f>VLOOKUP($A165,'Data shares'!$C:$FA,78)</f>
        <v>13064350</v>
      </c>
      <c r="O165" s="87">
        <f>VLOOKUP($A165,'Data shares'!$C:$FA,81)</f>
        <v>-1.34E-2</v>
      </c>
    </row>
    <row r="166" spans="1:15" x14ac:dyDescent="0.25">
      <c r="A166" s="100" t="str">
        <f>'Data Vlaue (Cr)'!C161</f>
        <v>POLICYBZR</v>
      </c>
      <c r="B166" s="82">
        <f>VLOOKUP(A166,'Data shares'!$C$2:$CV$213,98,0)</f>
        <v>11849950</v>
      </c>
      <c r="C166" s="82">
        <f>VLOOKUP(A166,'Data shares'!$C$2:$CX$213,100,0)</f>
        <v>31850</v>
      </c>
      <c r="D166" s="141">
        <f>VLOOKUP(A166,'Data shares'!$C$2:$CY$536,101,0)</f>
        <v>2.7000000000000001E-3</v>
      </c>
      <c r="E166" s="86">
        <f>VLOOKUP($A166,'Data shares'!$C:$FA,74)</f>
        <v>7795900</v>
      </c>
      <c r="F166" s="86">
        <f>VLOOKUP($A166,'Data shares'!$C:$FA,76)</f>
        <v>-136150</v>
      </c>
      <c r="G166" s="87">
        <f>VLOOKUP(A166,'Data shares'!$C$2:$CA$213,77,0)</f>
        <v>-1.72E-2</v>
      </c>
      <c r="H166" s="86">
        <f>VLOOKUP($A166,'Data shares'!$C:$FA,90)</f>
        <v>2251550</v>
      </c>
      <c r="I166" s="86">
        <f>VLOOKUP($A166,'Data shares'!$C:$FA,92)</f>
        <v>110250</v>
      </c>
      <c r="J166" s="87">
        <f>VLOOKUP($A166,'Data shares'!$C:$FA,93)</f>
        <v>5.1499999999999997E-2</v>
      </c>
      <c r="K166" s="86">
        <f>VLOOKUP($A166,'Data shares'!$C:$FA,94)</f>
        <v>1802500</v>
      </c>
      <c r="L166" s="86">
        <f>VLOOKUP($A166,'Data shares'!$C:$FA,96)</f>
        <v>57750</v>
      </c>
      <c r="M166" s="87">
        <f>VLOOKUP($A166,'Data shares'!$C:$FA,97)</f>
        <v>3.3099999999999997E-2</v>
      </c>
      <c r="N166" s="86">
        <f>VLOOKUP($A166,'Data shares'!$C:$FA,78)</f>
        <v>7510650</v>
      </c>
      <c r="O166" s="87">
        <f>VLOOKUP($A166,'Data shares'!$C:$FA,81)</f>
        <v>-1.9699999999999999E-2</v>
      </c>
    </row>
    <row r="167" spans="1:15" x14ac:dyDescent="0.25">
      <c r="A167" s="100" t="str">
        <f>'Data Vlaue (Cr)'!C162</f>
        <v>POLYCAB</v>
      </c>
      <c r="B167" s="82">
        <f>VLOOKUP(A167,'Data shares'!$C$2:$CV$213,98,0)</f>
        <v>5487250</v>
      </c>
      <c r="C167" s="82">
        <f>VLOOKUP(A167,'Data shares'!$C$2:$CX$213,100,0)</f>
        <v>97875</v>
      </c>
      <c r="D167" s="141">
        <f>VLOOKUP(A167,'Data shares'!$C$2:$CY$536,101,0)</f>
        <v>1.8200000000000001E-2</v>
      </c>
      <c r="E167" s="86">
        <f>VLOOKUP($A167,'Data shares'!$C:$FA,74)</f>
        <v>2060875</v>
      </c>
      <c r="F167" s="86">
        <f>VLOOKUP($A167,'Data shares'!$C:$FA,76)</f>
        <v>-39000</v>
      </c>
      <c r="G167" s="87">
        <f>VLOOKUP(A167,'Data shares'!$C$2:$CA$213,77,0)</f>
        <v>-1.8599999999999998E-2</v>
      </c>
      <c r="H167" s="86">
        <f>VLOOKUP($A167,'Data shares'!$C:$FA,90)</f>
        <v>1952500</v>
      </c>
      <c r="I167" s="86">
        <f>VLOOKUP($A167,'Data shares'!$C:$FA,92)</f>
        <v>55125</v>
      </c>
      <c r="J167" s="87">
        <f>VLOOKUP($A167,'Data shares'!$C:$FA,93)</f>
        <v>2.9100000000000001E-2</v>
      </c>
      <c r="K167" s="86">
        <f>VLOOKUP($A167,'Data shares'!$C:$FA,94)</f>
        <v>1473875</v>
      </c>
      <c r="L167" s="86">
        <f>VLOOKUP($A167,'Data shares'!$C:$FA,96)</f>
        <v>81750</v>
      </c>
      <c r="M167" s="87">
        <f>VLOOKUP($A167,'Data shares'!$C:$FA,97)</f>
        <v>5.8700000000000002E-2</v>
      </c>
      <c r="N167" s="86">
        <f>VLOOKUP($A167,'Data shares'!$C:$FA,78)</f>
        <v>1934250</v>
      </c>
      <c r="O167" s="87">
        <f>VLOOKUP($A167,'Data shares'!$C:$FA,81)</f>
        <v>-2.2599999999999999E-2</v>
      </c>
    </row>
    <row r="168" spans="1:15" x14ac:dyDescent="0.25">
      <c r="A168" s="100" t="str">
        <f>'Data Vlaue (Cr)'!C163</f>
        <v>POWERGRID</v>
      </c>
      <c r="B168" s="82">
        <f>VLOOKUP(A168,'Data shares'!$C$2:$CV$213,98,0)</f>
        <v>138491000</v>
      </c>
      <c r="C168" s="82">
        <f>VLOOKUP(A168,'Data shares'!$C$2:$CX$213,100,0)</f>
        <v>1856300</v>
      </c>
      <c r="D168" s="141">
        <f>VLOOKUP(A168,'Data shares'!$C$2:$CY$536,101,0)</f>
        <v>1.3599999999999999E-2</v>
      </c>
      <c r="E168" s="86">
        <f>VLOOKUP($A168,'Data shares'!$C:$FA,74)</f>
        <v>79488400</v>
      </c>
      <c r="F168" s="86">
        <f>VLOOKUP($A168,'Data shares'!$C:$FA,76)</f>
        <v>9500</v>
      </c>
      <c r="G168" s="87">
        <f>VLOOKUP(A168,'Data shares'!$C$2:$CA$213,77,0)</f>
        <v>1E-4</v>
      </c>
      <c r="H168" s="86">
        <f>VLOOKUP($A168,'Data shares'!$C:$FA,90)</f>
        <v>40772100</v>
      </c>
      <c r="I168" s="86">
        <f>VLOOKUP($A168,'Data shares'!$C:$FA,92)</f>
        <v>927200</v>
      </c>
      <c r="J168" s="87">
        <f>VLOOKUP($A168,'Data shares'!$C:$FA,93)</f>
        <v>2.3300000000000001E-2</v>
      </c>
      <c r="K168" s="86">
        <f>VLOOKUP($A168,'Data shares'!$C:$FA,94)</f>
        <v>18230500</v>
      </c>
      <c r="L168" s="86">
        <f>VLOOKUP($A168,'Data shares'!$C:$FA,96)</f>
        <v>919600</v>
      </c>
      <c r="M168" s="87">
        <f>VLOOKUP($A168,'Data shares'!$C:$FA,97)</f>
        <v>5.3100000000000001E-2</v>
      </c>
      <c r="N168" s="86">
        <f>VLOOKUP($A168,'Data shares'!$C:$FA,78)</f>
        <v>77267300</v>
      </c>
      <c r="O168" s="87">
        <f>VLOOKUP($A168,'Data shares'!$C:$FA,81)</f>
        <v>-5.0000000000000001E-3</v>
      </c>
    </row>
    <row r="169" spans="1:15" x14ac:dyDescent="0.25">
      <c r="A169" s="100" t="str">
        <f>'Data Vlaue (Cr)'!C164</f>
        <v>POWERINDIA</v>
      </c>
      <c r="B169" s="82">
        <f>VLOOKUP(A169,'Data shares'!$C$2:$CV$213,98,0)</f>
        <v>705350</v>
      </c>
      <c r="C169" s="82">
        <f>VLOOKUP(A169,'Data shares'!$C$2:$CX$213,100,0)</f>
        <v>25650</v>
      </c>
      <c r="D169" s="141">
        <f>VLOOKUP(A169,'Data shares'!$C$2:$CY$536,101,0)</f>
        <v>3.7699999999999997E-2</v>
      </c>
      <c r="E169" s="86">
        <f>VLOOKUP($A169,'Data shares'!$C:$FA,74)</f>
        <v>311750</v>
      </c>
      <c r="F169" s="86">
        <f>VLOOKUP($A169,'Data shares'!$C:$FA,76)</f>
        <v>9200</v>
      </c>
      <c r="G169" s="87">
        <f>VLOOKUP(A169,'Data shares'!$C$2:$CA$213,77,0)</f>
        <v>3.04E-2</v>
      </c>
      <c r="H169" s="86">
        <f>VLOOKUP($A169,'Data shares'!$C:$FA,90)</f>
        <v>216950</v>
      </c>
      <c r="I169" s="86">
        <f>VLOOKUP($A169,'Data shares'!$C:$FA,92)</f>
        <v>10400</v>
      </c>
      <c r="J169" s="87">
        <f>VLOOKUP($A169,'Data shares'!$C:$FA,93)</f>
        <v>5.04E-2</v>
      </c>
      <c r="K169" s="86">
        <f>VLOOKUP($A169,'Data shares'!$C:$FA,94)</f>
        <v>176650</v>
      </c>
      <c r="L169" s="86">
        <f>VLOOKUP($A169,'Data shares'!$C:$FA,96)</f>
        <v>6050</v>
      </c>
      <c r="M169" s="87">
        <f>VLOOKUP($A169,'Data shares'!$C:$FA,97)</f>
        <v>3.5499999999999997E-2</v>
      </c>
      <c r="N169" s="86">
        <f>VLOOKUP($A169,'Data shares'!$C:$FA,78)</f>
        <v>296050</v>
      </c>
      <c r="O169" s="87">
        <f>VLOOKUP($A169,'Data shares'!$C:$FA,81)</f>
        <v>3.2300000000000002E-2</v>
      </c>
    </row>
    <row r="170" spans="1:15" x14ac:dyDescent="0.25">
      <c r="A170" s="100" t="str">
        <f>'Data Vlaue (Cr)'!C165</f>
        <v>PPLPHARMA</v>
      </c>
      <c r="B170" s="82">
        <f>VLOOKUP(A170,'Data shares'!$C$2:$CV$213,98,0)</f>
        <v>32791500</v>
      </c>
      <c r="C170" s="82">
        <f>VLOOKUP(A170,'Data shares'!$C$2:$CX$213,100,0)</f>
        <v>3654000</v>
      </c>
      <c r="D170" s="141">
        <f>VLOOKUP(A170,'Data shares'!$C$2:$CY$536,101,0)</f>
        <v>0.12540000000000001</v>
      </c>
      <c r="E170" s="86">
        <f>VLOOKUP($A170,'Data shares'!$C:$FA,74)</f>
        <v>17348625</v>
      </c>
      <c r="F170" s="86">
        <f>VLOOKUP($A170,'Data shares'!$C:$FA,76)</f>
        <v>299250</v>
      </c>
      <c r="G170" s="87">
        <f>VLOOKUP(A170,'Data shares'!$C$2:$CA$213,77,0)</f>
        <v>1.7600000000000001E-2</v>
      </c>
      <c r="H170" s="86">
        <f>VLOOKUP($A170,'Data shares'!$C:$FA,90)</f>
        <v>9867375</v>
      </c>
      <c r="I170" s="86">
        <f>VLOOKUP($A170,'Data shares'!$C:$FA,92)</f>
        <v>2155125</v>
      </c>
      <c r="J170" s="87">
        <f>VLOOKUP($A170,'Data shares'!$C:$FA,93)</f>
        <v>0.27939999999999998</v>
      </c>
      <c r="K170" s="86">
        <f>VLOOKUP($A170,'Data shares'!$C:$FA,94)</f>
        <v>5575500</v>
      </c>
      <c r="L170" s="86">
        <f>VLOOKUP($A170,'Data shares'!$C:$FA,96)</f>
        <v>1199625</v>
      </c>
      <c r="M170" s="87">
        <f>VLOOKUP($A170,'Data shares'!$C:$FA,97)</f>
        <v>0.27410000000000001</v>
      </c>
      <c r="N170" s="86">
        <f>VLOOKUP($A170,'Data shares'!$C:$FA,78)</f>
        <v>15563625</v>
      </c>
      <c r="O170" s="87">
        <f>VLOOKUP($A170,'Data shares'!$C:$FA,81)</f>
        <v>2.8999999999999998E-3</v>
      </c>
    </row>
    <row r="171" spans="1:15" x14ac:dyDescent="0.25">
      <c r="A171" s="100" t="str">
        <f>'Data Vlaue (Cr)'!C166</f>
        <v>PREMIERENE</v>
      </c>
      <c r="B171" s="82">
        <f>VLOOKUP(A171,'Data shares'!$C$2:$CV$213,98,0)</f>
        <v>14899400</v>
      </c>
      <c r="C171" s="82">
        <f>VLOOKUP(A171,'Data shares'!$C$2:$CX$213,100,0)</f>
        <v>137425</v>
      </c>
      <c r="D171" s="141">
        <f>VLOOKUP(A171,'Data shares'!$C$2:$CY$536,101,0)</f>
        <v>9.2999999999999992E-3</v>
      </c>
      <c r="E171" s="86">
        <f>VLOOKUP($A171,'Data shares'!$C:$FA,74)</f>
        <v>8197200</v>
      </c>
      <c r="F171" s="86">
        <f>VLOOKUP($A171,'Data shares'!$C:$FA,76)</f>
        <v>37950</v>
      </c>
      <c r="G171" s="87">
        <f>VLOOKUP(A171,'Data shares'!$C$2:$CA$213,77,0)</f>
        <v>4.7000000000000002E-3</v>
      </c>
      <c r="H171" s="86">
        <f>VLOOKUP($A171,'Data shares'!$C:$FA,90)</f>
        <v>3643200</v>
      </c>
      <c r="I171" s="86">
        <f>VLOOKUP($A171,'Data shares'!$C:$FA,92)</f>
        <v>28175</v>
      </c>
      <c r="J171" s="87">
        <f>VLOOKUP($A171,'Data shares'!$C:$FA,93)</f>
        <v>7.7999999999999996E-3</v>
      </c>
      <c r="K171" s="86">
        <f>VLOOKUP($A171,'Data shares'!$C:$FA,94)</f>
        <v>3059000</v>
      </c>
      <c r="L171" s="86">
        <f>VLOOKUP($A171,'Data shares'!$C:$FA,96)</f>
        <v>71300</v>
      </c>
      <c r="M171" s="87">
        <f>VLOOKUP($A171,'Data shares'!$C:$FA,97)</f>
        <v>2.3900000000000001E-2</v>
      </c>
      <c r="N171" s="86">
        <f>VLOOKUP($A171,'Data shares'!$C:$FA,78)</f>
        <v>7901650</v>
      </c>
      <c r="O171" s="87">
        <f>VLOOKUP($A171,'Data shares'!$C:$FA,81)</f>
        <v>-4.1999999999999997E-3</v>
      </c>
    </row>
    <row r="172" spans="1:15" x14ac:dyDescent="0.25">
      <c r="A172" s="100" t="str">
        <f>'Data Vlaue (Cr)'!C167</f>
        <v>PRESTIGE</v>
      </c>
      <c r="B172" s="82">
        <f>VLOOKUP(A172,'Data shares'!$C$2:$CV$213,98,0)</f>
        <v>8294850</v>
      </c>
      <c r="C172" s="82">
        <f>VLOOKUP(A172,'Data shares'!$C$2:$CX$213,100,0)</f>
        <v>71550</v>
      </c>
      <c r="D172" s="141">
        <f>VLOOKUP(A172,'Data shares'!$C$2:$CY$536,101,0)</f>
        <v>8.6999999999999994E-3</v>
      </c>
      <c r="E172" s="86">
        <f>VLOOKUP($A172,'Data shares'!$C:$FA,74)</f>
        <v>5769450</v>
      </c>
      <c r="F172" s="86">
        <f>VLOOKUP($A172,'Data shares'!$C:$FA,76)</f>
        <v>-52200</v>
      </c>
      <c r="G172" s="87">
        <f>VLOOKUP(A172,'Data shares'!$C$2:$CA$213,77,0)</f>
        <v>-8.9999999999999993E-3</v>
      </c>
      <c r="H172" s="86">
        <f>VLOOKUP($A172,'Data shares'!$C:$FA,90)</f>
        <v>1396350</v>
      </c>
      <c r="I172" s="86">
        <f>VLOOKUP($A172,'Data shares'!$C:$FA,92)</f>
        <v>36900</v>
      </c>
      <c r="J172" s="87">
        <f>VLOOKUP($A172,'Data shares'!$C:$FA,93)</f>
        <v>2.7099999999999999E-2</v>
      </c>
      <c r="K172" s="86">
        <f>VLOOKUP($A172,'Data shares'!$C:$FA,94)</f>
        <v>1129050</v>
      </c>
      <c r="L172" s="86">
        <f>VLOOKUP($A172,'Data shares'!$C:$FA,96)</f>
        <v>86850</v>
      </c>
      <c r="M172" s="87">
        <f>VLOOKUP($A172,'Data shares'!$C:$FA,97)</f>
        <v>8.3299999999999999E-2</v>
      </c>
      <c r="N172" s="86">
        <f>VLOOKUP($A172,'Data shares'!$C:$FA,78)</f>
        <v>5672700</v>
      </c>
      <c r="O172" s="87">
        <f>VLOOKUP($A172,'Data shares'!$C:$FA,81)</f>
        <v>-7.7999999999999996E-3</v>
      </c>
    </row>
    <row r="173" spans="1:15" x14ac:dyDescent="0.25">
      <c r="A173" s="100" t="str">
        <f>'Data Vlaue (Cr)'!C168</f>
        <v>RBLBANK</v>
      </c>
      <c r="B173" s="82">
        <f>VLOOKUP(A173,'Data shares'!$C$2:$CV$213,98,0)</f>
        <v>122847100</v>
      </c>
      <c r="C173" s="82">
        <f>VLOOKUP(A173,'Data shares'!$C$2:$CX$213,100,0)</f>
        <v>3209925</v>
      </c>
      <c r="D173" s="141">
        <f>VLOOKUP(A173,'Data shares'!$C$2:$CY$536,101,0)</f>
        <v>2.6800000000000001E-2</v>
      </c>
      <c r="E173" s="86">
        <f>VLOOKUP($A173,'Data shares'!$C:$FA,74)</f>
        <v>66855975</v>
      </c>
      <c r="F173" s="86">
        <f>VLOOKUP($A173,'Data shares'!$C:$FA,76)</f>
        <v>815975</v>
      </c>
      <c r="G173" s="87">
        <f>VLOOKUP(A173,'Data shares'!$C$2:$CA$213,77,0)</f>
        <v>1.24E-2</v>
      </c>
      <c r="H173" s="86">
        <f>VLOOKUP($A173,'Data shares'!$C:$FA,90)</f>
        <v>25765125</v>
      </c>
      <c r="I173" s="86">
        <f>VLOOKUP($A173,'Data shares'!$C:$FA,92)</f>
        <v>565150</v>
      </c>
      <c r="J173" s="87">
        <f>VLOOKUP($A173,'Data shares'!$C:$FA,93)</f>
        <v>2.24E-2</v>
      </c>
      <c r="K173" s="86">
        <f>VLOOKUP($A173,'Data shares'!$C:$FA,94)</f>
        <v>30226000</v>
      </c>
      <c r="L173" s="86">
        <f>VLOOKUP($A173,'Data shares'!$C:$FA,96)</f>
        <v>1828800</v>
      </c>
      <c r="M173" s="87">
        <f>VLOOKUP($A173,'Data shares'!$C:$FA,97)</f>
        <v>6.4399999999999999E-2</v>
      </c>
      <c r="N173" s="86">
        <f>VLOOKUP($A173,'Data shares'!$C:$FA,78)</f>
        <v>61125100</v>
      </c>
      <c r="O173" s="87">
        <f>VLOOKUP($A173,'Data shares'!$C:$FA,81)</f>
        <v>1.2500000000000001E-2</v>
      </c>
    </row>
    <row r="174" spans="1:15" x14ac:dyDescent="0.25">
      <c r="A174" s="100" t="str">
        <f>'Data Vlaue (Cr)'!C169</f>
        <v>RECLTD</v>
      </c>
      <c r="B174" s="82">
        <f>VLOOKUP(A174,'Data shares'!$C$2:$CV$213,98,0)</f>
        <v>138125400</v>
      </c>
      <c r="C174" s="82">
        <f>VLOOKUP(A174,'Data shares'!$C$2:$CX$213,100,0)</f>
        <v>1324400</v>
      </c>
      <c r="D174" s="141">
        <f>VLOOKUP(A174,'Data shares'!$C$2:$CY$536,101,0)</f>
        <v>9.7000000000000003E-3</v>
      </c>
      <c r="E174" s="86">
        <f>VLOOKUP($A174,'Data shares'!$C:$FA,74)</f>
        <v>77385000</v>
      </c>
      <c r="F174" s="86">
        <f>VLOOKUP($A174,'Data shares'!$C:$FA,76)</f>
        <v>-918400</v>
      </c>
      <c r="G174" s="87">
        <f>VLOOKUP(A174,'Data shares'!$C$2:$CA$213,77,0)</f>
        <v>-1.17E-2</v>
      </c>
      <c r="H174" s="86">
        <f>VLOOKUP($A174,'Data shares'!$C:$FA,90)</f>
        <v>30055200</v>
      </c>
      <c r="I174" s="86">
        <f>VLOOKUP($A174,'Data shares'!$C:$FA,92)</f>
        <v>1023400</v>
      </c>
      <c r="J174" s="87">
        <f>VLOOKUP($A174,'Data shares'!$C:$FA,93)</f>
        <v>3.5299999999999998E-2</v>
      </c>
      <c r="K174" s="86">
        <f>VLOOKUP($A174,'Data shares'!$C:$FA,94)</f>
        <v>30685200</v>
      </c>
      <c r="L174" s="86">
        <f>VLOOKUP($A174,'Data shares'!$C:$FA,96)</f>
        <v>1219400</v>
      </c>
      <c r="M174" s="87">
        <f>VLOOKUP($A174,'Data shares'!$C:$FA,97)</f>
        <v>4.1399999999999999E-2</v>
      </c>
      <c r="N174" s="86">
        <f>VLOOKUP($A174,'Data shares'!$C:$FA,78)</f>
        <v>70474600</v>
      </c>
      <c r="O174" s="87">
        <f>VLOOKUP($A174,'Data shares'!$C:$FA,81)</f>
        <v>-1.24E-2</v>
      </c>
    </row>
    <row r="175" spans="1:15" x14ac:dyDescent="0.25">
      <c r="A175" s="100" t="str">
        <f>'Data Vlaue (Cr)'!C170</f>
        <v>RELIANCE</v>
      </c>
      <c r="B175" s="82">
        <f>VLOOKUP(A175,'Data shares'!$C$2:$CV$213,98,0)</f>
        <v>226001000</v>
      </c>
      <c r="C175" s="82">
        <f>VLOOKUP(A175,'Data shares'!$C$2:$CX$213,100,0)</f>
        <v>6732500</v>
      </c>
      <c r="D175" s="141">
        <f>VLOOKUP(A175,'Data shares'!$C$2:$CY$536,101,0)</f>
        <v>3.0700000000000002E-2</v>
      </c>
      <c r="E175" s="86">
        <f>VLOOKUP($A175,'Data shares'!$C:$FA,74)</f>
        <v>105469500</v>
      </c>
      <c r="F175" s="86">
        <f>VLOOKUP($A175,'Data shares'!$C:$FA,76)</f>
        <v>1142000</v>
      </c>
      <c r="G175" s="87">
        <f>VLOOKUP(A175,'Data shares'!$C$2:$CA$213,77,0)</f>
        <v>1.09E-2</v>
      </c>
      <c r="H175" s="86">
        <f>VLOOKUP($A175,'Data shares'!$C:$FA,90)</f>
        <v>84952500</v>
      </c>
      <c r="I175" s="86">
        <f>VLOOKUP($A175,'Data shares'!$C:$FA,92)</f>
        <v>3237000</v>
      </c>
      <c r="J175" s="87">
        <f>VLOOKUP($A175,'Data shares'!$C:$FA,93)</f>
        <v>3.9600000000000003E-2</v>
      </c>
      <c r="K175" s="86">
        <f>VLOOKUP($A175,'Data shares'!$C:$FA,94)</f>
        <v>35579000</v>
      </c>
      <c r="L175" s="86">
        <f>VLOOKUP($A175,'Data shares'!$C:$FA,96)</f>
        <v>2353500</v>
      </c>
      <c r="M175" s="87">
        <f>VLOOKUP($A175,'Data shares'!$C:$FA,97)</f>
        <v>7.0800000000000002E-2</v>
      </c>
      <c r="N175" s="86">
        <f>VLOOKUP($A175,'Data shares'!$C:$FA,78)</f>
        <v>98882500</v>
      </c>
      <c r="O175" s="87">
        <f>VLOOKUP($A175,'Data shares'!$C:$FA,81)</f>
        <v>8.3999999999999995E-3</v>
      </c>
    </row>
    <row r="176" spans="1:15" x14ac:dyDescent="0.25">
      <c r="A176" s="100" t="str">
        <f>'Data Vlaue (Cr)'!C171</f>
        <v>RVNL</v>
      </c>
      <c r="B176" s="82">
        <f>VLOOKUP(A176,'Data shares'!$C$2:$CV$213,98,0)</f>
        <v>111860275</v>
      </c>
      <c r="C176" s="82">
        <f>VLOOKUP(A176,'Data shares'!$C$2:$CX$213,100,0)</f>
        <v>-823500</v>
      </c>
      <c r="D176" s="141">
        <f>VLOOKUP(A176,'Data shares'!$C$2:$CY$536,101,0)</f>
        <v>-7.3000000000000001E-3</v>
      </c>
      <c r="E176" s="86">
        <f>VLOOKUP($A176,'Data shares'!$C:$FA,74)</f>
        <v>63610800</v>
      </c>
      <c r="F176" s="86">
        <f>VLOOKUP($A176,'Data shares'!$C:$FA,76)</f>
        <v>510875</v>
      </c>
      <c r="G176" s="87">
        <f>VLOOKUP(A176,'Data shares'!$C$2:$CA$213,77,0)</f>
        <v>8.0999999999999996E-3</v>
      </c>
      <c r="H176" s="86">
        <f>VLOOKUP($A176,'Data shares'!$C:$FA,90)</f>
        <v>32052450</v>
      </c>
      <c r="I176" s="86">
        <f>VLOOKUP($A176,'Data shares'!$C:$FA,92)</f>
        <v>-536800</v>
      </c>
      <c r="J176" s="87">
        <f>VLOOKUP($A176,'Data shares'!$C:$FA,93)</f>
        <v>-1.6500000000000001E-2</v>
      </c>
      <c r="K176" s="86">
        <f>VLOOKUP($A176,'Data shares'!$C:$FA,94)</f>
        <v>16197025</v>
      </c>
      <c r="L176" s="86">
        <f>VLOOKUP($A176,'Data shares'!$C:$FA,96)</f>
        <v>-797575</v>
      </c>
      <c r="M176" s="87">
        <f>VLOOKUP($A176,'Data shares'!$C:$FA,97)</f>
        <v>-4.6899999999999997E-2</v>
      </c>
      <c r="N176" s="86">
        <f>VLOOKUP($A176,'Data shares'!$C:$FA,78)</f>
        <v>52707050</v>
      </c>
      <c r="O176" s="87">
        <f>VLOOKUP($A176,'Data shares'!$C:$FA,81)</f>
        <v>-2.9499999999999998E-2</v>
      </c>
    </row>
    <row r="177" spans="1:15" x14ac:dyDescent="0.25">
      <c r="A177" s="100" t="str">
        <f>'Data Vlaue (Cr)'!C172</f>
        <v>SAIL</v>
      </c>
      <c r="B177" s="82">
        <f>VLOOKUP(A177,'Data shares'!$C$2:$CV$213,98,0)</f>
        <v>244447000</v>
      </c>
      <c r="C177" s="82">
        <f>VLOOKUP(A177,'Data shares'!$C$2:$CX$213,100,0)</f>
        <v>-897700</v>
      </c>
      <c r="D177" s="141">
        <f>VLOOKUP(A177,'Data shares'!$C$2:$CY$536,101,0)</f>
        <v>-3.7000000000000002E-3</v>
      </c>
      <c r="E177" s="86">
        <f>VLOOKUP($A177,'Data shares'!$C:$FA,74)</f>
        <v>207241800</v>
      </c>
      <c r="F177" s="86">
        <f>VLOOKUP($A177,'Data shares'!$C:$FA,76)</f>
        <v>-822500</v>
      </c>
      <c r="G177" s="87">
        <f>VLOOKUP(A177,'Data shares'!$C$2:$CA$213,77,0)</f>
        <v>-4.0000000000000001E-3</v>
      </c>
      <c r="H177" s="86">
        <f>VLOOKUP($A177,'Data shares'!$C:$FA,90)</f>
        <v>22216900</v>
      </c>
      <c r="I177" s="86">
        <f>VLOOKUP($A177,'Data shares'!$C:$FA,92)</f>
        <v>-51700</v>
      </c>
      <c r="J177" s="87">
        <f>VLOOKUP($A177,'Data shares'!$C:$FA,93)</f>
        <v>-2.3E-3</v>
      </c>
      <c r="K177" s="86">
        <f>VLOOKUP($A177,'Data shares'!$C:$FA,94)</f>
        <v>14988300</v>
      </c>
      <c r="L177" s="86">
        <f>VLOOKUP($A177,'Data shares'!$C:$FA,96)</f>
        <v>-23500</v>
      </c>
      <c r="M177" s="87">
        <f>VLOOKUP($A177,'Data shares'!$C:$FA,97)</f>
        <v>-1.6000000000000001E-3</v>
      </c>
      <c r="N177" s="86">
        <f>VLOOKUP($A177,'Data shares'!$C:$FA,78)</f>
        <v>174313600</v>
      </c>
      <c r="O177" s="87">
        <f>VLOOKUP($A177,'Data shares'!$C:$FA,81)</f>
        <v>-5.3E-3</v>
      </c>
    </row>
    <row r="178" spans="1:15" x14ac:dyDescent="0.25">
      <c r="A178" s="100" t="str">
        <f>'Data Vlaue (Cr)'!C173</f>
        <v>SAMMAANCAP</v>
      </c>
      <c r="B178" s="82">
        <f>VLOOKUP(A178,'Data shares'!$C$2:$CV$213,98,0)</f>
        <v>143499600</v>
      </c>
      <c r="C178" s="82">
        <f>VLOOKUP(A178,'Data shares'!$C$2:$CX$213,100,0)</f>
        <v>-434300</v>
      </c>
      <c r="D178" s="141">
        <f>VLOOKUP(A178,'Data shares'!$C$2:$CY$536,101,0)</f>
        <v>-3.0000000000000001E-3</v>
      </c>
      <c r="E178" s="86">
        <f>VLOOKUP($A178,'Data shares'!$C:$FA,74)</f>
        <v>110239100</v>
      </c>
      <c r="F178" s="86">
        <f>VLOOKUP($A178,'Data shares'!$C:$FA,76)</f>
        <v>-352600</v>
      </c>
      <c r="G178" s="87">
        <f>VLOOKUP(A178,'Data shares'!$C$2:$CA$213,77,0)</f>
        <v>-3.2000000000000002E-3</v>
      </c>
      <c r="H178" s="86">
        <f>VLOOKUP($A178,'Data shares'!$C:$FA,90)</f>
        <v>23082400</v>
      </c>
      <c r="I178" s="86">
        <f>VLOOKUP($A178,'Data shares'!$C:$FA,92)</f>
        <v>-81700</v>
      </c>
      <c r="J178" s="87">
        <f>VLOOKUP($A178,'Data shares'!$C:$FA,93)</f>
        <v>-3.5000000000000001E-3</v>
      </c>
      <c r="K178" s="86">
        <f>VLOOKUP($A178,'Data shares'!$C:$FA,94)</f>
        <v>10178100</v>
      </c>
      <c r="L178" s="86">
        <f>VLOOKUP($A178,'Data shares'!$C:$FA,96)</f>
        <v>0</v>
      </c>
      <c r="M178" s="87">
        <f>VLOOKUP($A178,'Data shares'!$C:$FA,97)</f>
        <v>0</v>
      </c>
      <c r="N178" s="86">
        <f>VLOOKUP($A178,'Data shares'!$C:$FA,78)</f>
        <v>105724100</v>
      </c>
      <c r="O178" s="87">
        <f>VLOOKUP($A178,'Data shares'!$C:$FA,81)</f>
        <v>-3.3E-3</v>
      </c>
    </row>
    <row r="179" spans="1:15" x14ac:dyDescent="0.25">
      <c r="A179" s="100" t="str">
        <f>'Data Vlaue (Cr)'!C174</f>
        <v>SBICARD</v>
      </c>
      <c r="B179" s="82">
        <f>VLOOKUP(A179,'Data shares'!$C$2:$CV$213,98,0)</f>
        <v>39677600</v>
      </c>
      <c r="C179" s="82">
        <f>VLOOKUP(A179,'Data shares'!$C$2:$CX$213,100,0)</f>
        <v>892000</v>
      </c>
      <c r="D179" s="141">
        <f>VLOOKUP(A179,'Data shares'!$C$2:$CY$536,101,0)</f>
        <v>2.3E-2</v>
      </c>
      <c r="E179" s="86">
        <f>VLOOKUP($A179,'Data shares'!$C:$FA,74)</f>
        <v>26252800</v>
      </c>
      <c r="F179" s="86">
        <f>VLOOKUP($A179,'Data shares'!$C:$FA,76)</f>
        <v>783200</v>
      </c>
      <c r="G179" s="87">
        <f>VLOOKUP(A179,'Data shares'!$C$2:$CA$213,77,0)</f>
        <v>3.0800000000000001E-2</v>
      </c>
      <c r="H179" s="86">
        <f>VLOOKUP($A179,'Data shares'!$C:$FA,90)</f>
        <v>8373600</v>
      </c>
      <c r="I179" s="86">
        <f>VLOOKUP($A179,'Data shares'!$C:$FA,92)</f>
        <v>45600</v>
      </c>
      <c r="J179" s="87">
        <f>VLOOKUP($A179,'Data shares'!$C:$FA,93)</f>
        <v>5.4999999999999997E-3</v>
      </c>
      <c r="K179" s="86">
        <f>VLOOKUP($A179,'Data shares'!$C:$FA,94)</f>
        <v>5051200</v>
      </c>
      <c r="L179" s="86">
        <f>VLOOKUP($A179,'Data shares'!$C:$FA,96)</f>
        <v>63200</v>
      </c>
      <c r="M179" s="87">
        <f>VLOOKUP($A179,'Data shares'!$C:$FA,97)</f>
        <v>1.2699999999999999E-2</v>
      </c>
      <c r="N179" s="86">
        <f>VLOOKUP($A179,'Data shares'!$C:$FA,78)</f>
        <v>22792000</v>
      </c>
      <c r="O179" s="87">
        <f>VLOOKUP($A179,'Data shares'!$C:$FA,81)</f>
        <v>1.38E-2</v>
      </c>
    </row>
    <row r="180" spans="1:15" x14ac:dyDescent="0.25">
      <c r="A180" s="100" t="str">
        <f>'Data Vlaue (Cr)'!C175</f>
        <v>SBILIFE</v>
      </c>
      <c r="B180" s="82">
        <f>VLOOKUP(A180,'Data shares'!$C$2:$CV$213,98,0)</f>
        <v>14521875</v>
      </c>
      <c r="C180" s="82">
        <f>VLOOKUP(A180,'Data shares'!$C$2:$CX$213,100,0)</f>
        <v>26625</v>
      </c>
      <c r="D180" s="141">
        <f>VLOOKUP(A180,'Data shares'!$C$2:$CY$536,101,0)</f>
        <v>1.8E-3</v>
      </c>
      <c r="E180" s="86">
        <f>VLOOKUP($A180,'Data shares'!$C:$FA,74)</f>
        <v>8943375</v>
      </c>
      <c r="F180" s="86">
        <f>VLOOKUP($A180,'Data shares'!$C:$FA,76)</f>
        <v>-176250</v>
      </c>
      <c r="G180" s="87">
        <f>VLOOKUP(A180,'Data shares'!$C$2:$CA$213,77,0)</f>
        <v>-1.9300000000000001E-2</v>
      </c>
      <c r="H180" s="86">
        <f>VLOOKUP($A180,'Data shares'!$C:$FA,90)</f>
        <v>3837375</v>
      </c>
      <c r="I180" s="86">
        <f>VLOOKUP($A180,'Data shares'!$C:$FA,92)</f>
        <v>145875</v>
      </c>
      <c r="J180" s="87">
        <f>VLOOKUP($A180,'Data shares'!$C:$FA,93)</f>
        <v>3.95E-2</v>
      </c>
      <c r="K180" s="86">
        <f>VLOOKUP($A180,'Data shares'!$C:$FA,94)</f>
        <v>1741125</v>
      </c>
      <c r="L180" s="86">
        <f>VLOOKUP($A180,'Data shares'!$C:$FA,96)</f>
        <v>57000</v>
      </c>
      <c r="M180" s="87">
        <f>VLOOKUP($A180,'Data shares'!$C:$FA,97)</f>
        <v>3.3799999999999997E-2</v>
      </c>
      <c r="N180" s="86">
        <f>VLOOKUP($A180,'Data shares'!$C:$FA,78)</f>
        <v>8786250</v>
      </c>
      <c r="O180" s="87">
        <f>VLOOKUP($A180,'Data shares'!$C:$FA,81)</f>
        <v>-2.0299999999999999E-2</v>
      </c>
    </row>
    <row r="181" spans="1:15" x14ac:dyDescent="0.25">
      <c r="A181" s="100" t="str">
        <f>'Data Vlaue (Cr)'!C176</f>
        <v>SBIN</v>
      </c>
      <c r="B181" s="82">
        <f>VLOOKUP(A181,'Data shares'!$C$2:$CV$213,98,0)</f>
        <v>166989000</v>
      </c>
      <c r="C181" s="82">
        <f>VLOOKUP(A181,'Data shares'!$C$2:$CX$213,100,0)</f>
        <v>6321750</v>
      </c>
      <c r="D181" s="141">
        <f>VLOOKUP(A181,'Data shares'!$C$2:$CY$536,101,0)</f>
        <v>3.9300000000000002E-2</v>
      </c>
      <c r="E181" s="86">
        <f>VLOOKUP($A181,'Data shares'!$C:$FA,74)</f>
        <v>75495000</v>
      </c>
      <c r="F181" s="86">
        <f>VLOOKUP($A181,'Data shares'!$C:$FA,76)</f>
        <v>2782500</v>
      </c>
      <c r="G181" s="87">
        <f>VLOOKUP(A181,'Data shares'!$C$2:$CA$213,77,0)</f>
        <v>3.8300000000000001E-2</v>
      </c>
      <c r="H181" s="86">
        <f>VLOOKUP($A181,'Data shares'!$C:$FA,90)</f>
        <v>56619750</v>
      </c>
      <c r="I181" s="86">
        <f>VLOOKUP($A181,'Data shares'!$C:$FA,92)</f>
        <v>3828000</v>
      </c>
      <c r="J181" s="87">
        <f>VLOOKUP($A181,'Data shares'!$C:$FA,93)</f>
        <v>7.2499999999999995E-2</v>
      </c>
      <c r="K181" s="86">
        <f>VLOOKUP($A181,'Data shares'!$C:$FA,94)</f>
        <v>34874250</v>
      </c>
      <c r="L181" s="86">
        <f>VLOOKUP($A181,'Data shares'!$C:$FA,96)</f>
        <v>-288750</v>
      </c>
      <c r="M181" s="87">
        <f>VLOOKUP($A181,'Data shares'!$C:$FA,97)</f>
        <v>-8.2000000000000007E-3</v>
      </c>
      <c r="N181" s="86">
        <f>VLOOKUP($A181,'Data shares'!$C:$FA,78)</f>
        <v>69006750</v>
      </c>
      <c r="O181" s="87">
        <f>VLOOKUP($A181,'Data shares'!$C:$FA,81)</f>
        <v>2.7400000000000001E-2</v>
      </c>
    </row>
    <row r="182" spans="1:15" x14ac:dyDescent="0.25">
      <c r="A182" s="100" t="str">
        <f>'Data Vlaue (Cr)'!C177</f>
        <v>SHREECEM</v>
      </c>
      <c r="B182" s="82">
        <f>VLOOKUP(A182,'Data shares'!$C$2:$CV$213,98,0)</f>
        <v>559200</v>
      </c>
      <c r="C182" s="82">
        <f>VLOOKUP(A182,'Data shares'!$C$2:$CX$213,100,0)</f>
        <v>6825</v>
      </c>
      <c r="D182" s="141">
        <f>VLOOKUP(A182,'Data shares'!$C$2:$CY$536,101,0)</f>
        <v>1.24E-2</v>
      </c>
      <c r="E182" s="86">
        <f>VLOOKUP($A182,'Data shares'!$C:$FA,74)</f>
        <v>403525</v>
      </c>
      <c r="F182" s="86">
        <f>VLOOKUP($A182,'Data shares'!$C:$FA,76)</f>
        <v>1150</v>
      </c>
      <c r="G182" s="87">
        <f>VLOOKUP(A182,'Data shares'!$C$2:$CA$213,77,0)</f>
        <v>2.8999999999999998E-3</v>
      </c>
      <c r="H182" s="86">
        <f>VLOOKUP($A182,'Data shares'!$C:$FA,90)</f>
        <v>91275</v>
      </c>
      <c r="I182" s="86">
        <f>VLOOKUP($A182,'Data shares'!$C:$FA,92)</f>
        <v>1375</v>
      </c>
      <c r="J182" s="87">
        <f>VLOOKUP($A182,'Data shares'!$C:$FA,93)</f>
        <v>1.5299999999999999E-2</v>
      </c>
      <c r="K182" s="86">
        <f>VLOOKUP($A182,'Data shares'!$C:$FA,94)</f>
        <v>64400</v>
      </c>
      <c r="L182" s="86">
        <f>VLOOKUP($A182,'Data shares'!$C:$FA,96)</f>
        <v>4300</v>
      </c>
      <c r="M182" s="87">
        <f>VLOOKUP($A182,'Data shares'!$C:$FA,97)</f>
        <v>7.1499999999999994E-2</v>
      </c>
      <c r="N182" s="86">
        <f>VLOOKUP($A182,'Data shares'!$C:$FA,78)</f>
        <v>357300</v>
      </c>
      <c r="O182" s="87">
        <f>VLOOKUP($A182,'Data shares'!$C:$FA,81)</f>
        <v>-1.03E-2</v>
      </c>
    </row>
    <row r="183" spans="1:15" x14ac:dyDescent="0.25">
      <c r="A183" s="100" t="str">
        <f>'Data Vlaue (Cr)'!C178</f>
        <v>SHRIRAMFIN</v>
      </c>
      <c r="B183" s="82">
        <f>VLOOKUP(A183,'Data shares'!$C$2:$CV$213,98,0)</f>
        <v>63414450</v>
      </c>
      <c r="C183" s="82">
        <f>VLOOKUP(A183,'Data shares'!$C$2:$CX$213,100,0)</f>
        <v>1457775</v>
      </c>
      <c r="D183" s="141">
        <f>VLOOKUP(A183,'Data shares'!$C$2:$CY$536,101,0)</f>
        <v>2.35E-2</v>
      </c>
      <c r="E183" s="86">
        <f>VLOOKUP($A183,'Data shares'!$C:$FA,74)</f>
        <v>40262475</v>
      </c>
      <c r="F183" s="86">
        <f>VLOOKUP($A183,'Data shares'!$C:$FA,76)</f>
        <v>490050</v>
      </c>
      <c r="G183" s="87">
        <f>VLOOKUP(A183,'Data shares'!$C$2:$CA$213,77,0)</f>
        <v>1.23E-2</v>
      </c>
      <c r="H183" s="86">
        <f>VLOOKUP($A183,'Data shares'!$C:$FA,90)</f>
        <v>12437700</v>
      </c>
      <c r="I183" s="86">
        <f>VLOOKUP($A183,'Data shares'!$C:$FA,92)</f>
        <v>454575</v>
      </c>
      <c r="J183" s="87">
        <f>VLOOKUP($A183,'Data shares'!$C:$FA,93)</f>
        <v>3.7900000000000003E-2</v>
      </c>
      <c r="K183" s="86">
        <f>VLOOKUP($A183,'Data shares'!$C:$FA,94)</f>
        <v>10714275</v>
      </c>
      <c r="L183" s="86">
        <f>VLOOKUP($A183,'Data shares'!$C:$FA,96)</f>
        <v>513150</v>
      </c>
      <c r="M183" s="87">
        <f>VLOOKUP($A183,'Data shares'!$C:$FA,97)</f>
        <v>5.0299999999999997E-2</v>
      </c>
      <c r="N183" s="86">
        <f>VLOOKUP($A183,'Data shares'!$C:$FA,78)</f>
        <v>38416950</v>
      </c>
      <c r="O183" s="87">
        <f>VLOOKUP($A183,'Data shares'!$C:$FA,81)</f>
        <v>1.0699999999999999E-2</v>
      </c>
    </row>
    <row r="184" spans="1:15" x14ac:dyDescent="0.25">
      <c r="A184" s="100" t="str">
        <f>'Data Vlaue (Cr)'!C179</f>
        <v>SIEMENS</v>
      </c>
      <c r="B184" s="82">
        <f>VLOOKUP(A184,'Data shares'!$C$2:$CV$213,98,0)</f>
        <v>4891600</v>
      </c>
      <c r="C184" s="82">
        <f>VLOOKUP(A184,'Data shares'!$C$2:$CX$213,100,0)</f>
        <v>36575</v>
      </c>
      <c r="D184" s="141">
        <f>VLOOKUP(A184,'Data shares'!$C$2:$CY$536,101,0)</f>
        <v>7.4999999999999997E-3</v>
      </c>
      <c r="E184" s="86">
        <f>VLOOKUP($A184,'Data shares'!$C:$FA,74)</f>
        <v>2505825</v>
      </c>
      <c r="F184" s="86">
        <f>VLOOKUP($A184,'Data shares'!$C:$FA,76)</f>
        <v>33600</v>
      </c>
      <c r="G184" s="87">
        <f>VLOOKUP(A184,'Data shares'!$C$2:$CA$213,77,0)</f>
        <v>1.3599999999999999E-2</v>
      </c>
      <c r="H184" s="86">
        <f>VLOOKUP($A184,'Data shares'!$C:$FA,90)</f>
        <v>1577275</v>
      </c>
      <c r="I184" s="86">
        <f>VLOOKUP($A184,'Data shares'!$C:$FA,92)</f>
        <v>38325</v>
      </c>
      <c r="J184" s="87">
        <f>VLOOKUP($A184,'Data shares'!$C:$FA,93)</f>
        <v>2.4899999999999999E-2</v>
      </c>
      <c r="K184" s="86">
        <f>VLOOKUP($A184,'Data shares'!$C:$FA,94)</f>
        <v>808500</v>
      </c>
      <c r="L184" s="86">
        <f>VLOOKUP($A184,'Data shares'!$C:$FA,96)</f>
        <v>-35350</v>
      </c>
      <c r="M184" s="87">
        <f>VLOOKUP($A184,'Data shares'!$C:$FA,97)</f>
        <v>-4.19E-2</v>
      </c>
      <c r="N184" s="86">
        <f>VLOOKUP($A184,'Data shares'!$C:$FA,78)</f>
        <v>2441425</v>
      </c>
      <c r="O184" s="87">
        <f>VLOOKUP($A184,'Data shares'!$C:$FA,81)</f>
        <v>1.2E-2</v>
      </c>
    </row>
    <row r="185" spans="1:15" x14ac:dyDescent="0.25">
      <c r="A185" s="100" t="str">
        <f>'Data Vlaue (Cr)'!C180</f>
        <v>SOLARINDS</v>
      </c>
      <c r="B185" s="82">
        <f>VLOOKUP(A185,'Data shares'!$C$2:$CV$213,98,0)</f>
        <v>1386650</v>
      </c>
      <c r="C185" s="82">
        <f>VLOOKUP(A185,'Data shares'!$C$2:$CX$213,100,0)</f>
        <v>-10650</v>
      </c>
      <c r="D185" s="141">
        <f>VLOOKUP(A185,'Data shares'!$C$2:$CY$536,101,0)</f>
        <v>-7.6E-3</v>
      </c>
      <c r="E185" s="86">
        <f>VLOOKUP($A185,'Data shares'!$C:$FA,74)</f>
        <v>686700</v>
      </c>
      <c r="F185" s="86">
        <f>VLOOKUP($A185,'Data shares'!$C:$FA,76)</f>
        <v>-13500</v>
      </c>
      <c r="G185" s="87">
        <f>VLOOKUP(A185,'Data shares'!$C$2:$CA$213,77,0)</f>
        <v>-1.9300000000000001E-2</v>
      </c>
      <c r="H185" s="86">
        <f>VLOOKUP($A185,'Data shares'!$C:$FA,90)</f>
        <v>404850</v>
      </c>
      <c r="I185" s="86">
        <f>VLOOKUP($A185,'Data shares'!$C:$FA,92)</f>
        <v>-6150</v>
      </c>
      <c r="J185" s="87">
        <f>VLOOKUP($A185,'Data shares'!$C:$FA,93)</f>
        <v>-1.4999999999999999E-2</v>
      </c>
      <c r="K185" s="86">
        <f>VLOOKUP($A185,'Data shares'!$C:$FA,94)</f>
        <v>295100</v>
      </c>
      <c r="L185" s="86">
        <f>VLOOKUP($A185,'Data shares'!$C:$FA,96)</f>
        <v>9000</v>
      </c>
      <c r="M185" s="87">
        <f>VLOOKUP($A185,'Data shares'!$C:$FA,97)</f>
        <v>3.15E-2</v>
      </c>
      <c r="N185" s="86">
        <f>VLOOKUP($A185,'Data shares'!$C:$FA,78)</f>
        <v>604800</v>
      </c>
      <c r="O185" s="87">
        <f>VLOOKUP($A185,'Data shares'!$C:$FA,81)</f>
        <v>-2.4299999999999999E-2</v>
      </c>
    </row>
    <row r="186" spans="1:15" x14ac:dyDescent="0.25">
      <c r="A186" s="100" t="str">
        <f>'Data Vlaue (Cr)'!C181</f>
        <v>SONACOMS</v>
      </c>
      <c r="B186" s="82">
        <f>VLOOKUP(A186,'Data shares'!$C$2:$CV$213,98,0)</f>
        <v>20885025</v>
      </c>
      <c r="C186" s="82">
        <f>VLOOKUP(A186,'Data shares'!$C$2:$CX$213,100,0)</f>
        <v>75950</v>
      </c>
      <c r="D186" s="141">
        <f>VLOOKUP(A186,'Data shares'!$C$2:$CY$536,101,0)</f>
        <v>3.5999999999999999E-3</v>
      </c>
      <c r="E186" s="86">
        <f>VLOOKUP($A186,'Data shares'!$C:$FA,74)</f>
        <v>12325950</v>
      </c>
      <c r="F186" s="86">
        <f>VLOOKUP($A186,'Data shares'!$C:$FA,76)</f>
        <v>37975</v>
      </c>
      <c r="G186" s="87">
        <f>VLOOKUP(A186,'Data shares'!$C$2:$CA$213,77,0)</f>
        <v>3.0999999999999999E-3</v>
      </c>
      <c r="H186" s="86">
        <f>VLOOKUP($A186,'Data shares'!$C:$FA,90)</f>
        <v>5054350</v>
      </c>
      <c r="I186" s="86">
        <f>VLOOKUP($A186,'Data shares'!$C:$FA,92)</f>
        <v>90650</v>
      </c>
      <c r="J186" s="87">
        <f>VLOOKUP($A186,'Data shares'!$C:$FA,93)</f>
        <v>1.83E-2</v>
      </c>
      <c r="K186" s="86">
        <f>VLOOKUP($A186,'Data shares'!$C:$FA,94)</f>
        <v>3504725</v>
      </c>
      <c r="L186" s="86">
        <f>VLOOKUP($A186,'Data shares'!$C:$FA,96)</f>
        <v>-52675</v>
      </c>
      <c r="M186" s="87">
        <f>VLOOKUP($A186,'Data shares'!$C:$FA,97)</f>
        <v>-1.4800000000000001E-2</v>
      </c>
      <c r="N186" s="86">
        <f>VLOOKUP($A186,'Data shares'!$C:$FA,78)</f>
        <v>12082175</v>
      </c>
      <c r="O186" s="87">
        <f>VLOOKUP($A186,'Data shares'!$C:$FA,81)</f>
        <v>1.2999999999999999E-3</v>
      </c>
    </row>
    <row r="187" spans="1:15" x14ac:dyDescent="0.25">
      <c r="A187" s="100" t="str">
        <f>'Data Vlaue (Cr)'!C182</f>
        <v>SRF</v>
      </c>
      <c r="B187" s="82">
        <f>VLOOKUP(A187,'Data shares'!$C$2:$CV$213,98,0)</f>
        <v>6557800</v>
      </c>
      <c r="C187" s="82">
        <f>VLOOKUP(A187,'Data shares'!$C$2:$CX$213,100,0)</f>
        <v>-49800</v>
      </c>
      <c r="D187" s="141">
        <f>VLOOKUP(A187,'Data shares'!$C$2:$CY$536,101,0)</f>
        <v>-7.4999999999999997E-3</v>
      </c>
      <c r="E187" s="86">
        <f>VLOOKUP($A187,'Data shares'!$C:$FA,74)</f>
        <v>3554600</v>
      </c>
      <c r="F187" s="86">
        <f>VLOOKUP($A187,'Data shares'!$C:$FA,76)</f>
        <v>-159600</v>
      </c>
      <c r="G187" s="87">
        <f>VLOOKUP(A187,'Data shares'!$C$2:$CA$213,77,0)</f>
        <v>-4.2999999999999997E-2</v>
      </c>
      <c r="H187" s="86">
        <f>VLOOKUP($A187,'Data shares'!$C:$FA,90)</f>
        <v>1638200</v>
      </c>
      <c r="I187" s="86">
        <f>VLOOKUP($A187,'Data shares'!$C:$FA,92)</f>
        <v>67800</v>
      </c>
      <c r="J187" s="87">
        <f>VLOOKUP($A187,'Data shares'!$C:$FA,93)</f>
        <v>4.3200000000000002E-2</v>
      </c>
      <c r="K187" s="86">
        <f>VLOOKUP($A187,'Data shares'!$C:$FA,94)</f>
        <v>1365000</v>
      </c>
      <c r="L187" s="86">
        <f>VLOOKUP($A187,'Data shares'!$C:$FA,96)</f>
        <v>42000</v>
      </c>
      <c r="M187" s="87">
        <f>VLOOKUP($A187,'Data shares'!$C:$FA,97)</f>
        <v>3.1699999999999999E-2</v>
      </c>
      <c r="N187" s="86">
        <f>VLOOKUP($A187,'Data shares'!$C:$FA,78)</f>
        <v>3453600</v>
      </c>
      <c r="O187" s="87">
        <f>VLOOKUP($A187,'Data shares'!$C:$FA,81)</f>
        <v>-4.6699999999999998E-2</v>
      </c>
    </row>
    <row r="188" spans="1:15" x14ac:dyDescent="0.25">
      <c r="A188" s="100" t="str">
        <f>'Data Vlaue (Cr)'!C183</f>
        <v>SUNPHARMA</v>
      </c>
      <c r="B188" s="82">
        <f>VLOOKUP(A188,'Data shares'!$C$2:$CV$213,98,0)</f>
        <v>43755250</v>
      </c>
      <c r="C188" s="82">
        <f>VLOOKUP(A188,'Data shares'!$C$2:$CX$213,100,0)</f>
        <v>2131150</v>
      </c>
      <c r="D188" s="141">
        <f>VLOOKUP(A188,'Data shares'!$C$2:$CY$536,101,0)</f>
        <v>5.1200000000000002E-2</v>
      </c>
      <c r="E188" s="86">
        <f>VLOOKUP($A188,'Data shares'!$C:$FA,74)</f>
        <v>22489600</v>
      </c>
      <c r="F188" s="86">
        <f>VLOOKUP($A188,'Data shares'!$C:$FA,76)</f>
        <v>-150850</v>
      </c>
      <c r="G188" s="87">
        <f>VLOOKUP(A188,'Data shares'!$C$2:$CA$213,77,0)</f>
        <v>-6.7000000000000002E-3</v>
      </c>
      <c r="H188" s="86">
        <f>VLOOKUP($A188,'Data shares'!$C:$FA,90)</f>
        <v>13833400</v>
      </c>
      <c r="I188" s="86">
        <f>VLOOKUP($A188,'Data shares'!$C:$FA,92)</f>
        <v>1717450</v>
      </c>
      <c r="J188" s="87">
        <f>VLOOKUP($A188,'Data shares'!$C:$FA,93)</f>
        <v>0.14180000000000001</v>
      </c>
      <c r="K188" s="86">
        <f>VLOOKUP($A188,'Data shares'!$C:$FA,94)</f>
        <v>7432250</v>
      </c>
      <c r="L188" s="86">
        <f>VLOOKUP($A188,'Data shares'!$C:$FA,96)</f>
        <v>564550</v>
      </c>
      <c r="M188" s="87">
        <f>VLOOKUP($A188,'Data shares'!$C:$FA,97)</f>
        <v>8.2199999999999995E-2</v>
      </c>
      <c r="N188" s="86">
        <f>VLOOKUP($A188,'Data shares'!$C:$FA,78)</f>
        <v>22230950</v>
      </c>
      <c r="O188" s="87">
        <f>VLOOKUP($A188,'Data shares'!$C:$FA,81)</f>
        <v>-7.4999999999999997E-3</v>
      </c>
    </row>
    <row r="189" spans="1:15" x14ac:dyDescent="0.25">
      <c r="A189" s="100" t="str">
        <f>'Data Vlaue (Cr)'!C184</f>
        <v>SUPREMEIND</v>
      </c>
      <c r="B189" s="82">
        <f>VLOOKUP(A189,'Data shares'!$C$2:$CV$213,98,0)</f>
        <v>2800000</v>
      </c>
      <c r="C189" s="82">
        <f>VLOOKUP(A189,'Data shares'!$C$2:$CX$213,100,0)</f>
        <v>127400</v>
      </c>
      <c r="D189" s="141">
        <f>VLOOKUP(A189,'Data shares'!$C$2:$CY$536,101,0)</f>
        <v>4.7699999999999999E-2</v>
      </c>
      <c r="E189" s="86">
        <f>VLOOKUP($A189,'Data shares'!$C:$FA,74)</f>
        <v>1937425</v>
      </c>
      <c r="F189" s="86">
        <f>VLOOKUP($A189,'Data shares'!$C:$FA,76)</f>
        <v>196525</v>
      </c>
      <c r="G189" s="87">
        <f>VLOOKUP(A189,'Data shares'!$C$2:$CA$213,77,0)</f>
        <v>0.1129</v>
      </c>
      <c r="H189" s="86">
        <f>VLOOKUP($A189,'Data shares'!$C:$FA,90)</f>
        <v>535675</v>
      </c>
      <c r="I189" s="86">
        <f>VLOOKUP($A189,'Data shares'!$C:$FA,92)</f>
        <v>-41650</v>
      </c>
      <c r="J189" s="87">
        <f>VLOOKUP($A189,'Data shares'!$C:$FA,93)</f>
        <v>-7.2099999999999997E-2</v>
      </c>
      <c r="K189" s="86">
        <f>VLOOKUP($A189,'Data shares'!$C:$FA,94)</f>
        <v>326900</v>
      </c>
      <c r="L189" s="86">
        <f>VLOOKUP($A189,'Data shares'!$C:$FA,96)</f>
        <v>-27475</v>
      </c>
      <c r="M189" s="87">
        <f>VLOOKUP($A189,'Data shares'!$C:$FA,97)</f>
        <v>-7.7499999999999999E-2</v>
      </c>
      <c r="N189" s="86">
        <f>VLOOKUP($A189,'Data shares'!$C:$FA,78)</f>
        <v>1878275</v>
      </c>
      <c r="O189" s="87">
        <f>VLOOKUP($A189,'Data shares'!$C:$FA,81)</f>
        <v>0.10199999999999999</v>
      </c>
    </row>
    <row r="190" spans="1:15" x14ac:dyDescent="0.25">
      <c r="A190" s="100" t="str">
        <f>'Data Vlaue (Cr)'!C185</f>
        <v>SUZLON</v>
      </c>
      <c r="B190" s="82">
        <f>VLOOKUP(A190,'Data shares'!$C$2:$CV$213,98,0)</f>
        <v>607418600</v>
      </c>
      <c r="C190" s="82">
        <f>VLOOKUP(A190,'Data shares'!$C$2:$CX$213,100,0)</f>
        <v>-6750700</v>
      </c>
      <c r="D190" s="141">
        <f>VLOOKUP(A190,'Data shares'!$C$2:$CY$536,101,0)</f>
        <v>-1.0999999999999999E-2</v>
      </c>
      <c r="E190" s="86">
        <f>VLOOKUP($A190,'Data shares'!$C:$FA,74)</f>
        <v>314909325</v>
      </c>
      <c r="F190" s="86">
        <f>VLOOKUP($A190,'Data shares'!$C:$FA,76)</f>
        <v>-6461900</v>
      </c>
      <c r="G190" s="87">
        <f>VLOOKUP(A190,'Data shares'!$C$2:$CA$213,77,0)</f>
        <v>-2.01E-2</v>
      </c>
      <c r="H190" s="86">
        <f>VLOOKUP($A190,'Data shares'!$C:$FA,90)</f>
        <v>205842200</v>
      </c>
      <c r="I190" s="86">
        <f>VLOOKUP($A190,'Data shares'!$C:$FA,92)</f>
        <v>-8537650</v>
      </c>
      <c r="J190" s="87">
        <f>VLOOKUP($A190,'Data shares'!$C:$FA,93)</f>
        <v>-3.9800000000000002E-2</v>
      </c>
      <c r="K190" s="86">
        <f>VLOOKUP($A190,'Data shares'!$C:$FA,94)</f>
        <v>86667075</v>
      </c>
      <c r="L190" s="86">
        <f>VLOOKUP($A190,'Data shares'!$C:$FA,96)</f>
        <v>8248850</v>
      </c>
      <c r="M190" s="87">
        <f>VLOOKUP($A190,'Data shares'!$C:$FA,97)</f>
        <v>0.1052</v>
      </c>
      <c r="N190" s="86">
        <f>VLOOKUP($A190,'Data shares'!$C:$FA,78)</f>
        <v>284540200</v>
      </c>
      <c r="O190" s="87">
        <f>VLOOKUP($A190,'Data shares'!$C:$FA,81)</f>
        <v>-2.6800000000000001E-2</v>
      </c>
    </row>
    <row r="191" spans="1:15" x14ac:dyDescent="0.25">
      <c r="A191" s="100" t="str">
        <f>'Data Vlaue (Cr)'!C186</f>
        <v>SWIGGY</v>
      </c>
      <c r="B191" s="82">
        <f>VLOOKUP(A191,'Data shares'!$C$2:$CV$213,98,0)</f>
        <v>71536400</v>
      </c>
      <c r="C191" s="82">
        <f>VLOOKUP(A191,'Data shares'!$C$2:$CX$213,100,0)</f>
        <v>4702100</v>
      </c>
      <c r="D191" s="141">
        <f>VLOOKUP(A191,'Data shares'!$C$2:$CY$536,101,0)</f>
        <v>7.0400000000000004E-2</v>
      </c>
      <c r="E191" s="86">
        <f>VLOOKUP($A191,'Data shares'!$C:$FA,74)</f>
        <v>56585100</v>
      </c>
      <c r="F191" s="86">
        <f>VLOOKUP($A191,'Data shares'!$C:$FA,76)</f>
        <v>3355300</v>
      </c>
      <c r="G191" s="87">
        <f>VLOOKUP(A191,'Data shares'!$C$2:$CA$213,77,0)</f>
        <v>6.3E-2</v>
      </c>
      <c r="H191" s="86">
        <f>VLOOKUP($A191,'Data shares'!$C:$FA,90)</f>
        <v>8139300</v>
      </c>
      <c r="I191" s="86">
        <f>VLOOKUP($A191,'Data shares'!$C:$FA,92)</f>
        <v>631800</v>
      </c>
      <c r="J191" s="87">
        <f>VLOOKUP($A191,'Data shares'!$C:$FA,93)</f>
        <v>8.4199999999999997E-2</v>
      </c>
      <c r="K191" s="86">
        <f>VLOOKUP($A191,'Data shares'!$C:$FA,94)</f>
        <v>6812000</v>
      </c>
      <c r="L191" s="86">
        <f>VLOOKUP($A191,'Data shares'!$C:$FA,96)</f>
        <v>715000</v>
      </c>
      <c r="M191" s="87">
        <f>VLOOKUP($A191,'Data shares'!$C:$FA,97)</f>
        <v>0.1173</v>
      </c>
      <c r="N191" s="86">
        <f>VLOOKUP($A191,'Data shares'!$C:$FA,78)</f>
        <v>50599900</v>
      </c>
      <c r="O191" s="87">
        <f>VLOOKUP($A191,'Data shares'!$C:$FA,81)</f>
        <v>-5.9999999999999995E-4</v>
      </c>
    </row>
    <row r="192" spans="1:15" x14ac:dyDescent="0.25">
      <c r="A192" s="100" t="str">
        <f>'Data Vlaue (Cr)'!C187</f>
        <v>SYNGENE</v>
      </c>
      <c r="B192" s="82">
        <f>VLOOKUP(A192,'Data shares'!$C$2:$CV$213,98,0)</f>
        <v>17108000</v>
      </c>
      <c r="C192" s="82">
        <f>VLOOKUP(A192,'Data shares'!$C$2:$CX$213,100,0)</f>
        <v>148000</v>
      </c>
      <c r="D192" s="141">
        <f>VLOOKUP(A192,'Data shares'!$C$2:$CY$536,101,0)</f>
        <v>8.6999999999999994E-3</v>
      </c>
      <c r="E192" s="86">
        <f>VLOOKUP($A192,'Data shares'!$C:$FA,74)</f>
        <v>8649000</v>
      </c>
      <c r="F192" s="86">
        <f>VLOOKUP($A192,'Data shares'!$C:$FA,76)</f>
        <v>-75000</v>
      </c>
      <c r="G192" s="87">
        <f>VLOOKUP(A192,'Data shares'!$C$2:$CA$213,77,0)</f>
        <v>-8.6E-3</v>
      </c>
      <c r="H192" s="86">
        <f>VLOOKUP($A192,'Data shares'!$C:$FA,90)</f>
        <v>5535000</v>
      </c>
      <c r="I192" s="86">
        <f>VLOOKUP($A192,'Data shares'!$C:$FA,92)</f>
        <v>275000</v>
      </c>
      <c r="J192" s="87">
        <f>VLOOKUP($A192,'Data shares'!$C:$FA,93)</f>
        <v>5.2299999999999999E-2</v>
      </c>
      <c r="K192" s="86">
        <f>VLOOKUP($A192,'Data shares'!$C:$FA,94)</f>
        <v>2924000</v>
      </c>
      <c r="L192" s="86">
        <f>VLOOKUP($A192,'Data shares'!$C:$FA,96)</f>
        <v>-52000</v>
      </c>
      <c r="M192" s="87">
        <f>VLOOKUP($A192,'Data shares'!$C:$FA,97)</f>
        <v>-1.7500000000000002E-2</v>
      </c>
      <c r="N192" s="86">
        <f>VLOOKUP($A192,'Data shares'!$C:$FA,78)</f>
        <v>8649000</v>
      </c>
      <c r="O192" s="87">
        <f>VLOOKUP($A192,'Data shares'!$C:$FA,81)</f>
        <v>-8.6E-3</v>
      </c>
    </row>
    <row r="193" spans="1:15" x14ac:dyDescent="0.25">
      <c r="A193" s="100" t="str">
        <f>'Data Vlaue (Cr)'!C188</f>
        <v>TATACONSUM</v>
      </c>
      <c r="B193" s="82">
        <f>VLOOKUP(A193,'Data shares'!$C$2:$CV$213,98,0)</f>
        <v>18152750</v>
      </c>
      <c r="C193" s="82">
        <f>VLOOKUP(A193,'Data shares'!$C$2:$CX$213,100,0)</f>
        <v>117700</v>
      </c>
      <c r="D193" s="141">
        <f>VLOOKUP(A193,'Data shares'!$C$2:$CY$536,101,0)</f>
        <v>6.4999999999999997E-3</v>
      </c>
      <c r="E193" s="86">
        <f>VLOOKUP($A193,'Data shares'!$C:$FA,74)</f>
        <v>13375450</v>
      </c>
      <c r="F193" s="86">
        <f>VLOOKUP($A193,'Data shares'!$C:$FA,76)</f>
        <v>102300</v>
      </c>
      <c r="G193" s="87">
        <f>VLOOKUP(A193,'Data shares'!$C$2:$CA$213,77,0)</f>
        <v>7.7000000000000002E-3</v>
      </c>
      <c r="H193" s="86">
        <f>VLOOKUP($A193,'Data shares'!$C:$FA,90)</f>
        <v>3108600</v>
      </c>
      <c r="I193" s="86">
        <f>VLOOKUP($A193,'Data shares'!$C:$FA,92)</f>
        <v>220550</v>
      </c>
      <c r="J193" s="87">
        <f>VLOOKUP($A193,'Data shares'!$C:$FA,93)</f>
        <v>7.6399999999999996E-2</v>
      </c>
      <c r="K193" s="86">
        <f>VLOOKUP($A193,'Data shares'!$C:$FA,94)</f>
        <v>1668700</v>
      </c>
      <c r="L193" s="86">
        <f>VLOOKUP($A193,'Data shares'!$C:$FA,96)</f>
        <v>-205150</v>
      </c>
      <c r="M193" s="87">
        <f>VLOOKUP($A193,'Data shares'!$C:$FA,97)</f>
        <v>-0.1095</v>
      </c>
      <c r="N193" s="86">
        <f>VLOOKUP($A193,'Data shares'!$C:$FA,78)</f>
        <v>13004750</v>
      </c>
      <c r="O193" s="87">
        <f>VLOOKUP($A193,'Data shares'!$C:$FA,81)</f>
        <v>-4.4999999999999997E-3</v>
      </c>
    </row>
    <row r="194" spans="1:15" x14ac:dyDescent="0.25">
      <c r="A194" s="100" t="str">
        <f>'Data Vlaue (Cr)'!C189</f>
        <v>TATAELXSI</v>
      </c>
      <c r="B194" s="82">
        <f>VLOOKUP(A194,'Data shares'!$C$2:$CV$213,98,0)</f>
        <v>4654800</v>
      </c>
      <c r="C194" s="82">
        <f>VLOOKUP(A194,'Data shares'!$C$2:$CX$213,100,0)</f>
        <v>132800</v>
      </c>
      <c r="D194" s="141">
        <f>VLOOKUP(A194,'Data shares'!$C$2:$CY$536,101,0)</f>
        <v>2.9399999999999999E-2</v>
      </c>
      <c r="E194" s="86">
        <f>VLOOKUP($A194,'Data shares'!$C:$FA,74)</f>
        <v>1964600</v>
      </c>
      <c r="F194" s="86">
        <f>VLOOKUP($A194,'Data shares'!$C:$FA,76)</f>
        <v>70900</v>
      </c>
      <c r="G194" s="87">
        <f>VLOOKUP(A194,'Data shares'!$C$2:$CA$213,77,0)</f>
        <v>3.7400000000000003E-2</v>
      </c>
      <c r="H194" s="86">
        <f>VLOOKUP($A194,'Data shares'!$C:$FA,90)</f>
        <v>1891100</v>
      </c>
      <c r="I194" s="86">
        <f>VLOOKUP($A194,'Data shares'!$C:$FA,92)</f>
        <v>73000</v>
      </c>
      <c r="J194" s="87">
        <f>VLOOKUP($A194,'Data shares'!$C:$FA,93)</f>
        <v>4.02E-2</v>
      </c>
      <c r="K194" s="86">
        <f>VLOOKUP($A194,'Data shares'!$C:$FA,94)</f>
        <v>799100</v>
      </c>
      <c r="L194" s="86">
        <f>VLOOKUP($A194,'Data shares'!$C:$FA,96)</f>
        <v>-11100</v>
      </c>
      <c r="M194" s="87">
        <f>VLOOKUP($A194,'Data shares'!$C:$FA,97)</f>
        <v>-1.37E-2</v>
      </c>
      <c r="N194" s="86">
        <f>VLOOKUP($A194,'Data shares'!$C:$FA,78)</f>
        <v>1638100</v>
      </c>
      <c r="O194" s="87">
        <f>VLOOKUP($A194,'Data shares'!$C:$FA,81)</f>
        <v>1.21E-2</v>
      </c>
    </row>
    <row r="195" spans="1:15" x14ac:dyDescent="0.25">
      <c r="A195" s="100" t="str">
        <f>'Data Vlaue (Cr)'!C190</f>
        <v>TATAPOWER</v>
      </c>
      <c r="B195" s="82">
        <f>VLOOKUP(A195,'Data shares'!$C$2:$CV$213,98,0)</f>
        <v>115159000</v>
      </c>
      <c r="C195" s="82">
        <f>VLOOKUP(A195,'Data shares'!$C$2:$CX$213,100,0)</f>
        <v>8752200</v>
      </c>
      <c r="D195" s="141">
        <f>VLOOKUP(A195,'Data shares'!$C$2:$CY$536,101,0)</f>
        <v>8.2299999999999998E-2</v>
      </c>
      <c r="E195" s="86">
        <f>VLOOKUP($A195,'Data shares'!$C:$FA,74)</f>
        <v>55677100</v>
      </c>
      <c r="F195" s="86">
        <f>VLOOKUP($A195,'Data shares'!$C:$FA,76)</f>
        <v>4901000</v>
      </c>
      <c r="G195" s="87">
        <f>VLOOKUP(A195,'Data shares'!$C$2:$CA$213,77,0)</f>
        <v>9.6500000000000002E-2</v>
      </c>
      <c r="H195" s="86">
        <f>VLOOKUP($A195,'Data shares'!$C:$FA,90)</f>
        <v>29321900</v>
      </c>
      <c r="I195" s="86">
        <f>VLOOKUP($A195,'Data shares'!$C:$FA,92)</f>
        <v>-1499300</v>
      </c>
      <c r="J195" s="87">
        <f>VLOOKUP($A195,'Data shares'!$C:$FA,93)</f>
        <v>-4.8599999999999997E-2</v>
      </c>
      <c r="K195" s="86">
        <f>VLOOKUP($A195,'Data shares'!$C:$FA,94)</f>
        <v>30160000</v>
      </c>
      <c r="L195" s="86">
        <f>VLOOKUP($A195,'Data shares'!$C:$FA,96)</f>
        <v>5350500</v>
      </c>
      <c r="M195" s="87">
        <f>VLOOKUP($A195,'Data shares'!$C:$FA,97)</f>
        <v>0.2157</v>
      </c>
      <c r="N195" s="86">
        <f>VLOOKUP($A195,'Data shares'!$C:$FA,78)</f>
        <v>53259950</v>
      </c>
      <c r="O195" s="87">
        <f>VLOOKUP($A195,'Data shares'!$C:$FA,81)</f>
        <v>9.4200000000000006E-2</v>
      </c>
    </row>
    <row r="196" spans="1:15" x14ac:dyDescent="0.25">
      <c r="A196" s="100" t="str">
        <f>'Data Vlaue (Cr)'!C191</f>
        <v>TATASTEEL</v>
      </c>
      <c r="B196" s="82">
        <f>VLOOKUP(A196,'Data shares'!$C$2:$CV$213,98,0)</f>
        <v>448530500</v>
      </c>
      <c r="C196" s="82">
        <f>VLOOKUP(A196,'Data shares'!$C$2:$CX$213,100,0)</f>
        <v>2079000</v>
      </c>
      <c r="D196" s="141">
        <f>VLOOKUP(A196,'Data shares'!$C$2:$CY$536,101,0)</f>
        <v>4.7000000000000002E-3</v>
      </c>
      <c r="E196" s="86">
        <f>VLOOKUP($A196,'Data shares'!$C:$FA,74)</f>
        <v>228519500</v>
      </c>
      <c r="F196" s="86">
        <f>VLOOKUP($A196,'Data shares'!$C:$FA,76)</f>
        <v>-1919500</v>
      </c>
      <c r="G196" s="87">
        <f>VLOOKUP(A196,'Data shares'!$C$2:$CA$213,77,0)</f>
        <v>-8.3000000000000001E-3</v>
      </c>
      <c r="H196" s="86">
        <f>VLOOKUP($A196,'Data shares'!$C:$FA,90)</f>
        <v>133226500</v>
      </c>
      <c r="I196" s="86">
        <f>VLOOKUP($A196,'Data shares'!$C:$FA,92)</f>
        <v>2563000</v>
      </c>
      <c r="J196" s="87">
        <f>VLOOKUP($A196,'Data shares'!$C:$FA,93)</f>
        <v>1.9599999999999999E-2</v>
      </c>
      <c r="K196" s="86">
        <f>VLOOKUP($A196,'Data shares'!$C:$FA,94)</f>
        <v>86784500</v>
      </c>
      <c r="L196" s="86">
        <f>VLOOKUP($A196,'Data shares'!$C:$FA,96)</f>
        <v>1435500</v>
      </c>
      <c r="M196" s="87">
        <f>VLOOKUP($A196,'Data shares'!$C:$FA,97)</f>
        <v>1.6799999999999999E-2</v>
      </c>
      <c r="N196" s="86">
        <f>VLOOKUP($A196,'Data shares'!$C:$FA,78)</f>
        <v>196856000</v>
      </c>
      <c r="O196" s="87">
        <f>VLOOKUP($A196,'Data shares'!$C:$FA,81)</f>
        <v>-1.24E-2</v>
      </c>
    </row>
    <row r="197" spans="1:15" x14ac:dyDescent="0.25">
      <c r="A197" s="100" t="str">
        <f>'Data Vlaue (Cr)'!C192</f>
        <v>TATATECH</v>
      </c>
      <c r="B197" s="82">
        <f>VLOOKUP(A197,'Data shares'!$C$2:$CV$213,98,0)</f>
        <v>18100800</v>
      </c>
      <c r="C197" s="82">
        <f>VLOOKUP(A197,'Data shares'!$C$2:$CX$213,100,0)</f>
        <v>4800</v>
      </c>
      <c r="D197" s="141">
        <f>VLOOKUP(A197,'Data shares'!$C$2:$CY$536,101,0)</f>
        <v>2.9999999999999997E-4</v>
      </c>
      <c r="E197" s="86">
        <f>VLOOKUP($A197,'Data shares'!$C:$FA,74)</f>
        <v>10980800</v>
      </c>
      <c r="F197" s="86">
        <f>VLOOKUP($A197,'Data shares'!$C:$FA,76)</f>
        <v>-176000</v>
      </c>
      <c r="G197" s="87">
        <f>VLOOKUP(A197,'Data shares'!$C$2:$CA$213,77,0)</f>
        <v>-1.5800000000000002E-2</v>
      </c>
      <c r="H197" s="86">
        <f>VLOOKUP($A197,'Data shares'!$C:$FA,90)</f>
        <v>4575200</v>
      </c>
      <c r="I197" s="86">
        <f>VLOOKUP($A197,'Data shares'!$C:$FA,92)</f>
        <v>165600</v>
      </c>
      <c r="J197" s="87">
        <f>VLOOKUP($A197,'Data shares'!$C:$FA,93)</f>
        <v>3.7600000000000001E-2</v>
      </c>
      <c r="K197" s="86">
        <f>VLOOKUP($A197,'Data shares'!$C:$FA,94)</f>
        <v>2544800</v>
      </c>
      <c r="L197" s="86">
        <f>VLOOKUP($A197,'Data shares'!$C:$FA,96)</f>
        <v>15200</v>
      </c>
      <c r="M197" s="87">
        <f>VLOOKUP($A197,'Data shares'!$C:$FA,97)</f>
        <v>6.0000000000000001E-3</v>
      </c>
      <c r="N197" s="86">
        <f>VLOOKUP($A197,'Data shares'!$C:$FA,78)</f>
        <v>10111200</v>
      </c>
      <c r="O197" s="87">
        <f>VLOOKUP($A197,'Data shares'!$C:$FA,81)</f>
        <v>-1.7500000000000002E-2</v>
      </c>
    </row>
    <row r="198" spans="1:15" x14ac:dyDescent="0.25">
      <c r="A198" s="100" t="str">
        <f>'Data Vlaue (Cr)'!C193</f>
        <v>TCS</v>
      </c>
      <c r="B198" s="82">
        <f>VLOOKUP(A198,'Data shares'!$C$2:$CV$213,98,0)</f>
        <v>59537275</v>
      </c>
      <c r="C198" s="82">
        <f>VLOOKUP(A198,'Data shares'!$C$2:$CX$213,100,0)</f>
        <v>945175</v>
      </c>
      <c r="D198" s="141">
        <f>VLOOKUP(A198,'Data shares'!$C$2:$CY$536,101,0)</f>
        <v>1.61E-2</v>
      </c>
      <c r="E198" s="86">
        <f>VLOOKUP($A198,'Data shares'!$C:$FA,74)</f>
        <v>31884475</v>
      </c>
      <c r="F198" s="86">
        <f>VLOOKUP($A198,'Data shares'!$C:$FA,76)</f>
        <v>270725</v>
      </c>
      <c r="G198" s="87">
        <f>VLOOKUP(A198,'Data shares'!$C$2:$CA$213,77,0)</f>
        <v>8.6E-3</v>
      </c>
      <c r="H198" s="86">
        <f>VLOOKUP($A198,'Data shares'!$C:$FA,90)</f>
        <v>17724350</v>
      </c>
      <c r="I198" s="86">
        <f>VLOOKUP($A198,'Data shares'!$C:$FA,92)</f>
        <v>635775</v>
      </c>
      <c r="J198" s="87">
        <f>VLOOKUP($A198,'Data shares'!$C:$FA,93)</f>
        <v>3.7199999999999997E-2</v>
      </c>
      <c r="K198" s="86">
        <f>VLOOKUP($A198,'Data shares'!$C:$FA,94)</f>
        <v>9928450</v>
      </c>
      <c r="L198" s="86">
        <f>VLOOKUP($A198,'Data shares'!$C:$FA,96)</f>
        <v>38675</v>
      </c>
      <c r="M198" s="87">
        <f>VLOOKUP($A198,'Data shares'!$C:$FA,97)</f>
        <v>3.8999999999999998E-3</v>
      </c>
      <c r="N198" s="86">
        <f>VLOOKUP($A198,'Data shares'!$C:$FA,78)</f>
        <v>26867575</v>
      </c>
      <c r="O198" s="87">
        <f>VLOOKUP($A198,'Data shares'!$C:$FA,81)</f>
        <v>7.1000000000000004E-3</v>
      </c>
    </row>
    <row r="199" spans="1:15" x14ac:dyDescent="0.25">
      <c r="A199" s="100" t="str">
        <f>'Data Vlaue (Cr)'!C194</f>
        <v>TECHM</v>
      </c>
      <c r="B199" s="82">
        <f>VLOOKUP(A199,'Data shares'!$C$2:$CV$213,98,0)</f>
        <v>34005600</v>
      </c>
      <c r="C199" s="82">
        <f>VLOOKUP(A199,'Data shares'!$C$2:$CX$213,100,0)</f>
        <v>368400</v>
      </c>
      <c r="D199" s="141">
        <f>VLOOKUP(A199,'Data shares'!$C$2:$CY$536,101,0)</f>
        <v>1.0999999999999999E-2</v>
      </c>
      <c r="E199" s="86">
        <f>VLOOKUP($A199,'Data shares'!$C:$FA,74)</f>
        <v>18742200</v>
      </c>
      <c r="F199" s="86">
        <f>VLOOKUP($A199,'Data shares'!$C:$FA,76)</f>
        <v>-439200</v>
      </c>
      <c r="G199" s="87">
        <f>VLOOKUP(A199,'Data shares'!$C$2:$CA$213,77,0)</f>
        <v>-2.29E-2</v>
      </c>
      <c r="H199" s="86">
        <f>VLOOKUP($A199,'Data shares'!$C:$FA,90)</f>
        <v>9586800</v>
      </c>
      <c r="I199" s="86">
        <f>VLOOKUP($A199,'Data shares'!$C:$FA,92)</f>
        <v>753600</v>
      </c>
      <c r="J199" s="87">
        <f>VLOOKUP($A199,'Data shares'!$C:$FA,93)</f>
        <v>8.5300000000000001E-2</v>
      </c>
      <c r="K199" s="86">
        <f>VLOOKUP($A199,'Data shares'!$C:$FA,94)</f>
        <v>5676600</v>
      </c>
      <c r="L199" s="86">
        <f>VLOOKUP($A199,'Data shares'!$C:$FA,96)</f>
        <v>54000</v>
      </c>
      <c r="M199" s="87">
        <f>VLOOKUP($A199,'Data shares'!$C:$FA,97)</f>
        <v>9.5999999999999992E-3</v>
      </c>
      <c r="N199" s="86">
        <f>VLOOKUP($A199,'Data shares'!$C:$FA,78)</f>
        <v>18334200</v>
      </c>
      <c r="O199" s="87">
        <f>VLOOKUP($A199,'Data shares'!$C:$FA,81)</f>
        <v>-2.5000000000000001E-2</v>
      </c>
    </row>
    <row r="200" spans="1:15" x14ac:dyDescent="0.25">
      <c r="A200" s="100" t="str">
        <f>'Data Vlaue (Cr)'!C195</f>
        <v>TIINDIA</v>
      </c>
      <c r="B200" s="82">
        <f>VLOOKUP(A200,'Data shares'!$C$2:$CV$213,98,0)</f>
        <v>4213200</v>
      </c>
      <c r="C200" s="82">
        <f>VLOOKUP(A200,'Data shares'!$C$2:$CX$213,100,0)</f>
        <v>-16400</v>
      </c>
      <c r="D200" s="141">
        <f>VLOOKUP(A200,'Data shares'!$C$2:$CY$536,101,0)</f>
        <v>-3.8999999999999998E-3</v>
      </c>
      <c r="E200" s="86">
        <f>VLOOKUP($A200,'Data shares'!$C:$FA,74)</f>
        <v>3124400</v>
      </c>
      <c r="F200" s="86">
        <f>VLOOKUP($A200,'Data shares'!$C:$FA,76)</f>
        <v>-18000</v>
      </c>
      <c r="G200" s="87">
        <f>VLOOKUP(A200,'Data shares'!$C$2:$CA$213,77,0)</f>
        <v>-5.7000000000000002E-3</v>
      </c>
      <c r="H200" s="86">
        <f>VLOOKUP($A200,'Data shares'!$C:$FA,90)</f>
        <v>626400</v>
      </c>
      <c r="I200" s="86">
        <f>VLOOKUP($A200,'Data shares'!$C:$FA,92)</f>
        <v>3800</v>
      </c>
      <c r="J200" s="87">
        <f>VLOOKUP($A200,'Data shares'!$C:$FA,93)</f>
        <v>6.1000000000000004E-3</v>
      </c>
      <c r="K200" s="86">
        <f>VLOOKUP($A200,'Data shares'!$C:$FA,94)</f>
        <v>462400</v>
      </c>
      <c r="L200" s="86">
        <f>VLOOKUP($A200,'Data shares'!$C:$FA,96)</f>
        <v>-2200</v>
      </c>
      <c r="M200" s="87">
        <f>VLOOKUP($A200,'Data shares'!$C:$FA,97)</f>
        <v>-4.7000000000000002E-3</v>
      </c>
      <c r="N200" s="86">
        <f>VLOOKUP($A200,'Data shares'!$C:$FA,78)</f>
        <v>3021200</v>
      </c>
      <c r="O200" s="87">
        <f>VLOOKUP($A200,'Data shares'!$C:$FA,81)</f>
        <v>-8.3000000000000001E-3</v>
      </c>
    </row>
    <row r="201" spans="1:15" x14ac:dyDescent="0.25">
      <c r="A201" s="100" t="str">
        <f>'Data Vlaue (Cr)'!C196</f>
        <v>TITAN</v>
      </c>
      <c r="B201" s="82">
        <f>VLOOKUP(A201,'Data shares'!$C$2:$CV$213,98,0)</f>
        <v>14266175</v>
      </c>
      <c r="C201" s="82">
        <f>VLOOKUP(A201,'Data shares'!$C$2:$CX$213,100,0)</f>
        <v>424900</v>
      </c>
      <c r="D201" s="141">
        <f>VLOOKUP(A201,'Data shares'!$C$2:$CY$536,101,0)</f>
        <v>3.0700000000000002E-2</v>
      </c>
      <c r="E201" s="86">
        <f>VLOOKUP($A201,'Data shares'!$C:$FA,74)</f>
        <v>9812075</v>
      </c>
      <c r="F201" s="86">
        <f>VLOOKUP($A201,'Data shares'!$C:$FA,76)</f>
        <v>6825</v>
      </c>
      <c r="G201" s="87">
        <f>VLOOKUP(A201,'Data shares'!$C$2:$CA$213,77,0)</f>
        <v>6.9999999999999999E-4</v>
      </c>
      <c r="H201" s="86">
        <f>VLOOKUP($A201,'Data shares'!$C:$FA,90)</f>
        <v>3060400</v>
      </c>
      <c r="I201" s="86">
        <f>VLOOKUP($A201,'Data shares'!$C:$FA,92)</f>
        <v>367500</v>
      </c>
      <c r="J201" s="87">
        <f>VLOOKUP($A201,'Data shares'!$C:$FA,93)</f>
        <v>0.13650000000000001</v>
      </c>
      <c r="K201" s="86">
        <f>VLOOKUP($A201,'Data shares'!$C:$FA,94)</f>
        <v>1393700</v>
      </c>
      <c r="L201" s="86">
        <f>VLOOKUP($A201,'Data shares'!$C:$FA,96)</f>
        <v>50575</v>
      </c>
      <c r="M201" s="87">
        <f>VLOOKUP($A201,'Data shares'!$C:$FA,97)</f>
        <v>3.7699999999999997E-2</v>
      </c>
      <c r="N201" s="86">
        <f>VLOOKUP($A201,'Data shares'!$C:$FA,78)</f>
        <v>9561125</v>
      </c>
      <c r="O201" s="87">
        <f>VLOOKUP($A201,'Data shares'!$C:$FA,81)</f>
        <v>-1.4E-3</v>
      </c>
    </row>
    <row r="202" spans="1:15" x14ac:dyDescent="0.25">
      <c r="A202" s="100" t="str">
        <f>'Data Vlaue (Cr)'!C197</f>
        <v>TMPV</v>
      </c>
      <c r="B202" s="82">
        <f>VLOOKUP(A202,'Data shares'!$C$2:$CV$213,98,0)</f>
        <v>151585600</v>
      </c>
      <c r="C202" s="82">
        <f>VLOOKUP(A202,'Data shares'!$C$2:$CX$213,100,0)</f>
        <v>4113600</v>
      </c>
      <c r="D202" s="141">
        <f>VLOOKUP(A202,'Data shares'!$C$2:$CY$536,101,0)</f>
        <v>2.7900000000000001E-2</v>
      </c>
      <c r="E202" s="86">
        <f>VLOOKUP($A202,'Data shares'!$C:$FA,74)</f>
        <v>72205600</v>
      </c>
      <c r="F202" s="86">
        <f>VLOOKUP($A202,'Data shares'!$C:$FA,76)</f>
        <v>-288800</v>
      </c>
      <c r="G202" s="87">
        <f>VLOOKUP(A202,'Data shares'!$C$2:$CA$213,77,0)</f>
        <v>-4.0000000000000001E-3</v>
      </c>
      <c r="H202" s="86">
        <f>VLOOKUP($A202,'Data shares'!$C:$FA,90)</f>
        <v>53146400</v>
      </c>
      <c r="I202" s="86">
        <f>VLOOKUP($A202,'Data shares'!$C:$FA,92)</f>
        <v>4288800</v>
      </c>
      <c r="J202" s="87">
        <f>VLOOKUP($A202,'Data shares'!$C:$FA,93)</f>
        <v>8.7800000000000003E-2</v>
      </c>
      <c r="K202" s="86">
        <f>VLOOKUP($A202,'Data shares'!$C:$FA,94)</f>
        <v>26233600</v>
      </c>
      <c r="L202" s="86">
        <f>VLOOKUP($A202,'Data shares'!$C:$FA,96)</f>
        <v>113600</v>
      </c>
      <c r="M202" s="87">
        <f>VLOOKUP($A202,'Data shares'!$C:$FA,97)</f>
        <v>4.3E-3</v>
      </c>
      <c r="N202" s="86">
        <f>VLOOKUP($A202,'Data shares'!$C:$FA,78)</f>
        <v>66020800</v>
      </c>
      <c r="O202" s="87">
        <f>VLOOKUP($A202,'Data shares'!$C:$FA,81)</f>
        <v>-1.3100000000000001E-2</v>
      </c>
    </row>
    <row r="203" spans="1:15" x14ac:dyDescent="0.25">
      <c r="A203" s="100" t="str">
        <f>'Data Vlaue (Cr)'!C198</f>
        <v>TORNTPHARM</v>
      </c>
      <c r="B203" s="82">
        <f>VLOOKUP(A203,'Data shares'!$C$2:$CV$213,98,0)</f>
        <v>4258750</v>
      </c>
      <c r="C203" s="82">
        <f>VLOOKUP(A203,'Data shares'!$C$2:$CX$213,100,0)</f>
        <v>70500</v>
      </c>
      <c r="D203" s="141">
        <f>VLOOKUP(A203,'Data shares'!$C$2:$CY$536,101,0)</f>
        <v>1.6799999999999999E-2</v>
      </c>
      <c r="E203" s="86">
        <f>VLOOKUP($A203,'Data shares'!$C:$FA,74)</f>
        <v>2744250</v>
      </c>
      <c r="F203" s="86">
        <f>VLOOKUP($A203,'Data shares'!$C:$FA,76)</f>
        <v>-18250</v>
      </c>
      <c r="G203" s="87">
        <f>VLOOKUP(A203,'Data shares'!$C$2:$CA$213,77,0)</f>
        <v>-6.6E-3</v>
      </c>
      <c r="H203" s="86">
        <f>VLOOKUP($A203,'Data shares'!$C:$FA,90)</f>
        <v>830250</v>
      </c>
      <c r="I203" s="86">
        <f>VLOOKUP($A203,'Data shares'!$C:$FA,92)</f>
        <v>81500</v>
      </c>
      <c r="J203" s="87">
        <f>VLOOKUP($A203,'Data shares'!$C:$FA,93)</f>
        <v>0.10879999999999999</v>
      </c>
      <c r="K203" s="86">
        <f>VLOOKUP($A203,'Data shares'!$C:$FA,94)</f>
        <v>684250</v>
      </c>
      <c r="L203" s="86">
        <f>VLOOKUP($A203,'Data shares'!$C:$FA,96)</f>
        <v>7250</v>
      </c>
      <c r="M203" s="87">
        <f>VLOOKUP($A203,'Data shares'!$C:$FA,97)</f>
        <v>1.0699999999999999E-2</v>
      </c>
      <c r="N203" s="86">
        <f>VLOOKUP($A203,'Data shares'!$C:$FA,78)</f>
        <v>2696500</v>
      </c>
      <c r="O203" s="87">
        <f>VLOOKUP($A203,'Data shares'!$C:$FA,81)</f>
        <v>-7.4000000000000003E-3</v>
      </c>
    </row>
    <row r="204" spans="1:15" x14ac:dyDescent="0.25">
      <c r="A204" s="100" t="str">
        <f>'Data Vlaue (Cr)'!C199</f>
        <v>TORNTPOWER</v>
      </c>
      <c r="B204" s="82">
        <f>VLOOKUP(A204,'Data shares'!$C$2:$CV$213,98,0)</f>
        <v>6360550</v>
      </c>
      <c r="C204" s="82">
        <f>VLOOKUP(A204,'Data shares'!$C$2:$CX$213,100,0)</f>
        <v>144075</v>
      </c>
      <c r="D204" s="141">
        <f>VLOOKUP(A204,'Data shares'!$C$2:$CY$536,101,0)</f>
        <v>2.3199999999999998E-2</v>
      </c>
      <c r="E204" s="86">
        <f>VLOOKUP($A204,'Data shares'!$C:$FA,74)</f>
        <v>3655425</v>
      </c>
      <c r="F204" s="86">
        <f>VLOOKUP($A204,'Data shares'!$C:$FA,76)</f>
        <v>78625</v>
      </c>
      <c r="G204" s="87">
        <f>VLOOKUP(A204,'Data shares'!$C$2:$CA$213,77,0)</f>
        <v>2.1999999999999999E-2</v>
      </c>
      <c r="H204" s="86">
        <f>VLOOKUP($A204,'Data shares'!$C:$FA,90)</f>
        <v>1666425</v>
      </c>
      <c r="I204" s="86">
        <f>VLOOKUP($A204,'Data shares'!$C:$FA,92)</f>
        <v>-37825</v>
      </c>
      <c r="J204" s="87">
        <f>VLOOKUP($A204,'Data shares'!$C:$FA,93)</f>
        <v>-2.2200000000000001E-2</v>
      </c>
      <c r="K204" s="86">
        <f>VLOOKUP($A204,'Data shares'!$C:$FA,94)</f>
        <v>1038700</v>
      </c>
      <c r="L204" s="86">
        <f>VLOOKUP($A204,'Data shares'!$C:$FA,96)</f>
        <v>103275</v>
      </c>
      <c r="M204" s="87">
        <f>VLOOKUP($A204,'Data shares'!$C:$FA,97)</f>
        <v>0.1104</v>
      </c>
      <c r="N204" s="86">
        <f>VLOOKUP($A204,'Data shares'!$C:$FA,78)</f>
        <v>3506675</v>
      </c>
      <c r="O204" s="87">
        <f>VLOOKUP($A204,'Data shares'!$C:$FA,81)</f>
        <v>2.1000000000000001E-2</v>
      </c>
    </row>
    <row r="205" spans="1:15" x14ac:dyDescent="0.25">
      <c r="A205" s="100" t="str">
        <f>'Data Vlaue (Cr)'!C200</f>
        <v>TRENT</v>
      </c>
      <c r="B205" s="82">
        <f>VLOOKUP(A205,'Data shares'!$C$2:$CV$213,98,0)</f>
        <v>11047700</v>
      </c>
      <c r="C205" s="82">
        <f>VLOOKUP(A205,'Data shares'!$C$2:$CX$213,100,0)</f>
        <v>436300</v>
      </c>
      <c r="D205" s="141">
        <f>VLOOKUP(A205,'Data shares'!$C$2:$CY$536,101,0)</f>
        <v>4.1099999999999998E-2</v>
      </c>
      <c r="E205" s="86">
        <f>VLOOKUP($A205,'Data shares'!$C:$FA,74)</f>
        <v>6255200</v>
      </c>
      <c r="F205" s="86">
        <f>VLOOKUP($A205,'Data shares'!$C:$FA,76)</f>
        <v>48500</v>
      </c>
      <c r="G205" s="87">
        <f>VLOOKUP(A205,'Data shares'!$C$2:$CA$213,77,0)</f>
        <v>7.7999999999999996E-3</v>
      </c>
      <c r="H205" s="86">
        <f>VLOOKUP($A205,'Data shares'!$C:$FA,90)</f>
        <v>3097400</v>
      </c>
      <c r="I205" s="86">
        <f>VLOOKUP($A205,'Data shares'!$C:$FA,92)</f>
        <v>306800</v>
      </c>
      <c r="J205" s="87">
        <f>VLOOKUP($A205,'Data shares'!$C:$FA,93)</f>
        <v>0.1099</v>
      </c>
      <c r="K205" s="86">
        <f>VLOOKUP($A205,'Data shares'!$C:$FA,94)</f>
        <v>1695100</v>
      </c>
      <c r="L205" s="86">
        <f>VLOOKUP($A205,'Data shares'!$C:$FA,96)</f>
        <v>81000</v>
      </c>
      <c r="M205" s="87">
        <f>VLOOKUP($A205,'Data shares'!$C:$FA,97)</f>
        <v>5.0200000000000002E-2</v>
      </c>
      <c r="N205" s="86">
        <f>VLOOKUP($A205,'Data shares'!$C:$FA,78)</f>
        <v>5904700</v>
      </c>
      <c r="O205" s="87">
        <f>VLOOKUP($A205,'Data shares'!$C:$FA,81)</f>
        <v>5.9999999999999995E-4</v>
      </c>
    </row>
    <row r="206" spans="1:15" x14ac:dyDescent="0.25">
      <c r="A206" s="100" t="str">
        <f>'Data Vlaue (Cr)'!C201</f>
        <v>TVSMOTOR</v>
      </c>
      <c r="B206" s="82">
        <f>VLOOKUP(A206,'Data shares'!$C$2:$CV$213,98,0)</f>
        <v>13317500</v>
      </c>
      <c r="C206" s="82">
        <f>VLOOKUP(A206,'Data shares'!$C$2:$CX$213,100,0)</f>
        <v>1087625</v>
      </c>
      <c r="D206" s="141">
        <f>VLOOKUP(A206,'Data shares'!$C$2:$CY$536,101,0)</f>
        <v>8.8900000000000007E-2</v>
      </c>
      <c r="E206" s="86">
        <f>VLOOKUP($A206,'Data shares'!$C:$FA,74)</f>
        <v>8616300</v>
      </c>
      <c r="F206" s="86">
        <f>VLOOKUP($A206,'Data shares'!$C:$FA,76)</f>
        <v>475300</v>
      </c>
      <c r="G206" s="87">
        <f>VLOOKUP(A206,'Data shares'!$C$2:$CA$213,77,0)</f>
        <v>5.8400000000000001E-2</v>
      </c>
      <c r="H206" s="86">
        <f>VLOOKUP($A206,'Data shares'!$C:$FA,90)</f>
        <v>2914975</v>
      </c>
      <c r="I206" s="86">
        <f>VLOOKUP($A206,'Data shares'!$C:$FA,92)</f>
        <v>497175</v>
      </c>
      <c r="J206" s="87">
        <f>VLOOKUP($A206,'Data shares'!$C:$FA,93)</f>
        <v>0.2056</v>
      </c>
      <c r="K206" s="86">
        <f>VLOOKUP($A206,'Data shares'!$C:$FA,94)</f>
        <v>1786225</v>
      </c>
      <c r="L206" s="86">
        <f>VLOOKUP($A206,'Data shares'!$C:$FA,96)</f>
        <v>115150</v>
      </c>
      <c r="M206" s="87">
        <f>VLOOKUP($A206,'Data shares'!$C:$FA,97)</f>
        <v>6.8900000000000003E-2</v>
      </c>
      <c r="N206" s="86">
        <f>VLOOKUP($A206,'Data shares'!$C:$FA,78)</f>
        <v>8511125</v>
      </c>
      <c r="O206" s="87">
        <f>VLOOKUP($A206,'Data shares'!$C:$FA,81)</f>
        <v>5.57E-2</v>
      </c>
    </row>
    <row r="207" spans="1:15" x14ac:dyDescent="0.25">
      <c r="A207" s="100" t="str">
        <f>'Data Vlaue (Cr)'!C202</f>
        <v>ULTRACEMCO</v>
      </c>
      <c r="B207" s="82">
        <f>VLOOKUP(A207,'Data shares'!$C$2:$CV$213,98,0)</f>
        <v>3450950</v>
      </c>
      <c r="C207" s="82">
        <f>VLOOKUP(A207,'Data shares'!$C$2:$CX$213,100,0)</f>
        <v>92600</v>
      </c>
      <c r="D207" s="141">
        <f>VLOOKUP(A207,'Data shares'!$C$2:$CY$536,101,0)</f>
        <v>2.76E-2</v>
      </c>
      <c r="E207" s="86">
        <f>VLOOKUP($A207,'Data shares'!$C:$FA,74)</f>
        <v>2179350</v>
      </c>
      <c r="F207" s="86">
        <f>VLOOKUP($A207,'Data shares'!$C:$FA,76)</f>
        <v>58100</v>
      </c>
      <c r="G207" s="87">
        <f>VLOOKUP(A207,'Data shares'!$C$2:$CA$213,77,0)</f>
        <v>2.7400000000000001E-2</v>
      </c>
      <c r="H207" s="86">
        <f>VLOOKUP($A207,'Data shares'!$C:$FA,90)</f>
        <v>876150</v>
      </c>
      <c r="I207" s="86">
        <f>VLOOKUP($A207,'Data shares'!$C:$FA,92)</f>
        <v>38350</v>
      </c>
      <c r="J207" s="87">
        <f>VLOOKUP($A207,'Data shares'!$C:$FA,93)</f>
        <v>4.58E-2</v>
      </c>
      <c r="K207" s="86">
        <f>VLOOKUP($A207,'Data shares'!$C:$FA,94)</f>
        <v>395450</v>
      </c>
      <c r="L207" s="86">
        <f>VLOOKUP($A207,'Data shares'!$C:$FA,96)</f>
        <v>-3850</v>
      </c>
      <c r="M207" s="87">
        <f>VLOOKUP($A207,'Data shares'!$C:$FA,97)</f>
        <v>-9.5999999999999992E-3</v>
      </c>
      <c r="N207" s="86">
        <f>VLOOKUP($A207,'Data shares'!$C:$FA,78)</f>
        <v>2125700</v>
      </c>
      <c r="O207" s="87">
        <f>VLOOKUP($A207,'Data shares'!$C:$FA,81)</f>
        <v>2.3400000000000001E-2</v>
      </c>
    </row>
    <row r="208" spans="1:15" x14ac:dyDescent="0.25">
      <c r="A208" s="100" t="str">
        <f>'Data Vlaue (Cr)'!C203</f>
        <v>UNIONBANK</v>
      </c>
      <c r="B208" s="82">
        <f>VLOOKUP(A208,'Data shares'!$C$2:$CV$213,98,0)</f>
        <v>156025500</v>
      </c>
      <c r="C208" s="82">
        <f>VLOOKUP(A208,'Data shares'!$C$2:$CX$213,100,0)</f>
        <v>5871975</v>
      </c>
      <c r="D208" s="141">
        <f>VLOOKUP(A208,'Data shares'!$C$2:$CY$536,101,0)</f>
        <v>3.9100000000000003E-2</v>
      </c>
      <c r="E208" s="86">
        <f>VLOOKUP($A208,'Data shares'!$C:$FA,74)</f>
        <v>92349750</v>
      </c>
      <c r="F208" s="86">
        <f>VLOOKUP($A208,'Data shares'!$C:$FA,76)</f>
        <v>4756875</v>
      </c>
      <c r="G208" s="87">
        <f>VLOOKUP(A208,'Data shares'!$C$2:$CA$213,77,0)</f>
        <v>5.4300000000000001E-2</v>
      </c>
      <c r="H208" s="86">
        <f>VLOOKUP($A208,'Data shares'!$C:$FA,90)</f>
        <v>36882375</v>
      </c>
      <c r="I208" s="86">
        <f>VLOOKUP($A208,'Data shares'!$C:$FA,92)</f>
        <v>1141650</v>
      </c>
      <c r="J208" s="87">
        <f>VLOOKUP($A208,'Data shares'!$C:$FA,93)</f>
        <v>3.1899999999999998E-2</v>
      </c>
      <c r="K208" s="86">
        <f>VLOOKUP($A208,'Data shares'!$C:$FA,94)</f>
        <v>26793375</v>
      </c>
      <c r="L208" s="86">
        <f>VLOOKUP($A208,'Data shares'!$C:$FA,96)</f>
        <v>-26550</v>
      </c>
      <c r="M208" s="87">
        <f>VLOOKUP($A208,'Data shares'!$C:$FA,97)</f>
        <v>-1E-3</v>
      </c>
      <c r="N208" s="86">
        <f>VLOOKUP($A208,'Data shares'!$C:$FA,78)</f>
        <v>83650200</v>
      </c>
      <c r="O208" s="87">
        <f>VLOOKUP($A208,'Data shares'!$C:$FA,81)</f>
        <v>5.2699999999999997E-2</v>
      </c>
    </row>
    <row r="209" spans="1:15" x14ac:dyDescent="0.25">
      <c r="A209" s="100" t="str">
        <f>'Data Vlaue (Cr)'!C204</f>
        <v>UNITDSPR</v>
      </c>
      <c r="B209" s="82">
        <f>VLOOKUP(A209,'Data shares'!$C$2:$CV$213,98,0)</f>
        <v>15869200</v>
      </c>
      <c r="C209" s="82">
        <f>VLOOKUP(A209,'Data shares'!$C$2:$CX$213,100,0)</f>
        <v>348400</v>
      </c>
      <c r="D209" s="141">
        <f>VLOOKUP(A209,'Data shares'!$C$2:$CY$536,101,0)</f>
        <v>2.24E-2</v>
      </c>
      <c r="E209" s="86">
        <f>VLOOKUP($A209,'Data shares'!$C:$FA,74)</f>
        <v>10428000</v>
      </c>
      <c r="F209" s="86">
        <f>VLOOKUP($A209,'Data shares'!$C:$FA,76)</f>
        <v>212800</v>
      </c>
      <c r="G209" s="87">
        <f>VLOOKUP(A209,'Data shares'!$C$2:$CA$213,77,0)</f>
        <v>2.0799999999999999E-2</v>
      </c>
      <c r="H209" s="86">
        <f>VLOOKUP($A209,'Data shares'!$C:$FA,90)</f>
        <v>3021600</v>
      </c>
      <c r="I209" s="86">
        <f>VLOOKUP($A209,'Data shares'!$C:$FA,92)</f>
        <v>36800</v>
      </c>
      <c r="J209" s="87">
        <f>VLOOKUP($A209,'Data shares'!$C:$FA,93)</f>
        <v>1.23E-2</v>
      </c>
      <c r="K209" s="86">
        <f>VLOOKUP($A209,'Data shares'!$C:$FA,94)</f>
        <v>2419600</v>
      </c>
      <c r="L209" s="86">
        <f>VLOOKUP($A209,'Data shares'!$C:$FA,96)</f>
        <v>98800</v>
      </c>
      <c r="M209" s="87">
        <f>VLOOKUP($A209,'Data shares'!$C:$FA,97)</f>
        <v>4.2599999999999999E-2</v>
      </c>
      <c r="N209" s="86">
        <f>VLOOKUP($A209,'Data shares'!$C:$FA,78)</f>
        <v>10252000</v>
      </c>
      <c r="O209" s="87">
        <f>VLOOKUP($A209,'Data shares'!$C:$FA,81)</f>
        <v>1.9900000000000001E-2</v>
      </c>
    </row>
    <row r="210" spans="1:15" x14ac:dyDescent="0.25">
      <c r="A210" s="100" t="str">
        <f>'Data Vlaue (Cr)'!C205</f>
        <v>UNOMINDA</v>
      </c>
      <c r="B210" s="82">
        <f>VLOOKUP(A210,'Data shares'!$C$2:$CV$213,98,0)</f>
        <v>9225150</v>
      </c>
      <c r="C210" s="82">
        <f>VLOOKUP(A210,'Data shares'!$C$2:$CX$213,100,0)</f>
        <v>79750</v>
      </c>
      <c r="D210" s="141">
        <f>VLOOKUP(A210,'Data shares'!$C$2:$CY$536,101,0)</f>
        <v>8.6999999999999994E-3</v>
      </c>
      <c r="E210" s="86">
        <f>VLOOKUP($A210,'Data shares'!$C:$FA,74)</f>
        <v>6012600</v>
      </c>
      <c r="F210" s="86">
        <f>VLOOKUP($A210,'Data shares'!$C:$FA,76)</f>
        <v>-143550</v>
      </c>
      <c r="G210" s="87">
        <f>VLOOKUP(A210,'Data shares'!$C$2:$CA$213,77,0)</f>
        <v>-2.3300000000000001E-2</v>
      </c>
      <c r="H210" s="86">
        <f>VLOOKUP($A210,'Data shares'!$C:$FA,90)</f>
        <v>1889250</v>
      </c>
      <c r="I210" s="86">
        <f>VLOOKUP($A210,'Data shares'!$C:$FA,92)</f>
        <v>190850</v>
      </c>
      <c r="J210" s="87">
        <f>VLOOKUP($A210,'Data shares'!$C:$FA,93)</f>
        <v>0.1124</v>
      </c>
      <c r="K210" s="86">
        <f>VLOOKUP($A210,'Data shares'!$C:$FA,94)</f>
        <v>1323300</v>
      </c>
      <c r="L210" s="86">
        <f>VLOOKUP($A210,'Data shares'!$C:$FA,96)</f>
        <v>32450</v>
      </c>
      <c r="M210" s="87">
        <f>VLOOKUP($A210,'Data shares'!$C:$FA,97)</f>
        <v>2.5100000000000001E-2</v>
      </c>
      <c r="N210" s="86">
        <f>VLOOKUP($A210,'Data shares'!$C:$FA,78)</f>
        <v>5927350</v>
      </c>
      <c r="O210" s="87">
        <f>VLOOKUP($A210,'Data shares'!$C:$FA,81)</f>
        <v>-2.4199999999999999E-2</v>
      </c>
    </row>
    <row r="211" spans="1:15" x14ac:dyDescent="0.25">
      <c r="A211" s="100" t="str">
        <f>'Data Vlaue (Cr)'!C206</f>
        <v>UPL</v>
      </c>
      <c r="B211" s="82">
        <f>VLOOKUP(A211,'Data shares'!$C$2:$CV$213,98,0)</f>
        <v>59903195</v>
      </c>
      <c r="C211" s="82">
        <f>VLOOKUP(A211,'Data shares'!$C$2:$CX$213,100,0)</f>
        <v>-987795</v>
      </c>
      <c r="D211" s="141">
        <f>VLOOKUP(A211,'Data shares'!$C$2:$CY$536,101,0)</f>
        <v>-1.6199999999999999E-2</v>
      </c>
      <c r="E211" s="86">
        <f>VLOOKUP($A211,'Data shares'!$C:$FA,74)</f>
        <v>31033565</v>
      </c>
      <c r="F211" s="86">
        <f>VLOOKUP($A211,'Data shares'!$C:$FA,76)</f>
        <v>-86720</v>
      </c>
      <c r="G211" s="87">
        <f>VLOOKUP(A211,'Data shares'!$C$2:$CA$213,77,0)</f>
        <v>-2.8E-3</v>
      </c>
      <c r="H211" s="86">
        <f>VLOOKUP($A211,'Data shares'!$C:$FA,90)</f>
        <v>19512000</v>
      </c>
      <c r="I211" s="86">
        <f>VLOOKUP($A211,'Data shares'!$C:$FA,92)</f>
        <v>-760155</v>
      </c>
      <c r="J211" s="87">
        <f>VLOOKUP($A211,'Data shares'!$C:$FA,93)</f>
        <v>-3.7499999999999999E-2</v>
      </c>
      <c r="K211" s="86">
        <f>VLOOKUP($A211,'Data shares'!$C:$FA,94)</f>
        <v>9357630</v>
      </c>
      <c r="L211" s="86">
        <f>VLOOKUP($A211,'Data shares'!$C:$FA,96)</f>
        <v>-140920</v>
      </c>
      <c r="M211" s="87">
        <f>VLOOKUP($A211,'Data shares'!$C:$FA,97)</f>
        <v>-1.4800000000000001E-2</v>
      </c>
      <c r="N211" s="86">
        <f>VLOOKUP($A211,'Data shares'!$C:$FA,78)</f>
        <v>29880460</v>
      </c>
      <c r="O211" s="87">
        <f>VLOOKUP($A211,'Data shares'!$C:$FA,81)</f>
        <v>-4.0000000000000001E-3</v>
      </c>
    </row>
    <row r="212" spans="1:15" x14ac:dyDescent="0.25">
      <c r="A212" s="100" t="str">
        <f>'Data Vlaue (Cr)'!C207</f>
        <v>VBL</v>
      </c>
      <c r="B212" s="82">
        <f>VLOOKUP(A212,'Data shares'!$C$2:$CV$213,98,0)</f>
        <v>68100750</v>
      </c>
      <c r="C212" s="82">
        <f>VLOOKUP(A212,'Data shares'!$C$2:$CX$213,100,0)</f>
        <v>6088500</v>
      </c>
      <c r="D212" s="141">
        <f>VLOOKUP(A212,'Data shares'!$C$2:$CY$536,101,0)</f>
        <v>9.8199999999999996E-2</v>
      </c>
      <c r="E212" s="86">
        <f>VLOOKUP($A212,'Data shares'!$C:$FA,74)</f>
        <v>43589250</v>
      </c>
      <c r="F212" s="86">
        <f>VLOOKUP($A212,'Data shares'!$C:$FA,76)</f>
        <v>685125</v>
      </c>
      <c r="G212" s="87">
        <f>VLOOKUP(A212,'Data shares'!$C$2:$CA$213,77,0)</f>
        <v>1.6E-2</v>
      </c>
      <c r="H212" s="86">
        <f>VLOOKUP($A212,'Data shares'!$C:$FA,90)</f>
        <v>15936750</v>
      </c>
      <c r="I212" s="86">
        <f>VLOOKUP($A212,'Data shares'!$C:$FA,92)</f>
        <v>3913875</v>
      </c>
      <c r="J212" s="87">
        <f>VLOOKUP($A212,'Data shares'!$C:$FA,93)</f>
        <v>0.32550000000000001</v>
      </c>
      <c r="K212" s="86">
        <f>VLOOKUP($A212,'Data shares'!$C:$FA,94)</f>
        <v>8574750</v>
      </c>
      <c r="L212" s="86">
        <f>VLOOKUP($A212,'Data shares'!$C:$FA,96)</f>
        <v>1489500</v>
      </c>
      <c r="M212" s="87">
        <f>VLOOKUP($A212,'Data shares'!$C:$FA,97)</f>
        <v>0.2102</v>
      </c>
      <c r="N212" s="86">
        <f>VLOOKUP($A212,'Data shares'!$C:$FA,78)</f>
        <v>40417875</v>
      </c>
      <c r="O212" s="87">
        <f>VLOOKUP($A212,'Data shares'!$C:$FA,81)</f>
        <v>1E-3</v>
      </c>
    </row>
    <row r="213" spans="1:15" x14ac:dyDescent="0.25">
      <c r="A213" s="100" t="str">
        <f>'Data Vlaue (Cr)'!C208</f>
        <v>VEDL</v>
      </c>
      <c r="B213" s="82">
        <f>VLOOKUP(A213,'Data shares'!$C$2:$CV$213,98,0)</f>
        <v>126731150</v>
      </c>
      <c r="C213" s="82">
        <f>VLOOKUP(A213,'Data shares'!$C$2:$CX$213,100,0)</f>
        <v>1974550</v>
      </c>
      <c r="D213" s="141">
        <f>VLOOKUP(A213,'Data shares'!$C$2:$CY$536,101,0)</f>
        <v>1.5800000000000002E-2</v>
      </c>
      <c r="E213" s="86">
        <f>VLOOKUP($A213,'Data shares'!$C:$FA,74)</f>
        <v>68883850</v>
      </c>
      <c r="F213" s="86">
        <f>VLOOKUP($A213,'Data shares'!$C:$FA,76)</f>
        <v>647450</v>
      </c>
      <c r="G213" s="87">
        <f>VLOOKUP(A213,'Data shares'!$C$2:$CA$213,77,0)</f>
        <v>9.4999999999999998E-3</v>
      </c>
      <c r="H213" s="86">
        <f>VLOOKUP($A213,'Data shares'!$C:$FA,90)</f>
        <v>35216450</v>
      </c>
      <c r="I213" s="86">
        <f>VLOOKUP($A213,'Data shares'!$C:$FA,92)</f>
        <v>945300</v>
      </c>
      <c r="J213" s="87">
        <f>VLOOKUP($A213,'Data shares'!$C:$FA,93)</f>
        <v>2.76E-2</v>
      </c>
      <c r="K213" s="86">
        <f>VLOOKUP($A213,'Data shares'!$C:$FA,94)</f>
        <v>22630850</v>
      </c>
      <c r="L213" s="86">
        <f>VLOOKUP($A213,'Data shares'!$C:$FA,96)</f>
        <v>381800</v>
      </c>
      <c r="M213" s="87">
        <f>VLOOKUP($A213,'Data shares'!$C:$FA,97)</f>
        <v>1.72E-2</v>
      </c>
      <c r="N213" s="86">
        <f>VLOOKUP($A213,'Data shares'!$C:$FA,78)</f>
        <v>60120850</v>
      </c>
      <c r="O213" s="87">
        <f>VLOOKUP($A213,'Data shares'!$C:$FA,81)</f>
        <v>7.0000000000000001E-3</v>
      </c>
    </row>
    <row r="214" spans="1:15" x14ac:dyDescent="0.25">
      <c r="A214" s="100" t="str">
        <f>'Data Vlaue (Cr)'!C209</f>
        <v>VOLTAS</v>
      </c>
      <c r="B214" s="82">
        <f>VLOOKUP(A214,'Data shares'!$C$2:$CV$213,98,0)</f>
        <v>19865625</v>
      </c>
      <c r="C214" s="82">
        <f>VLOOKUP(A214,'Data shares'!$C$2:$CX$213,100,0)</f>
        <v>471375</v>
      </c>
      <c r="D214" s="141">
        <f>VLOOKUP(A214,'Data shares'!$C$2:$CY$536,101,0)</f>
        <v>2.4299999999999999E-2</v>
      </c>
      <c r="E214" s="86">
        <f>VLOOKUP($A214,'Data shares'!$C:$FA,74)</f>
        <v>10818750</v>
      </c>
      <c r="F214" s="86">
        <f>VLOOKUP($A214,'Data shares'!$C:$FA,76)</f>
        <v>447750</v>
      </c>
      <c r="G214" s="87">
        <f>VLOOKUP(A214,'Data shares'!$C$2:$CA$213,77,0)</f>
        <v>4.3200000000000002E-2</v>
      </c>
      <c r="H214" s="86">
        <f>VLOOKUP($A214,'Data shares'!$C:$FA,90)</f>
        <v>5563500</v>
      </c>
      <c r="I214" s="86">
        <f>VLOOKUP($A214,'Data shares'!$C:$FA,92)</f>
        <v>46500</v>
      </c>
      <c r="J214" s="87">
        <f>VLOOKUP($A214,'Data shares'!$C:$FA,93)</f>
        <v>8.3999999999999995E-3</v>
      </c>
      <c r="K214" s="86">
        <f>VLOOKUP($A214,'Data shares'!$C:$FA,94)</f>
        <v>3483375</v>
      </c>
      <c r="L214" s="86">
        <f>VLOOKUP($A214,'Data shares'!$C:$FA,96)</f>
        <v>-22875</v>
      </c>
      <c r="M214" s="87">
        <f>VLOOKUP($A214,'Data shares'!$C:$FA,97)</f>
        <v>-6.4999999999999997E-3</v>
      </c>
      <c r="N214" s="86">
        <f>VLOOKUP($A214,'Data shares'!$C:$FA,78)</f>
        <v>9886500</v>
      </c>
      <c r="O214" s="87">
        <f>VLOOKUP($A214,'Data shares'!$C:$FA,81)</f>
        <v>2.0899999999999998E-2</v>
      </c>
    </row>
    <row r="215" spans="1:15" x14ac:dyDescent="0.25">
      <c r="A215" s="100" t="str">
        <f>'Data Vlaue (Cr)'!C210</f>
        <v>WAAREEENER</v>
      </c>
      <c r="B215" s="82">
        <f>VLOOKUP(A215,'Data shares'!$C$2:$CV$213,98,0)</f>
        <v>8275575</v>
      </c>
      <c r="C215" s="82">
        <f>VLOOKUP(A215,'Data shares'!$C$2:$CX$213,100,0)</f>
        <v>-207375</v>
      </c>
      <c r="D215" s="141">
        <f>VLOOKUP(A215,'Data shares'!$C$2:$CY$536,101,0)</f>
        <v>-2.4400000000000002E-2</v>
      </c>
      <c r="E215" s="86">
        <f>VLOOKUP($A215,'Data shares'!$C:$FA,74)</f>
        <v>3888675</v>
      </c>
      <c r="F215" s="86">
        <f>VLOOKUP($A215,'Data shares'!$C:$FA,76)</f>
        <v>-58625</v>
      </c>
      <c r="G215" s="87">
        <f>VLOOKUP(A215,'Data shares'!$C$2:$CA$213,77,0)</f>
        <v>-1.49E-2</v>
      </c>
      <c r="H215" s="86">
        <f>VLOOKUP($A215,'Data shares'!$C:$FA,90)</f>
        <v>2710750</v>
      </c>
      <c r="I215" s="86">
        <f>VLOOKUP($A215,'Data shares'!$C:$FA,92)</f>
        <v>-112525</v>
      </c>
      <c r="J215" s="87">
        <f>VLOOKUP($A215,'Data shares'!$C:$FA,93)</f>
        <v>-3.9899999999999998E-2</v>
      </c>
      <c r="K215" s="86">
        <f>VLOOKUP($A215,'Data shares'!$C:$FA,94)</f>
        <v>1676150</v>
      </c>
      <c r="L215" s="86">
        <f>VLOOKUP($A215,'Data shares'!$C:$FA,96)</f>
        <v>-36225</v>
      </c>
      <c r="M215" s="87">
        <f>VLOOKUP($A215,'Data shares'!$C:$FA,97)</f>
        <v>-2.12E-2</v>
      </c>
      <c r="N215" s="86">
        <f>VLOOKUP($A215,'Data shares'!$C:$FA,78)</f>
        <v>3408125</v>
      </c>
      <c r="O215" s="87">
        <f>VLOOKUP($A215,'Data shares'!$C:$FA,81)</f>
        <v>-1.77E-2</v>
      </c>
    </row>
    <row r="216" spans="1:15" s="89" customFormat="1" ht="16.5" customHeight="1" x14ac:dyDescent="0.2">
      <c r="A216" s="100" t="str">
        <f>'Data Vlaue (Cr)'!C211</f>
        <v>WIPRO</v>
      </c>
      <c r="B216" s="82">
        <f>VLOOKUP(A216,'Data shares'!$C$2:$CV$213,98,0)</f>
        <v>324804000</v>
      </c>
      <c r="C216" s="82">
        <f>VLOOKUP(A216,'Data shares'!$C$2:$CX$213,100,0)</f>
        <v>11376000</v>
      </c>
      <c r="D216" s="141">
        <f>VLOOKUP(A216,'Data shares'!$C$2:$CY$536,101,0)</f>
        <v>3.6299999999999999E-2</v>
      </c>
      <c r="E216" s="86">
        <f>VLOOKUP($A216,'Data shares'!$C:$FA,74)</f>
        <v>190272000</v>
      </c>
      <c r="F216" s="86">
        <f>VLOOKUP($A216,'Data shares'!$C:$FA,76)</f>
        <v>11109000</v>
      </c>
      <c r="G216" s="87">
        <f>VLOOKUP(A216,'Data shares'!$C$2:$CA$213,77,0)</f>
        <v>6.2E-2</v>
      </c>
      <c r="H216" s="86">
        <f>VLOOKUP($A216,'Data shares'!$C:$FA,90)</f>
        <v>87879000</v>
      </c>
      <c r="I216" s="86">
        <f>VLOOKUP($A216,'Data shares'!$C:$FA,92)</f>
        <v>564000</v>
      </c>
      <c r="J216" s="87">
        <f>VLOOKUP($A216,'Data shares'!$C:$FA,93)</f>
        <v>6.4999999999999997E-3</v>
      </c>
      <c r="K216" s="86">
        <f>VLOOKUP($A216,'Data shares'!$C:$FA,94)</f>
        <v>46653000</v>
      </c>
      <c r="L216" s="86">
        <f>VLOOKUP($A216,'Data shares'!$C:$FA,96)</f>
        <v>-297000</v>
      </c>
      <c r="M216" s="87">
        <f>VLOOKUP($A216,'Data shares'!$C:$FA,97)</f>
        <v>-6.3E-3</v>
      </c>
      <c r="N216" s="86">
        <f>VLOOKUP($A216,'Data shares'!$C:$FA,78)</f>
        <v>157800000</v>
      </c>
      <c r="O216" s="87">
        <f>VLOOKUP($A216,'Data shares'!$C:$FA,81)</f>
        <v>2.9399999999999999E-2</v>
      </c>
    </row>
    <row r="217" spans="1:15" s="89" customFormat="1" ht="16.5" customHeight="1" x14ac:dyDescent="0.2">
      <c r="A217" s="100" t="str">
        <f>'Data Vlaue (Cr)'!C213</f>
        <v>ZYDUSLIFE</v>
      </c>
      <c r="B217" s="82">
        <f>VLOOKUP(A217,'Data shares'!$C$2:$CV$213,98,0)</f>
        <v>16652700</v>
      </c>
      <c r="C217" s="82">
        <f>VLOOKUP(A217,'Data shares'!$C$2:$CX$213,100,0)</f>
        <v>230400</v>
      </c>
      <c r="D217" s="141">
        <f>VLOOKUP(A217,'Data shares'!$C$2:$CY$536,101,0)</f>
        <v>1.4E-2</v>
      </c>
      <c r="E217" s="86">
        <f>VLOOKUP($A217,'Data shares'!$C:$FA,74)</f>
        <v>9538200</v>
      </c>
      <c r="F217" s="86">
        <f>VLOOKUP($A217,'Data shares'!$C:$FA,76)</f>
        <v>63900</v>
      </c>
      <c r="G217" s="87">
        <f>VLOOKUP(A217,'Data shares'!$C$2:$CA$213,77,0)</f>
        <v>6.7000000000000002E-3</v>
      </c>
      <c r="H217" s="86">
        <f>VLOOKUP($A217,'Data shares'!$C:$FA,90)</f>
        <v>4668300</v>
      </c>
      <c r="I217" s="86">
        <f>VLOOKUP($A217,'Data shares'!$C:$FA,92)</f>
        <v>213300</v>
      </c>
      <c r="J217" s="87">
        <f>VLOOKUP($A217,'Data shares'!$C:$FA,93)</f>
        <v>4.7899999999999998E-2</v>
      </c>
      <c r="K217" s="86">
        <f>VLOOKUP($A217,'Data shares'!$C:$FA,94)</f>
        <v>2446200</v>
      </c>
      <c r="L217" s="86">
        <f>VLOOKUP($A217,'Data shares'!$C:$FA,96)</f>
        <v>-46800</v>
      </c>
      <c r="M217" s="87">
        <f>VLOOKUP($A217,'Data shares'!$C:$FA,97)</f>
        <v>-1.8800000000000001E-2</v>
      </c>
      <c r="N217" s="86">
        <f>VLOOKUP($A217,'Data shares'!$C:$FA,78)</f>
        <v>9218700</v>
      </c>
      <c r="O217" s="87">
        <f>VLOOKUP($A217,'Data shares'!$C:$FA,81)</f>
        <v>2.8999999999999998E-3</v>
      </c>
    </row>
    <row r="218" spans="1:15" x14ac:dyDescent="0.25">
      <c r="A218" s="100"/>
      <c r="B218" s="82"/>
      <c r="C218" s="82"/>
      <c r="D218" s="141"/>
      <c r="E218" s="86"/>
      <c r="F218" s="86"/>
      <c r="G218" s="87"/>
      <c r="H218" s="86"/>
      <c r="I218" s="86"/>
      <c r="J218" s="87"/>
      <c r="K218" s="86"/>
      <c r="L218" s="86"/>
      <c r="M218" s="87"/>
      <c r="N218" s="86"/>
      <c r="O218" s="87"/>
    </row>
    <row r="219" spans="1:15" x14ac:dyDescent="0.25">
      <c r="A219" s="100"/>
      <c r="B219" s="82"/>
      <c r="C219" s="82"/>
      <c r="D219" s="141"/>
      <c r="E219" s="86"/>
      <c r="F219" s="86"/>
      <c r="G219" s="87"/>
      <c r="H219" s="86"/>
      <c r="I219" s="86"/>
      <c r="J219" s="87"/>
      <c r="K219" s="86"/>
      <c r="L219" s="86"/>
      <c r="M219" s="87"/>
      <c r="N219" s="86"/>
      <c r="O219" s="87"/>
    </row>
    <row r="220" spans="1:15" x14ac:dyDescent="0.25">
      <c r="A220" s="100"/>
      <c r="B220" s="82"/>
      <c r="C220" s="82"/>
      <c r="D220" s="141"/>
      <c r="E220" s="86"/>
      <c r="F220" s="86"/>
      <c r="G220" s="87"/>
      <c r="H220" s="86"/>
      <c r="I220" s="86"/>
      <c r="J220" s="87"/>
      <c r="K220" s="86"/>
      <c r="L220" s="86"/>
      <c r="M220" s="87"/>
      <c r="N220" s="86"/>
      <c r="O220" s="87"/>
    </row>
    <row r="221" spans="1:15" x14ac:dyDescent="0.25">
      <c r="A221" s="100"/>
      <c r="B221" s="82"/>
      <c r="C221" s="82"/>
      <c r="D221" s="141"/>
      <c r="E221" s="86"/>
      <c r="F221" s="86"/>
      <c r="G221" s="87"/>
      <c r="H221" s="86"/>
      <c r="I221" s="86"/>
      <c r="J221" s="87"/>
      <c r="K221" s="86"/>
      <c r="L221" s="86"/>
      <c r="M221" s="87"/>
      <c r="N221" s="86"/>
      <c r="O221" s="87"/>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17"/>
      <c r="C227" s="17"/>
      <c r="D227" s="17"/>
      <c r="E227" s="17"/>
      <c r="F227" s="17"/>
      <c r="G227" s="17"/>
      <c r="H227" s="17"/>
      <c r="I227" s="17"/>
      <c r="J227" s="17"/>
      <c r="K227" s="17"/>
      <c r="L227" s="17"/>
      <c r="M227" s="17"/>
      <c r="N227" s="17"/>
      <c r="O227" s="17"/>
    </row>
    <row r="228" spans="1:15" x14ac:dyDescent="0.25">
      <c r="A228" s="98"/>
      <c r="B228" s="17"/>
      <c r="C228" s="17"/>
      <c r="D228" s="17"/>
      <c r="E228" s="17"/>
      <c r="F228" s="17"/>
      <c r="G228" s="17"/>
      <c r="H228" s="17"/>
      <c r="I228" s="17"/>
      <c r="J228" s="17"/>
      <c r="K228" s="17"/>
      <c r="L228" s="17"/>
      <c r="M228" s="17"/>
      <c r="N228" s="17"/>
      <c r="O228" s="17"/>
    </row>
    <row r="229" spans="1:15" x14ac:dyDescent="0.25">
      <c r="A229" s="118" t="s">
        <v>391</v>
      </c>
      <c r="B229" s="119">
        <f>SUM(B7:B222)</f>
        <v>26700980376</v>
      </c>
      <c r="C229" s="119">
        <f>SUM(C7:C222)</f>
        <v>338217050</v>
      </c>
      <c r="D229" s="120">
        <f>C229*100/(B229-C229)</f>
        <v>1.282934743287844</v>
      </c>
      <c r="E229" s="119">
        <f>SUM(E7:E222)</f>
        <v>16495681844</v>
      </c>
      <c r="F229" s="119">
        <f>SUM(F7:F222)</f>
        <v>50134366</v>
      </c>
      <c r="G229" s="120">
        <f>F229*100/(E229-F229)</f>
        <v>0.30485069631805906</v>
      </c>
      <c r="H229" s="119">
        <f>SUM(H7:H222)</f>
        <v>6434018331</v>
      </c>
      <c r="I229" s="119">
        <f>SUM(I7:I222)</f>
        <v>171067974</v>
      </c>
      <c r="J229" s="120">
        <f>I229*100/(H229-I229)</f>
        <v>2.731427909352659</v>
      </c>
      <c r="K229" s="119">
        <f>SUM(K7:K222)</f>
        <v>3771280201</v>
      </c>
      <c r="L229" s="119">
        <f>SUM(L7:L222)</f>
        <v>117014710</v>
      </c>
      <c r="M229" s="120">
        <f>L229*100/(K229-L229)</f>
        <v>3.2021403559263177</v>
      </c>
      <c r="N229" s="119">
        <f>SUM(N7:N222)</f>
        <v>15169150107</v>
      </c>
      <c r="O229" s="120">
        <f>(N229-FII!V3)/N229*100</f>
        <v>-7.7686650319070516</v>
      </c>
    </row>
    <row r="230" spans="1:15" x14ac:dyDescent="0.25">
      <c r="A230" s="118" t="s">
        <v>409</v>
      </c>
      <c r="B230" s="121">
        <f>B229/10000000</f>
        <v>2670.0980376000002</v>
      </c>
      <c r="C230" s="121">
        <f>C229/10000000</f>
        <v>33.821705000000001</v>
      </c>
      <c r="D230" s="120">
        <f>D229</f>
        <v>1.282934743287844</v>
      </c>
      <c r="E230" s="121">
        <f>E229/10000000</f>
        <v>1649.5681844000001</v>
      </c>
      <c r="F230" s="121">
        <f>F229/10000000</f>
        <v>5.0134366000000004</v>
      </c>
      <c r="G230" s="120">
        <f>G229</f>
        <v>0.30485069631805906</v>
      </c>
      <c r="H230" s="121">
        <f>H229/10000000</f>
        <v>643.40183309999998</v>
      </c>
      <c r="I230" s="121">
        <f>I229/10000000</f>
        <v>17.106797400000001</v>
      </c>
      <c r="J230" s="120">
        <f>J229</f>
        <v>2.731427909352659</v>
      </c>
      <c r="K230" s="121">
        <f>K229/10000000</f>
        <v>377.12802010000001</v>
      </c>
      <c r="L230" s="121">
        <f>L229/10000000</f>
        <v>11.701471</v>
      </c>
      <c r="M230" s="120">
        <f>M229</f>
        <v>3.2021403559263177</v>
      </c>
      <c r="N230" s="121">
        <f>N229/10000000</f>
        <v>1516.9150107</v>
      </c>
      <c r="O230" s="120">
        <f>O229</f>
        <v>-7.7686650319070516</v>
      </c>
    </row>
    <row r="238" spans="1:15" x14ac:dyDescent="0.25">
      <c r="A238" s="275" t="s">
        <v>410</v>
      </c>
      <c r="B238" s="275"/>
      <c r="C238" s="275"/>
      <c r="D238" s="275"/>
    </row>
    <row r="239" spans="1:15" x14ac:dyDescent="0.25">
      <c r="A239" s="35" t="s">
        <v>401</v>
      </c>
      <c r="B239" s="35" t="s">
        <v>402</v>
      </c>
      <c r="C239" s="35" t="s">
        <v>369</v>
      </c>
      <c r="D239" s="35" t="s">
        <v>407</v>
      </c>
    </row>
    <row r="240" spans="1:15" x14ac:dyDescent="0.25">
      <c r="A240" s="36" t="s">
        <v>403</v>
      </c>
      <c r="B240" s="37">
        <f>E230</f>
        <v>1649.5681844000001</v>
      </c>
      <c r="C240" s="37">
        <f>F230</f>
        <v>5.0134366000000004</v>
      </c>
      <c r="D240" s="39">
        <f>C240/B240</f>
        <v>3.039241813349804E-3</v>
      </c>
    </row>
    <row r="241" spans="1:4" x14ac:dyDescent="0.25">
      <c r="A241" s="36" t="s">
        <v>404</v>
      </c>
      <c r="B241" s="37">
        <f>H230</f>
        <v>643.40183309999998</v>
      </c>
      <c r="C241" s="37">
        <f>I230</f>
        <v>17.106797400000001</v>
      </c>
      <c r="D241" s="39">
        <f>C241/B241</f>
        <v>2.658804579025997E-2</v>
      </c>
    </row>
    <row r="242" spans="1:4" x14ac:dyDescent="0.25">
      <c r="A242" s="36" t="s">
        <v>405</v>
      </c>
      <c r="B242" s="37">
        <f>K230</f>
        <v>377.12802010000001</v>
      </c>
      <c r="C242" s="37">
        <f>L230</f>
        <v>11.701471</v>
      </c>
      <c r="D242" s="39">
        <f>C242/B242</f>
        <v>3.1027848307047603E-2</v>
      </c>
    </row>
    <row r="243" spans="1:4" x14ac:dyDescent="0.25">
      <c r="A243" s="36" t="s">
        <v>406</v>
      </c>
      <c r="B243" s="40">
        <f>SUM(B240:B242)</f>
        <v>2670.0980375999998</v>
      </c>
      <c r="C243" s="40">
        <f>SUM(C240:C242)</f>
        <v>33.821705000000001</v>
      </c>
      <c r="D243" s="41">
        <f>C243/B243</f>
        <v>1.2666840139847606E-2</v>
      </c>
    </row>
  </sheetData>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workbookViewId="0">
      <pane ySplit="6" topLeftCell="A202" activePane="bottomLeft" state="frozen"/>
      <selection pane="bottomLeft" activeCell="O219" sqref="O219"/>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1" t="s">
        <v>334</v>
      </c>
      <c r="B3" s="282"/>
      <c r="C3" s="282"/>
      <c r="D3" s="283"/>
      <c r="E3" s="284"/>
      <c r="F3" s="284"/>
      <c r="G3" s="284"/>
      <c r="H3" s="284"/>
      <c r="I3" s="284"/>
      <c r="J3" s="284"/>
      <c r="K3" s="284"/>
      <c r="L3" s="284"/>
      <c r="M3" s="284"/>
      <c r="N3" s="284"/>
      <c r="O3" s="285"/>
    </row>
    <row r="4" spans="1:15" x14ac:dyDescent="0.25">
      <c r="A4" s="286" t="s">
        <v>330</v>
      </c>
      <c r="B4" s="288" t="s">
        <v>309</v>
      </c>
      <c r="C4" s="289"/>
      <c r="D4" s="289"/>
      <c r="E4" s="289"/>
      <c r="F4" s="289"/>
      <c r="G4" s="289"/>
      <c r="H4" s="289"/>
      <c r="I4" s="289"/>
      <c r="J4" s="289"/>
      <c r="K4" s="289"/>
      <c r="L4" s="289"/>
      <c r="M4" s="289"/>
      <c r="N4" s="289"/>
      <c r="O4" s="290"/>
    </row>
    <row r="5" spans="1:15" x14ac:dyDescent="0.25">
      <c r="A5" s="287"/>
      <c r="B5" s="291" t="s">
        <v>314</v>
      </c>
      <c r="C5" s="291"/>
      <c r="D5" s="292"/>
      <c r="E5" s="291" t="s">
        <v>335</v>
      </c>
      <c r="F5" s="291"/>
      <c r="G5" s="292"/>
      <c r="H5" s="291" t="s">
        <v>336</v>
      </c>
      <c r="I5" s="291"/>
      <c r="J5" s="292"/>
      <c r="K5" s="291" t="s">
        <v>337</v>
      </c>
      <c r="L5" s="291"/>
      <c r="M5" s="292"/>
      <c r="N5" s="291" t="s">
        <v>338</v>
      </c>
      <c r="O5" s="292"/>
    </row>
    <row r="6" spans="1:15" x14ac:dyDescent="0.25">
      <c r="A6" s="3" t="s">
        <v>318</v>
      </c>
      <c r="B6" s="3">
        <f>'Sectorwise OI'!D6</f>
        <v>46093</v>
      </c>
      <c r="C6" s="76" t="s">
        <v>333</v>
      </c>
      <c r="D6" s="76" t="s">
        <v>328</v>
      </c>
      <c r="E6" s="3">
        <f>B6</f>
        <v>46093</v>
      </c>
      <c r="F6" s="76" t="s">
        <v>333</v>
      </c>
      <c r="G6" s="76" t="s">
        <v>328</v>
      </c>
      <c r="H6" s="3">
        <f>E6</f>
        <v>46093</v>
      </c>
      <c r="I6" s="76" t="s">
        <v>333</v>
      </c>
      <c r="J6" s="76" t="s">
        <v>328</v>
      </c>
      <c r="K6" s="3">
        <f>E6</f>
        <v>46093</v>
      </c>
      <c r="L6" s="76" t="s">
        <v>333</v>
      </c>
      <c r="M6" s="76" t="s">
        <v>328</v>
      </c>
      <c r="N6" s="76" t="s">
        <v>339</v>
      </c>
      <c r="O6" s="76" t="s">
        <v>328</v>
      </c>
    </row>
    <row r="7" spans="1:15" x14ac:dyDescent="0.25">
      <c r="A7" s="97" t="str">
        <f>'Data Vlaue (Cr)'!C2</f>
        <v>360ONE</v>
      </c>
      <c r="B7" s="142">
        <f>VLOOKUP(A7,'Data Vlaue (Cr)'!C2:CW213,99,0)</f>
        <v>493</v>
      </c>
      <c r="C7" s="90">
        <f>VLOOKUP(A7,'Data Vlaue (Cr)'!C2:CY213,101,0)</f>
        <v>8</v>
      </c>
      <c r="D7" s="139">
        <f>VLOOKUP(A7,'Data Vlaue (Cr)'!C2:CZ213,102,0)</f>
        <v>1.6799999999999999E-2</v>
      </c>
      <c r="E7" s="91">
        <f>VLOOKUP($A7,'Data Vlaue (Cr)'!$C:$FB,75)</f>
        <v>319</v>
      </c>
      <c r="F7" s="91">
        <f>VLOOKUP($A7,'Data Vlaue (Cr)'!$C:$FB,77)</f>
        <v>0</v>
      </c>
      <c r="G7" s="92">
        <f>VLOOKUP(A7,'Data Vlaue (Cr)'!C2:CB213,78,0)</f>
        <v>8.0000000000000004E-4</v>
      </c>
      <c r="H7" s="91">
        <f>VLOOKUP($A7,'Data Vlaue (Cr)'!$C:$FB,91)</f>
        <v>124</v>
      </c>
      <c r="I7" s="91">
        <f>VLOOKUP($A7,'Data Vlaue (Cr)'!$C:$FB,93)</f>
        <v>7</v>
      </c>
      <c r="J7" s="92">
        <f>VLOOKUP($A7,'Data Vlaue (Cr)'!$C:$FB,94)</f>
        <v>5.6399999999999999E-2</v>
      </c>
      <c r="K7" s="91">
        <f>VLOOKUP($A7,'Data Vlaue (Cr)'!$C:$FB,95)</f>
        <v>50</v>
      </c>
      <c r="L7" s="91">
        <f>VLOOKUP($A7,'Data Vlaue (Cr)'!$C:$FB,97)</f>
        <v>1</v>
      </c>
      <c r="M7" s="92">
        <f>VLOOKUP($A7,'Data Vlaue (Cr)'!$C:$FB,98)</f>
        <v>2.5600000000000001E-2</v>
      </c>
      <c r="N7" s="91">
        <f>VLOOKUP($A7,'Data Vlaue (Cr)'!$C:$FB,79)</f>
        <v>312</v>
      </c>
      <c r="O7" s="92">
        <f>VLOOKUP($A7,'Data Vlaue (Cr)'!$C:$FB,82)</f>
        <v>-5.0000000000000001E-4</v>
      </c>
    </row>
    <row r="8" spans="1:15" x14ac:dyDescent="0.25">
      <c r="A8" s="97" t="str">
        <f>'Data Vlaue (Cr)'!C3</f>
        <v>ABB</v>
      </c>
      <c r="B8" s="142">
        <f>VLOOKUP(A8,'Data Vlaue (Cr)'!C3:CW214,99,0)</f>
        <v>2731</v>
      </c>
      <c r="C8" s="90">
        <f>VLOOKUP(A8,'Data Vlaue (Cr)'!C3:CY214,101,0)</f>
        <v>64</v>
      </c>
      <c r="D8" s="139">
        <f>VLOOKUP(A8,'Data Vlaue (Cr)'!C3:CZ214,102,0)</f>
        <v>2.4E-2</v>
      </c>
      <c r="E8" s="91">
        <f>VLOOKUP($A8,'Data Vlaue (Cr)'!$C:$FB,75)</f>
        <v>1351</v>
      </c>
      <c r="F8" s="91">
        <f>VLOOKUP($A8,'Data Vlaue (Cr)'!$C:$FB,77)</f>
        <v>20</v>
      </c>
      <c r="G8" s="92">
        <f>VLOOKUP(A8,'Data Vlaue (Cr)'!C3:CB214,78,0)</f>
        <v>1.52E-2</v>
      </c>
      <c r="H8" s="91">
        <f>VLOOKUP($A8,'Data Vlaue (Cr)'!$C:$FB,91)</f>
        <v>740</v>
      </c>
      <c r="I8" s="91">
        <f>VLOOKUP($A8,'Data Vlaue (Cr)'!$C:$FB,93)</f>
        <v>16</v>
      </c>
      <c r="J8" s="92">
        <f>VLOOKUP($A8,'Data Vlaue (Cr)'!$C:$FB,94)</f>
        <v>2.2800000000000001E-2</v>
      </c>
      <c r="K8" s="91">
        <f>VLOOKUP($A8,'Data Vlaue (Cr)'!$C:$FB,95)</f>
        <v>640</v>
      </c>
      <c r="L8" s="91">
        <f>VLOOKUP($A8,'Data Vlaue (Cr)'!$C:$FB,97)</f>
        <v>27</v>
      </c>
      <c r="M8" s="92">
        <f>VLOOKUP($A8,'Data Vlaue (Cr)'!$C:$FB,98)</f>
        <v>4.48E-2</v>
      </c>
      <c r="N8" s="91">
        <f>VLOOKUP($A8,'Data Vlaue (Cr)'!$C:$FB,79)</f>
        <v>1307</v>
      </c>
      <c r="O8" s="92">
        <f>VLOOKUP($A8,'Data Vlaue (Cr)'!$C:$FB,82)</f>
        <v>1.2E-2</v>
      </c>
    </row>
    <row r="9" spans="1:15" x14ac:dyDescent="0.25">
      <c r="A9" s="97" t="str">
        <f>'Data Vlaue (Cr)'!C4</f>
        <v>ABCAPITAL</v>
      </c>
      <c r="B9" s="142">
        <f>VLOOKUP(A9,'Data Vlaue (Cr)'!C4:CW215,99,0)</f>
        <v>2335</v>
      </c>
      <c r="C9" s="90">
        <f>VLOOKUP(A9,'Data Vlaue (Cr)'!C4:CY215,101,0)</f>
        <v>-37</v>
      </c>
      <c r="D9" s="139">
        <f>VLOOKUP(A9,'Data Vlaue (Cr)'!C4:CZ215,102,0)</f>
        <v>-1.5699999999999999E-2</v>
      </c>
      <c r="E9" s="91">
        <f>VLOOKUP($A9,'Data Vlaue (Cr)'!$C:$FB,75)</f>
        <v>1521</v>
      </c>
      <c r="F9" s="91">
        <f>VLOOKUP($A9,'Data Vlaue (Cr)'!$C:$FB,77)</f>
        <v>-16</v>
      </c>
      <c r="G9" s="92">
        <f>VLOOKUP(A9,'Data Vlaue (Cr)'!C4:CB215,78,0)</f>
        <v>-1.06E-2</v>
      </c>
      <c r="H9" s="91">
        <f>VLOOKUP($A9,'Data Vlaue (Cr)'!$C:$FB,91)</f>
        <v>500</v>
      </c>
      <c r="I9" s="91">
        <f>VLOOKUP($A9,'Data Vlaue (Cr)'!$C:$FB,93)</f>
        <v>-2</v>
      </c>
      <c r="J9" s="92">
        <f>VLOOKUP($A9,'Data Vlaue (Cr)'!$C:$FB,94)</f>
        <v>-5.0000000000000001E-3</v>
      </c>
      <c r="K9" s="91">
        <f>VLOOKUP($A9,'Data Vlaue (Cr)'!$C:$FB,95)</f>
        <v>314</v>
      </c>
      <c r="L9" s="91">
        <f>VLOOKUP($A9,'Data Vlaue (Cr)'!$C:$FB,97)</f>
        <v>-18</v>
      </c>
      <c r="M9" s="92">
        <f>VLOOKUP($A9,'Data Vlaue (Cr)'!$C:$FB,98)</f>
        <v>-5.5500000000000001E-2</v>
      </c>
      <c r="N9" s="91">
        <f>VLOOKUP($A9,'Data Vlaue (Cr)'!$C:$FB,79)</f>
        <v>1491</v>
      </c>
      <c r="O9" s="92">
        <f>VLOOKUP($A9,'Data Vlaue (Cr)'!$C:$FB,82)</f>
        <v>-1.17E-2</v>
      </c>
    </row>
    <row r="10" spans="1:15" x14ac:dyDescent="0.25">
      <c r="A10" s="97" t="str">
        <f>'Data Vlaue (Cr)'!C5</f>
        <v>ADANIENSOL</v>
      </c>
      <c r="B10" s="142">
        <f>VLOOKUP(A10,'Data Vlaue (Cr)'!C5:CW216,99,0)</f>
        <v>2689</v>
      </c>
      <c r="C10" s="90">
        <f>VLOOKUP(A10,'Data Vlaue (Cr)'!C5:CY216,101,0)</f>
        <v>-85</v>
      </c>
      <c r="D10" s="139">
        <f>VLOOKUP(A10,'Data Vlaue (Cr)'!C5:CZ216,102,0)</f>
        <v>-3.0599999999999999E-2</v>
      </c>
      <c r="E10" s="91">
        <f>VLOOKUP($A10,'Data Vlaue (Cr)'!$C:$FB,75)</f>
        <v>2139</v>
      </c>
      <c r="F10" s="91">
        <f>VLOOKUP($A10,'Data Vlaue (Cr)'!$C:$FB,77)</f>
        <v>-18</v>
      </c>
      <c r="G10" s="92">
        <f>VLOOKUP(A10,'Data Vlaue (Cr)'!C5:CB216,78,0)</f>
        <v>-8.3000000000000001E-3</v>
      </c>
      <c r="H10" s="91">
        <f>VLOOKUP($A10,'Data Vlaue (Cr)'!$C:$FB,91)</f>
        <v>336</v>
      </c>
      <c r="I10" s="91">
        <f>VLOOKUP($A10,'Data Vlaue (Cr)'!$C:$FB,93)</f>
        <v>-61</v>
      </c>
      <c r="J10" s="92">
        <f>VLOOKUP($A10,'Data Vlaue (Cr)'!$C:$FB,94)</f>
        <v>-0.15329999999999999</v>
      </c>
      <c r="K10" s="91">
        <f>VLOOKUP($A10,'Data Vlaue (Cr)'!$C:$FB,95)</f>
        <v>215</v>
      </c>
      <c r="L10" s="91">
        <f>VLOOKUP($A10,'Data Vlaue (Cr)'!$C:$FB,97)</f>
        <v>-6</v>
      </c>
      <c r="M10" s="92">
        <f>VLOOKUP($A10,'Data Vlaue (Cr)'!$C:$FB,98)</f>
        <v>-2.86E-2</v>
      </c>
      <c r="N10" s="91">
        <f>VLOOKUP($A10,'Data Vlaue (Cr)'!$C:$FB,79)</f>
        <v>1875</v>
      </c>
      <c r="O10" s="92">
        <f>VLOOKUP($A10,'Data Vlaue (Cr)'!$C:$FB,82)</f>
        <v>-9.4000000000000004E-3</v>
      </c>
    </row>
    <row r="11" spans="1:15" x14ac:dyDescent="0.25">
      <c r="A11" s="97" t="str">
        <f>'Data Vlaue (Cr)'!C6</f>
        <v>ADANIENT</v>
      </c>
      <c r="B11" s="142">
        <f>VLOOKUP(A11,'Data Vlaue (Cr)'!C6:CW217,99,0)</f>
        <v>6263</v>
      </c>
      <c r="C11" s="90">
        <f>VLOOKUP(A11,'Data Vlaue (Cr)'!C6:CY217,101,0)</f>
        <v>12</v>
      </c>
      <c r="D11" s="139">
        <f>VLOOKUP(A11,'Data Vlaue (Cr)'!C6:CZ217,102,0)</f>
        <v>2E-3</v>
      </c>
      <c r="E11" s="91">
        <f>VLOOKUP($A11,'Data Vlaue (Cr)'!$C:$FB,75)</f>
        <v>3768</v>
      </c>
      <c r="F11" s="91">
        <f>VLOOKUP($A11,'Data Vlaue (Cr)'!$C:$FB,77)</f>
        <v>-41</v>
      </c>
      <c r="G11" s="92">
        <f>VLOOKUP(A11,'Data Vlaue (Cr)'!C6:CB217,78,0)</f>
        <v>-1.06E-2</v>
      </c>
      <c r="H11" s="91">
        <f>VLOOKUP($A11,'Data Vlaue (Cr)'!$C:$FB,91)</f>
        <v>1364</v>
      </c>
      <c r="I11" s="91">
        <f>VLOOKUP($A11,'Data Vlaue (Cr)'!$C:$FB,93)</f>
        <v>43</v>
      </c>
      <c r="J11" s="92">
        <f>VLOOKUP($A11,'Data Vlaue (Cr)'!$C:$FB,94)</f>
        <v>3.2800000000000003E-2</v>
      </c>
      <c r="K11" s="91">
        <f>VLOOKUP($A11,'Data Vlaue (Cr)'!$C:$FB,95)</f>
        <v>1130</v>
      </c>
      <c r="L11" s="91">
        <f>VLOOKUP($A11,'Data Vlaue (Cr)'!$C:$FB,97)</f>
        <v>10</v>
      </c>
      <c r="M11" s="92">
        <f>VLOOKUP($A11,'Data Vlaue (Cr)'!$C:$FB,98)</f>
        <v>8.5000000000000006E-3</v>
      </c>
      <c r="N11" s="91">
        <f>VLOOKUP($A11,'Data Vlaue (Cr)'!$C:$FB,79)</f>
        <v>3113</v>
      </c>
      <c r="O11" s="92">
        <f>VLOOKUP($A11,'Data Vlaue (Cr)'!$C:$FB,82)</f>
        <v>-3.5499999999999997E-2</v>
      </c>
    </row>
    <row r="12" spans="1:15" x14ac:dyDescent="0.25">
      <c r="A12" s="97" t="str">
        <f>'Data Vlaue (Cr)'!C7</f>
        <v>ADANIGREEN</v>
      </c>
      <c r="B12" s="142">
        <f>VLOOKUP(A12,'Data Vlaue (Cr)'!C7:CW218,99,0)</f>
        <v>3360</v>
      </c>
      <c r="C12" s="90">
        <f>VLOOKUP(A12,'Data Vlaue (Cr)'!C7:CY218,101,0)</f>
        <v>155</v>
      </c>
      <c r="D12" s="139">
        <f>VLOOKUP(A12,'Data Vlaue (Cr)'!C7:CZ218,102,0)</f>
        <v>4.8399999999999999E-2</v>
      </c>
      <c r="E12" s="91">
        <f>VLOOKUP($A12,'Data Vlaue (Cr)'!$C:$FB,75)</f>
        <v>2052</v>
      </c>
      <c r="F12" s="91">
        <f>VLOOKUP($A12,'Data Vlaue (Cr)'!$C:$FB,77)</f>
        <v>66</v>
      </c>
      <c r="G12" s="92">
        <f>VLOOKUP(A12,'Data Vlaue (Cr)'!C7:CB218,78,0)</f>
        <v>3.3099999999999997E-2</v>
      </c>
      <c r="H12" s="91">
        <f>VLOOKUP($A12,'Data Vlaue (Cr)'!$C:$FB,91)</f>
        <v>843</v>
      </c>
      <c r="I12" s="91">
        <f>VLOOKUP($A12,'Data Vlaue (Cr)'!$C:$FB,93)</f>
        <v>71</v>
      </c>
      <c r="J12" s="92">
        <f>VLOOKUP($A12,'Data Vlaue (Cr)'!$C:$FB,94)</f>
        <v>9.1999999999999998E-2</v>
      </c>
      <c r="K12" s="91">
        <f>VLOOKUP($A12,'Data Vlaue (Cr)'!$C:$FB,95)</f>
        <v>466</v>
      </c>
      <c r="L12" s="91">
        <f>VLOOKUP($A12,'Data Vlaue (Cr)'!$C:$FB,97)</f>
        <v>18</v>
      </c>
      <c r="M12" s="92">
        <f>VLOOKUP($A12,'Data Vlaue (Cr)'!$C:$FB,98)</f>
        <v>4.1200000000000001E-2</v>
      </c>
      <c r="N12" s="91">
        <f>VLOOKUP($A12,'Data Vlaue (Cr)'!$C:$FB,79)</f>
        <v>1698</v>
      </c>
      <c r="O12" s="92">
        <f>VLOOKUP($A12,'Data Vlaue (Cr)'!$C:$FB,82)</f>
        <v>2.7799999999999998E-2</v>
      </c>
    </row>
    <row r="13" spans="1:15" x14ac:dyDescent="0.25">
      <c r="A13" s="97" t="str">
        <f>'Data Vlaue (Cr)'!C8</f>
        <v>ADANIPORTS</v>
      </c>
      <c r="B13" s="142">
        <f>VLOOKUP(A13,'Data Vlaue (Cr)'!C8:CW219,99,0)</f>
        <v>5286</v>
      </c>
      <c r="C13" s="90">
        <f>VLOOKUP(A13,'Data Vlaue (Cr)'!C8:CY219,101,0)</f>
        <v>43</v>
      </c>
      <c r="D13" s="139">
        <f>VLOOKUP(A13,'Data Vlaue (Cr)'!C8:CZ219,102,0)</f>
        <v>8.2000000000000007E-3</v>
      </c>
      <c r="E13" s="91">
        <f>VLOOKUP($A13,'Data Vlaue (Cr)'!$C:$FB,75)</f>
        <v>3071</v>
      </c>
      <c r="F13" s="91">
        <f>VLOOKUP($A13,'Data Vlaue (Cr)'!$C:$FB,77)</f>
        <v>30</v>
      </c>
      <c r="G13" s="92">
        <f>VLOOKUP(A13,'Data Vlaue (Cr)'!C8:CB219,78,0)</f>
        <v>9.7000000000000003E-3</v>
      </c>
      <c r="H13" s="91">
        <f>VLOOKUP($A13,'Data Vlaue (Cr)'!$C:$FB,91)</f>
        <v>1237</v>
      </c>
      <c r="I13" s="91">
        <f>VLOOKUP($A13,'Data Vlaue (Cr)'!$C:$FB,93)</f>
        <v>47</v>
      </c>
      <c r="J13" s="92">
        <f>VLOOKUP($A13,'Data Vlaue (Cr)'!$C:$FB,94)</f>
        <v>3.9600000000000003E-2</v>
      </c>
      <c r="K13" s="91">
        <f>VLOOKUP($A13,'Data Vlaue (Cr)'!$C:$FB,95)</f>
        <v>979</v>
      </c>
      <c r="L13" s="91">
        <f>VLOOKUP($A13,'Data Vlaue (Cr)'!$C:$FB,97)</f>
        <v>-34</v>
      </c>
      <c r="M13" s="92">
        <f>VLOOKUP($A13,'Data Vlaue (Cr)'!$C:$FB,98)</f>
        <v>-3.32E-2</v>
      </c>
      <c r="N13" s="91">
        <f>VLOOKUP($A13,'Data Vlaue (Cr)'!$C:$FB,79)</f>
        <v>2932</v>
      </c>
      <c r="O13" s="92">
        <f>VLOOKUP($A13,'Data Vlaue (Cr)'!$C:$FB,82)</f>
        <v>8.9999999999999993E-3</v>
      </c>
    </row>
    <row r="14" spans="1:15" x14ac:dyDescent="0.25">
      <c r="A14" s="97" t="str">
        <f>'Data Vlaue (Cr)'!C9</f>
        <v>ALKEM</v>
      </c>
      <c r="B14" s="142">
        <f>VLOOKUP(A14,'Data Vlaue (Cr)'!C9:CW220,99,0)</f>
        <v>910</v>
      </c>
      <c r="C14" s="90">
        <f>VLOOKUP(A14,'Data Vlaue (Cr)'!C9:CY220,101,0)</f>
        <v>20</v>
      </c>
      <c r="D14" s="139">
        <f>VLOOKUP(A14,'Data Vlaue (Cr)'!C9:CZ220,102,0)</f>
        <v>2.2200000000000001E-2</v>
      </c>
      <c r="E14" s="91">
        <f>VLOOKUP($A14,'Data Vlaue (Cr)'!$C:$FB,75)</f>
        <v>691</v>
      </c>
      <c r="F14" s="91">
        <f>VLOOKUP($A14,'Data Vlaue (Cr)'!$C:$FB,77)</f>
        <v>9</v>
      </c>
      <c r="G14" s="92">
        <f>VLOOKUP(A14,'Data Vlaue (Cr)'!C9:CB220,78,0)</f>
        <v>1.3599999999999999E-2</v>
      </c>
      <c r="H14" s="91">
        <f>VLOOKUP($A14,'Data Vlaue (Cr)'!$C:$FB,91)</f>
        <v>129</v>
      </c>
      <c r="I14" s="91">
        <f>VLOOKUP($A14,'Data Vlaue (Cr)'!$C:$FB,93)</f>
        <v>2</v>
      </c>
      <c r="J14" s="92">
        <f>VLOOKUP($A14,'Data Vlaue (Cr)'!$C:$FB,94)</f>
        <v>1.29E-2</v>
      </c>
      <c r="K14" s="91">
        <f>VLOOKUP($A14,'Data Vlaue (Cr)'!$C:$FB,95)</f>
        <v>90</v>
      </c>
      <c r="L14" s="91">
        <f>VLOOKUP($A14,'Data Vlaue (Cr)'!$C:$FB,97)</f>
        <v>9</v>
      </c>
      <c r="M14" s="92">
        <f>VLOOKUP($A14,'Data Vlaue (Cr)'!$C:$FB,98)</f>
        <v>0.1089</v>
      </c>
      <c r="N14" s="91">
        <f>VLOOKUP($A14,'Data Vlaue (Cr)'!$C:$FB,79)</f>
        <v>687</v>
      </c>
      <c r="O14" s="92">
        <f>VLOOKUP($A14,'Data Vlaue (Cr)'!$C:$FB,82)</f>
        <v>1.2699999999999999E-2</v>
      </c>
    </row>
    <row r="15" spans="1:15" x14ac:dyDescent="0.25">
      <c r="A15" s="97" t="str">
        <f>'Data Vlaue (Cr)'!C10</f>
        <v>AMBER</v>
      </c>
      <c r="B15" s="142">
        <f>VLOOKUP(A15,'Data Vlaue (Cr)'!C10:CW221,99,0)</f>
        <v>2108</v>
      </c>
      <c r="C15" s="90">
        <f>VLOOKUP(A15,'Data Vlaue (Cr)'!C10:CY221,101,0)</f>
        <v>248</v>
      </c>
      <c r="D15" s="139">
        <f>VLOOKUP(A15,'Data Vlaue (Cr)'!C10:CZ221,102,0)</f>
        <v>0.13300000000000001</v>
      </c>
      <c r="E15" s="91">
        <f>VLOOKUP($A15,'Data Vlaue (Cr)'!$C:$FB,75)</f>
        <v>860</v>
      </c>
      <c r="F15" s="91">
        <f>VLOOKUP($A15,'Data Vlaue (Cr)'!$C:$FB,77)</f>
        <v>88</v>
      </c>
      <c r="G15" s="92">
        <f>VLOOKUP(A15,'Data Vlaue (Cr)'!C10:CB221,78,0)</f>
        <v>0.1137</v>
      </c>
      <c r="H15" s="91">
        <f>VLOOKUP($A15,'Data Vlaue (Cr)'!$C:$FB,91)</f>
        <v>816</v>
      </c>
      <c r="I15" s="91">
        <f>VLOOKUP($A15,'Data Vlaue (Cr)'!$C:$FB,93)</f>
        <v>128</v>
      </c>
      <c r="J15" s="92">
        <f>VLOOKUP($A15,'Data Vlaue (Cr)'!$C:$FB,94)</f>
        <v>0.18559999999999999</v>
      </c>
      <c r="K15" s="91">
        <f>VLOOKUP($A15,'Data Vlaue (Cr)'!$C:$FB,95)</f>
        <v>432</v>
      </c>
      <c r="L15" s="91">
        <f>VLOOKUP($A15,'Data Vlaue (Cr)'!$C:$FB,97)</f>
        <v>32</v>
      </c>
      <c r="M15" s="92">
        <f>VLOOKUP($A15,'Data Vlaue (Cr)'!$C:$FB,98)</f>
        <v>7.9899999999999999E-2</v>
      </c>
      <c r="N15" s="91">
        <f>VLOOKUP($A15,'Data Vlaue (Cr)'!$C:$FB,79)</f>
        <v>815</v>
      </c>
      <c r="O15" s="92">
        <f>VLOOKUP($A15,'Data Vlaue (Cr)'!$C:$FB,82)</f>
        <v>0.1114</v>
      </c>
    </row>
    <row r="16" spans="1:15" x14ac:dyDescent="0.25">
      <c r="A16" s="97" t="str">
        <f>'Data Vlaue (Cr)'!C11</f>
        <v>AMBUJACEM</v>
      </c>
      <c r="B16" s="142">
        <f>VLOOKUP(A16,'Data Vlaue (Cr)'!C11:CW222,99,0)</f>
        <v>3743</v>
      </c>
      <c r="C16" s="90">
        <f>VLOOKUP(A16,'Data Vlaue (Cr)'!C11:CY222,101,0)</f>
        <v>112</v>
      </c>
      <c r="D16" s="139">
        <f>VLOOKUP(A16,'Data Vlaue (Cr)'!C11:CZ222,102,0)</f>
        <v>3.0800000000000001E-2</v>
      </c>
      <c r="E16" s="91">
        <f>VLOOKUP($A16,'Data Vlaue (Cr)'!$C:$FB,75)</f>
        <v>2510</v>
      </c>
      <c r="F16" s="91">
        <f>VLOOKUP($A16,'Data Vlaue (Cr)'!$C:$FB,77)</f>
        <v>64</v>
      </c>
      <c r="G16" s="92">
        <f>VLOOKUP(A16,'Data Vlaue (Cr)'!C11:CB222,78,0)</f>
        <v>2.6200000000000001E-2</v>
      </c>
      <c r="H16" s="91">
        <f>VLOOKUP($A16,'Data Vlaue (Cr)'!$C:$FB,91)</f>
        <v>744</v>
      </c>
      <c r="I16" s="91">
        <f>VLOOKUP($A16,'Data Vlaue (Cr)'!$C:$FB,93)</f>
        <v>39</v>
      </c>
      <c r="J16" s="92">
        <f>VLOOKUP($A16,'Data Vlaue (Cr)'!$C:$FB,94)</f>
        <v>5.4699999999999999E-2</v>
      </c>
      <c r="K16" s="91">
        <f>VLOOKUP($A16,'Data Vlaue (Cr)'!$C:$FB,95)</f>
        <v>490</v>
      </c>
      <c r="L16" s="91">
        <f>VLOOKUP($A16,'Data Vlaue (Cr)'!$C:$FB,97)</f>
        <v>9</v>
      </c>
      <c r="M16" s="92">
        <f>VLOOKUP($A16,'Data Vlaue (Cr)'!$C:$FB,98)</f>
        <v>1.9099999999999999E-2</v>
      </c>
      <c r="N16" s="91">
        <f>VLOOKUP($A16,'Data Vlaue (Cr)'!$C:$FB,79)</f>
        <v>2220</v>
      </c>
      <c r="O16" s="92">
        <f>VLOOKUP($A16,'Data Vlaue (Cr)'!$C:$FB,82)</f>
        <v>1.18E-2</v>
      </c>
    </row>
    <row r="17" spans="1:15" x14ac:dyDescent="0.25">
      <c r="A17" s="97" t="str">
        <f>'Data Vlaue (Cr)'!C12</f>
        <v>ANGELONE</v>
      </c>
      <c r="B17" s="142">
        <f>VLOOKUP(A17,'Data Vlaue (Cr)'!C12:CW223,99,0)</f>
        <v>1728</v>
      </c>
      <c r="C17" s="90">
        <f>VLOOKUP(A17,'Data Vlaue (Cr)'!C12:CY223,101,0)</f>
        <v>31</v>
      </c>
      <c r="D17" s="139">
        <f>VLOOKUP(A17,'Data Vlaue (Cr)'!C12:CZ223,102,0)</f>
        <v>1.8100000000000002E-2</v>
      </c>
      <c r="E17" s="91">
        <f>VLOOKUP($A17,'Data Vlaue (Cr)'!$C:$FB,75)</f>
        <v>854</v>
      </c>
      <c r="F17" s="91">
        <f>VLOOKUP($A17,'Data Vlaue (Cr)'!$C:$FB,77)</f>
        <v>16</v>
      </c>
      <c r="G17" s="92">
        <f>VLOOKUP(A17,'Data Vlaue (Cr)'!C12:CB223,78,0)</f>
        <v>1.95E-2</v>
      </c>
      <c r="H17" s="91">
        <f>VLOOKUP($A17,'Data Vlaue (Cr)'!$C:$FB,91)</f>
        <v>568</v>
      </c>
      <c r="I17" s="91">
        <f>VLOOKUP($A17,'Data Vlaue (Cr)'!$C:$FB,93)</f>
        <v>26</v>
      </c>
      <c r="J17" s="92">
        <f>VLOOKUP($A17,'Data Vlaue (Cr)'!$C:$FB,94)</f>
        <v>4.8300000000000003E-2</v>
      </c>
      <c r="K17" s="91">
        <f>VLOOKUP($A17,'Data Vlaue (Cr)'!$C:$FB,95)</f>
        <v>306</v>
      </c>
      <c r="L17" s="91">
        <f>VLOOKUP($A17,'Data Vlaue (Cr)'!$C:$FB,97)</f>
        <v>-12</v>
      </c>
      <c r="M17" s="92">
        <f>VLOOKUP($A17,'Data Vlaue (Cr)'!$C:$FB,98)</f>
        <v>-3.6799999999999999E-2</v>
      </c>
      <c r="N17" s="91">
        <f>VLOOKUP($A17,'Data Vlaue (Cr)'!$C:$FB,79)</f>
        <v>686</v>
      </c>
      <c r="O17" s="92">
        <f>VLOOKUP($A17,'Data Vlaue (Cr)'!$C:$FB,82)</f>
        <v>2.24E-2</v>
      </c>
    </row>
    <row r="18" spans="1:15" x14ac:dyDescent="0.25">
      <c r="A18" s="97" t="str">
        <f>'Data Vlaue (Cr)'!C13</f>
        <v>APLAPOLLO</v>
      </c>
      <c r="B18" s="142">
        <f>VLOOKUP(A18,'Data Vlaue (Cr)'!C13:CW224,99,0)</f>
        <v>1600</v>
      </c>
      <c r="C18" s="90">
        <f>VLOOKUP(A18,'Data Vlaue (Cr)'!C13:CY224,101,0)</f>
        <v>21</v>
      </c>
      <c r="D18" s="139">
        <f>VLOOKUP(A18,'Data Vlaue (Cr)'!C13:CZ224,102,0)</f>
        <v>1.3100000000000001E-2</v>
      </c>
      <c r="E18" s="91">
        <f>VLOOKUP($A18,'Data Vlaue (Cr)'!$C:$FB,75)</f>
        <v>978</v>
      </c>
      <c r="F18" s="91">
        <f>VLOOKUP($A18,'Data Vlaue (Cr)'!$C:$FB,77)</f>
        <v>15</v>
      </c>
      <c r="G18" s="92">
        <f>VLOOKUP(A18,'Data Vlaue (Cr)'!C13:CB224,78,0)</f>
        <v>1.5599999999999999E-2</v>
      </c>
      <c r="H18" s="91">
        <f>VLOOKUP($A18,'Data Vlaue (Cr)'!$C:$FB,91)</f>
        <v>358</v>
      </c>
      <c r="I18" s="91">
        <f>VLOOKUP($A18,'Data Vlaue (Cr)'!$C:$FB,93)</f>
        <v>17</v>
      </c>
      <c r="J18" s="92">
        <f>VLOOKUP($A18,'Data Vlaue (Cr)'!$C:$FB,94)</f>
        <v>5.0200000000000002E-2</v>
      </c>
      <c r="K18" s="91">
        <f>VLOOKUP($A18,'Data Vlaue (Cr)'!$C:$FB,95)</f>
        <v>265</v>
      </c>
      <c r="L18" s="91">
        <f>VLOOKUP($A18,'Data Vlaue (Cr)'!$C:$FB,97)</f>
        <v>-11</v>
      </c>
      <c r="M18" s="92">
        <f>VLOOKUP($A18,'Data Vlaue (Cr)'!$C:$FB,98)</f>
        <v>-4.1500000000000002E-2</v>
      </c>
      <c r="N18" s="91">
        <f>VLOOKUP($A18,'Data Vlaue (Cr)'!$C:$FB,79)</f>
        <v>963</v>
      </c>
      <c r="O18" s="92">
        <f>VLOOKUP($A18,'Data Vlaue (Cr)'!$C:$FB,82)</f>
        <v>1.3599999999999999E-2</v>
      </c>
    </row>
    <row r="19" spans="1:15" x14ac:dyDescent="0.25">
      <c r="A19" s="97" t="str">
        <f>'Data Vlaue (Cr)'!C14</f>
        <v>APOLLOHOSP</v>
      </c>
      <c r="B19" s="142">
        <f>VLOOKUP(A19,'Data Vlaue (Cr)'!C14:CW225,99,0)</f>
        <v>3257</v>
      </c>
      <c r="C19" s="90">
        <f>VLOOKUP(A19,'Data Vlaue (Cr)'!C14:CY225,101,0)</f>
        <v>-44</v>
      </c>
      <c r="D19" s="139">
        <f>VLOOKUP(A19,'Data Vlaue (Cr)'!C14:CZ225,102,0)</f>
        <v>-1.32E-2</v>
      </c>
      <c r="E19" s="91">
        <f>VLOOKUP($A19,'Data Vlaue (Cr)'!$C:$FB,75)</f>
        <v>1865</v>
      </c>
      <c r="F19" s="91">
        <f>VLOOKUP($A19,'Data Vlaue (Cr)'!$C:$FB,77)</f>
        <v>-42</v>
      </c>
      <c r="G19" s="92">
        <f>VLOOKUP(A19,'Data Vlaue (Cr)'!C14:CB225,78,0)</f>
        <v>-2.1899999999999999E-2</v>
      </c>
      <c r="H19" s="91">
        <f>VLOOKUP($A19,'Data Vlaue (Cr)'!$C:$FB,91)</f>
        <v>811</v>
      </c>
      <c r="I19" s="91">
        <f>VLOOKUP($A19,'Data Vlaue (Cr)'!$C:$FB,93)</f>
        <v>15</v>
      </c>
      <c r="J19" s="92">
        <f>VLOOKUP($A19,'Data Vlaue (Cr)'!$C:$FB,94)</f>
        <v>1.84E-2</v>
      </c>
      <c r="K19" s="91">
        <f>VLOOKUP($A19,'Data Vlaue (Cr)'!$C:$FB,95)</f>
        <v>581</v>
      </c>
      <c r="L19" s="91">
        <f>VLOOKUP($A19,'Data Vlaue (Cr)'!$C:$FB,97)</f>
        <v>-17</v>
      </c>
      <c r="M19" s="92">
        <f>VLOOKUP($A19,'Data Vlaue (Cr)'!$C:$FB,98)</f>
        <v>-2.7799999999999998E-2</v>
      </c>
      <c r="N19" s="91">
        <f>VLOOKUP($A19,'Data Vlaue (Cr)'!$C:$FB,79)</f>
        <v>1824</v>
      </c>
      <c r="O19" s="92">
        <f>VLOOKUP($A19,'Data Vlaue (Cr)'!$C:$FB,82)</f>
        <v>-2.7400000000000001E-2</v>
      </c>
    </row>
    <row r="20" spans="1:15" x14ac:dyDescent="0.25">
      <c r="A20" s="97" t="str">
        <f>'Data Vlaue (Cr)'!C15</f>
        <v>ASHOKLEY</v>
      </c>
      <c r="B20" s="142">
        <f>VLOOKUP(A20,'Data Vlaue (Cr)'!C15:CW226,99,0)</f>
        <v>5032</v>
      </c>
      <c r="C20" s="90">
        <f>VLOOKUP(A20,'Data Vlaue (Cr)'!C15:CY226,101,0)</f>
        <v>248</v>
      </c>
      <c r="D20" s="139">
        <f>VLOOKUP(A20,'Data Vlaue (Cr)'!C15:CZ226,102,0)</f>
        <v>5.1900000000000002E-2</v>
      </c>
      <c r="E20" s="91">
        <f>VLOOKUP($A20,'Data Vlaue (Cr)'!$C:$FB,75)</f>
        <v>2867</v>
      </c>
      <c r="F20" s="91">
        <f>VLOOKUP($A20,'Data Vlaue (Cr)'!$C:$FB,77)</f>
        <v>40</v>
      </c>
      <c r="G20" s="92">
        <f>VLOOKUP(A20,'Data Vlaue (Cr)'!C15:CB226,78,0)</f>
        <v>1.43E-2</v>
      </c>
      <c r="H20" s="91">
        <f>VLOOKUP($A20,'Data Vlaue (Cr)'!$C:$FB,91)</f>
        <v>1407</v>
      </c>
      <c r="I20" s="91">
        <f>VLOOKUP($A20,'Data Vlaue (Cr)'!$C:$FB,93)</f>
        <v>100</v>
      </c>
      <c r="J20" s="92">
        <f>VLOOKUP($A20,'Data Vlaue (Cr)'!$C:$FB,94)</f>
        <v>7.6799999999999993E-2</v>
      </c>
      <c r="K20" s="91">
        <f>VLOOKUP($A20,'Data Vlaue (Cr)'!$C:$FB,95)</f>
        <v>757</v>
      </c>
      <c r="L20" s="91">
        <f>VLOOKUP($A20,'Data Vlaue (Cr)'!$C:$FB,97)</f>
        <v>108</v>
      </c>
      <c r="M20" s="92">
        <f>VLOOKUP($A20,'Data Vlaue (Cr)'!$C:$FB,98)</f>
        <v>0.1656</v>
      </c>
      <c r="N20" s="91">
        <f>VLOOKUP($A20,'Data Vlaue (Cr)'!$C:$FB,79)</f>
        <v>2653</v>
      </c>
      <c r="O20" s="92">
        <f>VLOOKUP($A20,'Data Vlaue (Cr)'!$C:$FB,82)</f>
        <v>2.5999999999999999E-3</v>
      </c>
    </row>
    <row r="21" spans="1:15" x14ac:dyDescent="0.25">
      <c r="A21" s="97" t="str">
        <f>'Data Vlaue (Cr)'!C16</f>
        <v>ASIANPAINT</v>
      </c>
      <c r="B21" s="142">
        <f>VLOOKUP(A21,'Data Vlaue (Cr)'!C16:CW227,99,0)</f>
        <v>5198</v>
      </c>
      <c r="C21" s="90">
        <f>VLOOKUP(A21,'Data Vlaue (Cr)'!C16:CY227,101,0)</f>
        <v>95</v>
      </c>
      <c r="D21" s="139">
        <f>VLOOKUP(A21,'Data Vlaue (Cr)'!C16:CZ227,102,0)</f>
        <v>1.8700000000000001E-2</v>
      </c>
      <c r="E21" s="91">
        <f>VLOOKUP($A21,'Data Vlaue (Cr)'!$C:$FB,75)</f>
        <v>3052</v>
      </c>
      <c r="F21" s="91">
        <f>VLOOKUP($A21,'Data Vlaue (Cr)'!$C:$FB,77)</f>
        <v>-16</v>
      </c>
      <c r="G21" s="92">
        <f>VLOOKUP(A21,'Data Vlaue (Cr)'!C16:CB227,78,0)</f>
        <v>-5.4000000000000003E-3</v>
      </c>
      <c r="H21" s="91">
        <f>VLOOKUP($A21,'Data Vlaue (Cr)'!$C:$FB,91)</f>
        <v>1105</v>
      </c>
      <c r="I21" s="91">
        <f>VLOOKUP($A21,'Data Vlaue (Cr)'!$C:$FB,93)</f>
        <v>79</v>
      </c>
      <c r="J21" s="92">
        <f>VLOOKUP($A21,'Data Vlaue (Cr)'!$C:$FB,94)</f>
        <v>7.6999999999999999E-2</v>
      </c>
      <c r="K21" s="91">
        <f>VLOOKUP($A21,'Data Vlaue (Cr)'!$C:$FB,95)</f>
        <v>1041</v>
      </c>
      <c r="L21" s="91">
        <f>VLOOKUP($A21,'Data Vlaue (Cr)'!$C:$FB,97)</f>
        <v>33</v>
      </c>
      <c r="M21" s="92">
        <f>VLOOKUP($A21,'Data Vlaue (Cr)'!$C:$FB,98)</f>
        <v>3.2500000000000001E-2</v>
      </c>
      <c r="N21" s="91">
        <f>VLOOKUP($A21,'Data Vlaue (Cr)'!$C:$FB,79)</f>
        <v>2971</v>
      </c>
      <c r="O21" s="92">
        <f>VLOOKUP($A21,'Data Vlaue (Cr)'!$C:$FB,82)</f>
        <v>-7.1000000000000004E-3</v>
      </c>
    </row>
    <row r="22" spans="1:15" x14ac:dyDescent="0.25">
      <c r="A22" s="97" t="str">
        <f>'Data Vlaue (Cr)'!C17</f>
        <v>ASTRAL</v>
      </c>
      <c r="B22" s="142">
        <f>VLOOKUP(A22,'Data Vlaue (Cr)'!C17:CW228,99,0)</f>
        <v>2700</v>
      </c>
      <c r="C22" s="90">
        <f>VLOOKUP(A22,'Data Vlaue (Cr)'!C17:CY228,101,0)</f>
        <v>-90</v>
      </c>
      <c r="D22" s="139">
        <f>VLOOKUP(A22,'Data Vlaue (Cr)'!C17:CZ228,102,0)</f>
        <v>-3.2399999999999998E-2</v>
      </c>
      <c r="E22" s="91">
        <f>VLOOKUP($A22,'Data Vlaue (Cr)'!$C:$FB,75)</f>
        <v>1915</v>
      </c>
      <c r="F22" s="91">
        <f>VLOOKUP($A22,'Data Vlaue (Cr)'!$C:$FB,77)</f>
        <v>52</v>
      </c>
      <c r="G22" s="92">
        <f>VLOOKUP(A22,'Data Vlaue (Cr)'!C17:CB228,78,0)</f>
        <v>2.7699999999999999E-2</v>
      </c>
      <c r="H22" s="91">
        <f>VLOOKUP($A22,'Data Vlaue (Cr)'!$C:$FB,91)</f>
        <v>499</v>
      </c>
      <c r="I22" s="91">
        <f>VLOOKUP($A22,'Data Vlaue (Cr)'!$C:$FB,93)</f>
        <v>-123</v>
      </c>
      <c r="J22" s="92">
        <f>VLOOKUP($A22,'Data Vlaue (Cr)'!$C:$FB,94)</f>
        <v>-0.19789999999999999</v>
      </c>
      <c r="K22" s="91">
        <f>VLOOKUP($A22,'Data Vlaue (Cr)'!$C:$FB,95)</f>
        <v>286</v>
      </c>
      <c r="L22" s="91">
        <f>VLOOKUP($A22,'Data Vlaue (Cr)'!$C:$FB,97)</f>
        <v>-19</v>
      </c>
      <c r="M22" s="92">
        <f>VLOOKUP($A22,'Data Vlaue (Cr)'!$C:$FB,98)</f>
        <v>-6.1699999999999998E-2</v>
      </c>
      <c r="N22" s="91">
        <f>VLOOKUP($A22,'Data Vlaue (Cr)'!$C:$FB,79)</f>
        <v>1702</v>
      </c>
      <c r="O22" s="92">
        <f>VLOOKUP($A22,'Data Vlaue (Cr)'!$C:$FB,82)</f>
        <v>1.78E-2</v>
      </c>
    </row>
    <row r="23" spans="1:15" x14ac:dyDescent="0.25">
      <c r="A23" s="97" t="str">
        <f>'Data Vlaue (Cr)'!C18</f>
        <v>AUBANK</v>
      </c>
      <c r="B23" s="142">
        <f>VLOOKUP(A23,'Data Vlaue (Cr)'!C18:CW229,99,0)</f>
        <v>3683</v>
      </c>
      <c r="C23" s="90">
        <f>VLOOKUP(A23,'Data Vlaue (Cr)'!C18:CY229,101,0)</f>
        <v>86</v>
      </c>
      <c r="D23" s="139">
        <f>VLOOKUP(A23,'Data Vlaue (Cr)'!C18:CZ229,102,0)</f>
        <v>2.3800000000000002E-2</v>
      </c>
      <c r="E23" s="91">
        <f>VLOOKUP($A23,'Data Vlaue (Cr)'!$C:$FB,75)</f>
        <v>2290</v>
      </c>
      <c r="F23" s="91">
        <f>VLOOKUP($A23,'Data Vlaue (Cr)'!$C:$FB,77)</f>
        <v>53</v>
      </c>
      <c r="G23" s="92">
        <f>VLOOKUP(A23,'Data Vlaue (Cr)'!C18:CB229,78,0)</f>
        <v>2.3800000000000002E-2</v>
      </c>
      <c r="H23" s="91">
        <f>VLOOKUP($A23,'Data Vlaue (Cr)'!$C:$FB,91)</f>
        <v>864</v>
      </c>
      <c r="I23" s="91">
        <f>VLOOKUP($A23,'Data Vlaue (Cr)'!$C:$FB,93)</f>
        <v>41</v>
      </c>
      <c r="J23" s="92">
        <f>VLOOKUP($A23,'Data Vlaue (Cr)'!$C:$FB,94)</f>
        <v>0.05</v>
      </c>
      <c r="K23" s="91">
        <f>VLOOKUP($A23,'Data Vlaue (Cr)'!$C:$FB,95)</f>
        <v>528</v>
      </c>
      <c r="L23" s="91">
        <f>VLOOKUP($A23,'Data Vlaue (Cr)'!$C:$FB,97)</f>
        <v>-9</v>
      </c>
      <c r="M23" s="92">
        <f>VLOOKUP($A23,'Data Vlaue (Cr)'!$C:$FB,98)</f>
        <v>-1.6199999999999999E-2</v>
      </c>
      <c r="N23" s="91">
        <f>VLOOKUP($A23,'Data Vlaue (Cr)'!$C:$FB,79)</f>
        <v>2195</v>
      </c>
      <c r="O23" s="92">
        <f>VLOOKUP($A23,'Data Vlaue (Cr)'!$C:$FB,82)</f>
        <v>2.01E-2</v>
      </c>
    </row>
    <row r="24" spans="1:15" x14ac:dyDescent="0.25">
      <c r="A24" s="97" t="str">
        <f>'Data Vlaue (Cr)'!C19</f>
        <v>AUROPHARMA</v>
      </c>
      <c r="B24" s="142">
        <f>VLOOKUP(A24,'Data Vlaue (Cr)'!C19:CW230,99,0)</f>
        <v>4372</v>
      </c>
      <c r="C24" s="90">
        <f>VLOOKUP(A24,'Data Vlaue (Cr)'!C19:CY230,101,0)</f>
        <v>104</v>
      </c>
      <c r="D24" s="139">
        <f>VLOOKUP(A24,'Data Vlaue (Cr)'!C19:CZ230,102,0)</f>
        <v>2.4400000000000002E-2</v>
      </c>
      <c r="E24" s="91">
        <f>VLOOKUP($A24,'Data Vlaue (Cr)'!$C:$FB,75)</f>
        <v>2905</v>
      </c>
      <c r="F24" s="91">
        <f>VLOOKUP($A24,'Data Vlaue (Cr)'!$C:$FB,77)</f>
        <v>-65</v>
      </c>
      <c r="G24" s="92">
        <f>VLOOKUP(A24,'Data Vlaue (Cr)'!C19:CB230,78,0)</f>
        <v>-2.1999999999999999E-2</v>
      </c>
      <c r="H24" s="91">
        <f>VLOOKUP($A24,'Data Vlaue (Cr)'!$C:$FB,91)</f>
        <v>762</v>
      </c>
      <c r="I24" s="91">
        <f>VLOOKUP($A24,'Data Vlaue (Cr)'!$C:$FB,93)</f>
        <v>62</v>
      </c>
      <c r="J24" s="92">
        <f>VLOOKUP($A24,'Data Vlaue (Cr)'!$C:$FB,94)</f>
        <v>8.9200000000000002E-2</v>
      </c>
      <c r="K24" s="91">
        <f>VLOOKUP($A24,'Data Vlaue (Cr)'!$C:$FB,95)</f>
        <v>705</v>
      </c>
      <c r="L24" s="91">
        <f>VLOOKUP($A24,'Data Vlaue (Cr)'!$C:$FB,97)</f>
        <v>107</v>
      </c>
      <c r="M24" s="92">
        <f>VLOOKUP($A24,'Data Vlaue (Cr)'!$C:$FB,98)</f>
        <v>0.17879999999999999</v>
      </c>
      <c r="N24" s="91">
        <f>VLOOKUP($A24,'Data Vlaue (Cr)'!$C:$FB,79)</f>
        <v>2870</v>
      </c>
      <c r="O24" s="92">
        <f>VLOOKUP($A24,'Data Vlaue (Cr)'!$C:$FB,82)</f>
        <v>-2.1700000000000001E-2</v>
      </c>
    </row>
    <row r="25" spans="1:15" x14ac:dyDescent="0.25">
      <c r="A25" s="97" t="str">
        <f>'Data Vlaue (Cr)'!C20</f>
        <v>AXISBANK</v>
      </c>
      <c r="B25" s="142">
        <f>VLOOKUP(A25,'Data Vlaue (Cr)'!C20:CW231,99,0)</f>
        <v>12655</v>
      </c>
      <c r="C25" s="90">
        <f>VLOOKUP(A25,'Data Vlaue (Cr)'!C20:CY231,101,0)</f>
        <v>446</v>
      </c>
      <c r="D25" s="139">
        <f>VLOOKUP(A25,'Data Vlaue (Cr)'!C20:CZ231,102,0)</f>
        <v>3.6600000000000001E-2</v>
      </c>
      <c r="E25" s="91">
        <f>VLOOKUP($A25,'Data Vlaue (Cr)'!$C:$FB,75)</f>
        <v>8453</v>
      </c>
      <c r="F25" s="91">
        <f>VLOOKUP($A25,'Data Vlaue (Cr)'!$C:$FB,77)</f>
        <v>181</v>
      </c>
      <c r="G25" s="92">
        <f>VLOOKUP(A25,'Data Vlaue (Cr)'!C20:CB231,78,0)</f>
        <v>2.1899999999999999E-2</v>
      </c>
      <c r="H25" s="91">
        <f>VLOOKUP($A25,'Data Vlaue (Cr)'!$C:$FB,91)</f>
        <v>2837</v>
      </c>
      <c r="I25" s="91">
        <f>VLOOKUP($A25,'Data Vlaue (Cr)'!$C:$FB,93)</f>
        <v>210</v>
      </c>
      <c r="J25" s="92">
        <f>VLOOKUP($A25,'Data Vlaue (Cr)'!$C:$FB,94)</f>
        <v>0.08</v>
      </c>
      <c r="K25" s="91">
        <f>VLOOKUP($A25,'Data Vlaue (Cr)'!$C:$FB,95)</f>
        <v>1364</v>
      </c>
      <c r="L25" s="91">
        <f>VLOOKUP($A25,'Data Vlaue (Cr)'!$C:$FB,97)</f>
        <v>55</v>
      </c>
      <c r="M25" s="92">
        <f>VLOOKUP($A25,'Data Vlaue (Cr)'!$C:$FB,98)</f>
        <v>4.2099999999999999E-2</v>
      </c>
      <c r="N25" s="91">
        <f>VLOOKUP($A25,'Data Vlaue (Cr)'!$C:$FB,79)</f>
        <v>7011</v>
      </c>
      <c r="O25" s="92">
        <f>VLOOKUP($A25,'Data Vlaue (Cr)'!$C:$FB,82)</f>
        <v>1.0699999999999999E-2</v>
      </c>
    </row>
    <row r="26" spans="1:15" x14ac:dyDescent="0.25">
      <c r="A26" s="97" t="str">
        <f>'Data Vlaue (Cr)'!C21</f>
        <v>BAJAJ-AUTO</v>
      </c>
      <c r="B26" s="142">
        <f>VLOOKUP(A26,'Data Vlaue (Cr)'!C21:CW232,99,0)</f>
        <v>5471</v>
      </c>
      <c r="C26" s="90">
        <f>VLOOKUP(A26,'Data Vlaue (Cr)'!C21:CY232,101,0)</f>
        <v>217</v>
      </c>
      <c r="D26" s="139">
        <f>VLOOKUP(A26,'Data Vlaue (Cr)'!C21:CZ232,102,0)</f>
        <v>4.1200000000000001E-2</v>
      </c>
      <c r="E26" s="91">
        <f>VLOOKUP($A26,'Data Vlaue (Cr)'!$C:$FB,75)</f>
        <v>3099</v>
      </c>
      <c r="F26" s="91">
        <f>VLOOKUP($A26,'Data Vlaue (Cr)'!$C:$FB,77)</f>
        <v>128</v>
      </c>
      <c r="G26" s="92">
        <f>VLOOKUP(A26,'Data Vlaue (Cr)'!C21:CB232,78,0)</f>
        <v>4.3200000000000002E-2</v>
      </c>
      <c r="H26" s="91">
        <f>VLOOKUP($A26,'Data Vlaue (Cr)'!$C:$FB,91)</f>
        <v>1615</v>
      </c>
      <c r="I26" s="91">
        <f>VLOOKUP($A26,'Data Vlaue (Cr)'!$C:$FB,93)</f>
        <v>92</v>
      </c>
      <c r="J26" s="92">
        <f>VLOOKUP($A26,'Data Vlaue (Cr)'!$C:$FB,94)</f>
        <v>6.0699999999999997E-2</v>
      </c>
      <c r="K26" s="91">
        <f>VLOOKUP($A26,'Data Vlaue (Cr)'!$C:$FB,95)</f>
        <v>756</v>
      </c>
      <c r="L26" s="91">
        <f>VLOOKUP($A26,'Data Vlaue (Cr)'!$C:$FB,97)</f>
        <v>-4</v>
      </c>
      <c r="M26" s="92">
        <f>VLOOKUP($A26,'Data Vlaue (Cr)'!$C:$FB,98)</f>
        <v>-5.3E-3</v>
      </c>
      <c r="N26" s="91">
        <f>VLOOKUP($A26,'Data Vlaue (Cr)'!$C:$FB,79)</f>
        <v>2963</v>
      </c>
      <c r="O26" s="92">
        <f>VLOOKUP($A26,'Data Vlaue (Cr)'!$C:$FB,82)</f>
        <v>1.43E-2</v>
      </c>
    </row>
    <row r="27" spans="1:15" x14ac:dyDescent="0.25">
      <c r="A27" s="97" t="str">
        <f>'Data Vlaue (Cr)'!C22</f>
        <v>BAJAJFINSV</v>
      </c>
      <c r="B27" s="142">
        <f>VLOOKUP(A27,'Data Vlaue (Cr)'!C22:CW233,99,0)</f>
        <v>4679</v>
      </c>
      <c r="C27" s="90">
        <f>VLOOKUP(A27,'Data Vlaue (Cr)'!C22:CY233,101,0)</f>
        <v>36</v>
      </c>
      <c r="D27" s="139">
        <f>VLOOKUP(A27,'Data Vlaue (Cr)'!C22:CZ233,102,0)</f>
        <v>7.6E-3</v>
      </c>
      <c r="E27" s="91">
        <f>VLOOKUP($A27,'Data Vlaue (Cr)'!$C:$FB,75)</f>
        <v>2280</v>
      </c>
      <c r="F27" s="91">
        <f>VLOOKUP($A27,'Data Vlaue (Cr)'!$C:$FB,77)</f>
        <v>-21</v>
      </c>
      <c r="G27" s="92">
        <f>VLOOKUP(A27,'Data Vlaue (Cr)'!C22:CB233,78,0)</f>
        <v>-9.2999999999999992E-3</v>
      </c>
      <c r="H27" s="91">
        <f>VLOOKUP($A27,'Data Vlaue (Cr)'!$C:$FB,91)</f>
        <v>1651</v>
      </c>
      <c r="I27" s="91">
        <f>VLOOKUP($A27,'Data Vlaue (Cr)'!$C:$FB,93)</f>
        <v>75</v>
      </c>
      <c r="J27" s="92">
        <f>VLOOKUP($A27,'Data Vlaue (Cr)'!$C:$FB,94)</f>
        <v>4.7600000000000003E-2</v>
      </c>
      <c r="K27" s="91">
        <f>VLOOKUP($A27,'Data Vlaue (Cr)'!$C:$FB,95)</f>
        <v>747</v>
      </c>
      <c r="L27" s="91">
        <f>VLOOKUP($A27,'Data Vlaue (Cr)'!$C:$FB,97)</f>
        <v>-18</v>
      </c>
      <c r="M27" s="92">
        <f>VLOOKUP($A27,'Data Vlaue (Cr)'!$C:$FB,98)</f>
        <v>-2.3699999999999999E-2</v>
      </c>
      <c r="N27" s="91">
        <f>VLOOKUP($A27,'Data Vlaue (Cr)'!$C:$FB,79)</f>
        <v>2220</v>
      </c>
      <c r="O27" s="92">
        <f>VLOOKUP($A27,'Data Vlaue (Cr)'!$C:$FB,82)</f>
        <v>-1.1900000000000001E-2</v>
      </c>
    </row>
    <row r="28" spans="1:15" x14ac:dyDescent="0.25">
      <c r="A28" s="97" t="str">
        <f>'Data Vlaue (Cr)'!C23</f>
        <v>BAJAJHLDNG</v>
      </c>
      <c r="B28" s="142">
        <f>VLOOKUP(A28,'Data Vlaue (Cr)'!C23:CW234,99,0)</f>
        <v>433</v>
      </c>
      <c r="C28" s="90">
        <f>VLOOKUP(A28,'Data Vlaue (Cr)'!C23:CY234,101,0)</f>
        <v>26</v>
      </c>
      <c r="D28" s="139">
        <f>VLOOKUP(A28,'Data Vlaue (Cr)'!C23:CZ234,102,0)</f>
        <v>6.2899999999999998E-2</v>
      </c>
      <c r="E28" s="91">
        <f>VLOOKUP($A28,'Data Vlaue (Cr)'!$C:$FB,75)</f>
        <v>226</v>
      </c>
      <c r="F28" s="91">
        <f>VLOOKUP($A28,'Data Vlaue (Cr)'!$C:$FB,77)</f>
        <v>4</v>
      </c>
      <c r="G28" s="92">
        <f>VLOOKUP(A28,'Data Vlaue (Cr)'!C23:CB234,78,0)</f>
        <v>1.8599999999999998E-2</v>
      </c>
      <c r="H28" s="91">
        <f>VLOOKUP($A28,'Data Vlaue (Cr)'!$C:$FB,91)</f>
        <v>140</v>
      </c>
      <c r="I28" s="91">
        <f>VLOOKUP($A28,'Data Vlaue (Cr)'!$C:$FB,93)</f>
        <v>13</v>
      </c>
      <c r="J28" s="92">
        <f>VLOOKUP($A28,'Data Vlaue (Cr)'!$C:$FB,94)</f>
        <v>9.8599999999999993E-2</v>
      </c>
      <c r="K28" s="91">
        <f>VLOOKUP($A28,'Data Vlaue (Cr)'!$C:$FB,95)</f>
        <v>67</v>
      </c>
      <c r="L28" s="91">
        <f>VLOOKUP($A28,'Data Vlaue (Cr)'!$C:$FB,97)</f>
        <v>9</v>
      </c>
      <c r="M28" s="92">
        <f>VLOOKUP($A28,'Data Vlaue (Cr)'!$C:$FB,98)</f>
        <v>0.1545</v>
      </c>
      <c r="N28" s="91">
        <f>VLOOKUP($A28,'Data Vlaue (Cr)'!$C:$FB,79)</f>
        <v>217</v>
      </c>
      <c r="O28" s="92">
        <f>VLOOKUP($A28,'Data Vlaue (Cr)'!$C:$FB,82)</f>
        <v>1.6799999999999999E-2</v>
      </c>
    </row>
    <row r="29" spans="1:15" x14ac:dyDescent="0.25">
      <c r="A29" s="97" t="str">
        <f>'Data Vlaue (Cr)'!C24</f>
        <v>BAJFINANCE</v>
      </c>
      <c r="B29" s="142">
        <f>VLOOKUP(A29,'Data Vlaue (Cr)'!C24:CW235,99,0)</f>
        <v>10305</v>
      </c>
      <c r="C29" s="90">
        <f>VLOOKUP(A29,'Data Vlaue (Cr)'!C24:CY235,101,0)</f>
        <v>643</v>
      </c>
      <c r="D29" s="139">
        <f>VLOOKUP(A29,'Data Vlaue (Cr)'!C24:CZ235,102,0)</f>
        <v>6.6500000000000004E-2</v>
      </c>
      <c r="E29" s="91">
        <f>VLOOKUP($A29,'Data Vlaue (Cr)'!$C:$FB,75)</f>
        <v>6777</v>
      </c>
      <c r="F29" s="91">
        <f>VLOOKUP($A29,'Data Vlaue (Cr)'!$C:$FB,77)</f>
        <v>192</v>
      </c>
      <c r="G29" s="92">
        <f>VLOOKUP(A29,'Data Vlaue (Cr)'!C24:CB235,78,0)</f>
        <v>2.92E-2</v>
      </c>
      <c r="H29" s="91">
        <f>VLOOKUP($A29,'Data Vlaue (Cr)'!$C:$FB,91)</f>
        <v>2091</v>
      </c>
      <c r="I29" s="91">
        <f>VLOOKUP($A29,'Data Vlaue (Cr)'!$C:$FB,93)</f>
        <v>347</v>
      </c>
      <c r="J29" s="92">
        <f>VLOOKUP($A29,'Data Vlaue (Cr)'!$C:$FB,94)</f>
        <v>0.19889999999999999</v>
      </c>
      <c r="K29" s="91">
        <f>VLOOKUP($A29,'Data Vlaue (Cr)'!$C:$FB,95)</f>
        <v>1437</v>
      </c>
      <c r="L29" s="91">
        <f>VLOOKUP($A29,'Data Vlaue (Cr)'!$C:$FB,97)</f>
        <v>104</v>
      </c>
      <c r="M29" s="92">
        <f>VLOOKUP($A29,'Data Vlaue (Cr)'!$C:$FB,98)</f>
        <v>7.7700000000000005E-2</v>
      </c>
      <c r="N29" s="91">
        <f>VLOOKUP($A29,'Data Vlaue (Cr)'!$C:$FB,79)</f>
        <v>6428</v>
      </c>
      <c r="O29" s="92">
        <f>VLOOKUP($A29,'Data Vlaue (Cr)'!$C:$FB,82)</f>
        <v>1.5800000000000002E-2</v>
      </c>
    </row>
    <row r="30" spans="1:15" x14ac:dyDescent="0.25">
      <c r="A30" s="97" t="str">
        <f>'Data Vlaue (Cr)'!C25</f>
        <v>BANDHANBNK</v>
      </c>
      <c r="B30" s="142">
        <f>VLOOKUP(A30,'Data Vlaue (Cr)'!C25:CW236,99,0)</f>
        <v>2729</v>
      </c>
      <c r="C30" s="90">
        <f>VLOOKUP(A30,'Data Vlaue (Cr)'!C25:CY236,101,0)</f>
        <v>16</v>
      </c>
      <c r="D30" s="139">
        <f>VLOOKUP(A30,'Data Vlaue (Cr)'!C25:CZ236,102,0)</f>
        <v>6.1000000000000004E-3</v>
      </c>
      <c r="E30" s="91">
        <f>VLOOKUP($A30,'Data Vlaue (Cr)'!$C:$FB,75)</f>
        <v>1737</v>
      </c>
      <c r="F30" s="91">
        <f>VLOOKUP($A30,'Data Vlaue (Cr)'!$C:$FB,77)</f>
        <v>31</v>
      </c>
      <c r="G30" s="92">
        <f>VLOOKUP(A30,'Data Vlaue (Cr)'!C25:CB236,78,0)</f>
        <v>1.8100000000000002E-2</v>
      </c>
      <c r="H30" s="91">
        <f>VLOOKUP($A30,'Data Vlaue (Cr)'!$C:$FB,91)</f>
        <v>619</v>
      </c>
      <c r="I30" s="91">
        <f>VLOOKUP($A30,'Data Vlaue (Cr)'!$C:$FB,93)</f>
        <v>6</v>
      </c>
      <c r="J30" s="92">
        <f>VLOOKUP($A30,'Data Vlaue (Cr)'!$C:$FB,94)</f>
        <v>9.7999999999999997E-3</v>
      </c>
      <c r="K30" s="91">
        <f>VLOOKUP($A30,'Data Vlaue (Cr)'!$C:$FB,95)</f>
        <v>373</v>
      </c>
      <c r="L30" s="91">
        <f>VLOOKUP($A30,'Data Vlaue (Cr)'!$C:$FB,97)</f>
        <v>-20</v>
      </c>
      <c r="M30" s="92">
        <f>VLOOKUP($A30,'Data Vlaue (Cr)'!$C:$FB,98)</f>
        <v>-5.1900000000000002E-2</v>
      </c>
      <c r="N30" s="91">
        <f>VLOOKUP($A30,'Data Vlaue (Cr)'!$C:$FB,79)</f>
        <v>1671</v>
      </c>
      <c r="O30" s="92">
        <f>VLOOKUP($A30,'Data Vlaue (Cr)'!$C:$FB,82)</f>
        <v>1.78E-2</v>
      </c>
    </row>
    <row r="31" spans="1:15" x14ac:dyDescent="0.25">
      <c r="A31" s="97" t="str">
        <f>'Data Vlaue (Cr)'!C26</f>
        <v>BANKBARODA</v>
      </c>
      <c r="B31" s="142">
        <f>VLOOKUP(A31,'Data Vlaue (Cr)'!C26:CW237,99,0)</f>
        <v>5233</v>
      </c>
      <c r="C31" s="90">
        <f>VLOOKUP(A31,'Data Vlaue (Cr)'!C26:CY237,101,0)</f>
        <v>79</v>
      </c>
      <c r="D31" s="139">
        <f>VLOOKUP(A31,'Data Vlaue (Cr)'!C26:CZ237,102,0)</f>
        <v>1.5299999999999999E-2</v>
      </c>
      <c r="E31" s="91">
        <f>VLOOKUP($A31,'Data Vlaue (Cr)'!$C:$FB,75)</f>
        <v>2982</v>
      </c>
      <c r="F31" s="91">
        <f>VLOOKUP($A31,'Data Vlaue (Cr)'!$C:$FB,77)</f>
        <v>58</v>
      </c>
      <c r="G31" s="92">
        <f>VLOOKUP(A31,'Data Vlaue (Cr)'!C26:CB237,78,0)</f>
        <v>1.9900000000000001E-2</v>
      </c>
      <c r="H31" s="91">
        <f>VLOOKUP($A31,'Data Vlaue (Cr)'!$C:$FB,91)</f>
        <v>1210</v>
      </c>
      <c r="I31" s="91">
        <f>VLOOKUP($A31,'Data Vlaue (Cr)'!$C:$FB,93)</f>
        <v>34</v>
      </c>
      <c r="J31" s="92">
        <f>VLOOKUP($A31,'Data Vlaue (Cr)'!$C:$FB,94)</f>
        <v>2.92E-2</v>
      </c>
      <c r="K31" s="91">
        <f>VLOOKUP($A31,'Data Vlaue (Cr)'!$C:$FB,95)</f>
        <v>1042</v>
      </c>
      <c r="L31" s="91">
        <f>VLOOKUP($A31,'Data Vlaue (Cr)'!$C:$FB,97)</f>
        <v>-14</v>
      </c>
      <c r="M31" s="92">
        <f>VLOOKUP($A31,'Data Vlaue (Cr)'!$C:$FB,98)</f>
        <v>-1.2999999999999999E-2</v>
      </c>
      <c r="N31" s="91">
        <f>VLOOKUP($A31,'Data Vlaue (Cr)'!$C:$FB,79)</f>
        <v>2490</v>
      </c>
      <c r="O31" s="92">
        <f>VLOOKUP($A31,'Data Vlaue (Cr)'!$C:$FB,82)</f>
        <v>1.84E-2</v>
      </c>
    </row>
    <row r="32" spans="1:15" x14ac:dyDescent="0.25">
      <c r="A32" s="97" t="str">
        <f>'Data Vlaue (Cr)'!C27</f>
        <v>BANKINDIA</v>
      </c>
      <c r="B32" s="142">
        <f>VLOOKUP(A32,'Data Vlaue (Cr)'!C27:CW238,99,0)</f>
        <v>1598</v>
      </c>
      <c r="C32" s="90">
        <f>VLOOKUP(A32,'Data Vlaue (Cr)'!C27:CY238,101,0)</f>
        <v>-5</v>
      </c>
      <c r="D32" s="139">
        <f>VLOOKUP(A32,'Data Vlaue (Cr)'!C27:CZ238,102,0)</f>
        <v>-3.3E-3</v>
      </c>
      <c r="E32" s="91">
        <f>VLOOKUP($A32,'Data Vlaue (Cr)'!$C:$FB,75)</f>
        <v>869</v>
      </c>
      <c r="F32" s="91">
        <f>VLOOKUP($A32,'Data Vlaue (Cr)'!$C:$FB,77)</f>
        <v>-9</v>
      </c>
      <c r="G32" s="92">
        <f>VLOOKUP(A32,'Data Vlaue (Cr)'!C27:CB238,78,0)</f>
        <v>-1.0200000000000001E-2</v>
      </c>
      <c r="H32" s="91">
        <f>VLOOKUP($A32,'Data Vlaue (Cr)'!$C:$FB,91)</f>
        <v>411</v>
      </c>
      <c r="I32" s="91">
        <f>VLOOKUP($A32,'Data Vlaue (Cr)'!$C:$FB,93)</f>
        <v>9</v>
      </c>
      <c r="J32" s="92">
        <f>VLOOKUP($A32,'Data Vlaue (Cr)'!$C:$FB,94)</f>
        <v>2.1600000000000001E-2</v>
      </c>
      <c r="K32" s="91">
        <f>VLOOKUP($A32,'Data Vlaue (Cr)'!$C:$FB,95)</f>
        <v>318</v>
      </c>
      <c r="L32" s="91">
        <f>VLOOKUP($A32,'Data Vlaue (Cr)'!$C:$FB,97)</f>
        <v>-5</v>
      </c>
      <c r="M32" s="92">
        <f>VLOOKUP($A32,'Data Vlaue (Cr)'!$C:$FB,98)</f>
        <v>-1.55E-2</v>
      </c>
      <c r="N32" s="91">
        <f>VLOOKUP($A32,'Data Vlaue (Cr)'!$C:$FB,79)</f>
        <v>829</v>
      </c>
      <c r="O32" s="92">
        <f>VLOOKUP($A32,'Data Vlaue (Cr)'!$C:$FB,82)</f>
        <v>-1.2E-2</v>
      </c>
    </row>
    <row r="33" spans="1:15" x14ac:dyDescent="0.25">
      <c r="A33" s="97" t="str">
        <f>'Data Vlaue (Cr)'!C28</f>
        <v>BANKNIFTY</v>
      </c>
      <c r="B33" s="142">
        <f>VLOOKUP(A33,'Data Vlaue (Cr)'!C28:CW239,99,0)</f>
        <v>212966</v>
      </c>
      <c r="C33" s="90">
        <f>VLOOKUP(A33,'Data Vlaue (Cr)'!C28:CY239,101,0)</f>
        <v>6236</v>
      </c>
      <c r="D33" s="139">
        <f>VLOOKUP(A33,'Data Vlaue (Cr)'!C28:CZ239,102,0)</f>
        <v>3.0200000000000001E-2</v>
      </c>
      <c r="E33" s="91">
        <f>VLOOKUP($A33,'Data Vlaue (Cr)'!$C:$FB,75)</f>
        <v>17009</v>
      </c>
      <c r="F33" s="91">
        <f>VLOOKUP($A33,'Data Vlaue (Cr)'!$C:$FB,77)</f>
        <v>-201</v>
      </c>
      <c r="G33" s="92">
        <f>VLOOKUP(A33,'Data Vlaue (Cr)'!C28:CB239,78,0)</f>
        <v>-1.17E-2</v>
      </c>
      <c r="H33" s="91">
        <f>VLOOKUP($A33,'Data Vlaue (Cr)'!$C:$FB,91)</f>
        <v>109306</v>
      </c>
      <c r="I33" s="91">
        <f>VLOOKUP($A33,'Data Vlaue (Cr)'!$C:$FB,93)</f>
        <v>2086</v>
      </c>
      <c r="J33" s="92">
        <f>VLOOKUP($A33,'Data Vlaue (Cr)'!$C:$FB,94)</f>
        <v>1.95E-2</v>
      </c>
      <c r="K33" s="91">
        <f>VLOOKUP($A33,'Data Vlaue (Cr)'!$C:$FB,95)</f>
        <v>86651</v>
      </c>
      <c r="L33" s="91">
        <f>VLOOKUP($A33,'Data Vlaue (Cr)'!$C:$FB,97)</f>
        <v>4351</v>
      </c>
      <c r="M33" s="92">
        <f>VLOOKUP($A33,'Data Vlaue (Cr)'!$C:$FB,98)</f>
        <v>5.2900000000000003E-2</v>
      </c>
      <c r="N33" s="91">
        <f>VLOOKUP($A33,'Data Vlaue (Cr)'!$C:$FB,79)</f>
        <v>12047</v>
      </c>
      <c r="O33" s="92">
        <f>VLOOKUP($A33,'Data Vlaue (Cr)'!$C:$FB,82)</f>
        <v>-4.0899999999999999E-2</v>
      </c>
    </row>
    <row r="34" spans="1:15" x14ac:dyDescent="0.25">
      <c r="A34" s="97" t="str">
        <f>'Data Vlaue (Cr)'!C29</f>
        <v>BDL</v>
      </c>
      <c r="B34" s="142">
        <f>VLOOKUP(A34,'Data Vlaue (Cr)'!C29:CW240,99,0)</f>
        <v>1646</v>
      </c>
      <c r="C34" s="90">
        <f>VLOOKUP(A34,'Data Vlaue (Cr)'!C29:CY240,101,0)</f>
        <v>-12</v>
      </c>
      <c r="D34" s="139">
        <f>VLOOKUP(A34,'Data Vlaue (Cr)'!C29:CZ240,102,0)</f>
        <v>-7.4999999999999997E-3</v>
      </c>
      <c r="E34" s="91">
        <f>VLOOKUP($A34,'Data Vlaue (Cr)'!$C:$FB,75)</f>
        <v>744</v>
      </c>
      <c r="F34" s="91">
        <f>VLOOKUP($A34,'Data Vlaue (Cr)'!$C:$FB,77)</f>
        <v>2</v>
      </c>
      <c r="G34" s="92">
        <f>VLOOKUP(A34,'Data Vlaue (Cr)'!C29:CB240,78,0)</f>
        <v>2.5999999999999999E-3</v>
      </c>
      <c r="H34" s="91">
        <f>VLOOKUP($A34,'Data Vlaue (Cr)'!$C:$FB,91)</f>
        <v>558</v>
      </c>
      <c r="I34" s="91">
        <f>VLOOKUP($A34,'Data Vlaue (Cr)'!$C:$FB,93)</f>
        <v>-7</v>
      </c>
      <c r="J34" s="92">
        <f>VLOOKUP($A34,'Data Vlaue (Cr)'!$C:$FB,94)</f>
        <v>-1.17E-2</v>
      </c>
      <c r="K34" s="91">
        <f>VLOOKUP($A34,'Data Vlaue (Cr)'!$C:$FB,95)</f>
        <v>344</v>
      </c>
      <c r="L34" s="91">
        <f>VLOOKUP($A34,'Data Vlaue (Cr)'!$C:$FB,97)</f>
        <v>-8</v>
      </c>
      <c r="M34" s="92">
        <f>VLOOKUP($A34,'Data Vlaue (Cr)'!$C:$FB,98)</f>
        <v>-2.1899999999999999E-2</v>
      </c>
      <c r="N34" s="91">
        <f>VLOOKUP($A34,'Data Vlaue (Cr)'!$C:$FB,79)</f>
        <v>640</v>
      </c>
      <c r="O34" s="92">
        <f>VLOOKUP($A34,'Data Vlaue (Cr)'!$C:$FB,82)</f>
        <v>-1.6000000000000001E-3</v>
      </c>
    </row>
    <row r="35" spans="1:15" x14ac:dyDescent="0.25">
      <c r="A35" s="97" t="str">
        <f>'Data Vlaue (Cr)'!C30</f>
        <v>BEL</v>
      </c>
      <c r="B35" s="142">
        <f>VLOOKUP(A35,'Data Vlaue (Cr)'!C30:CW241,99,0)</f>
        <v>8654</v>
      </c>
      <c r="C35" s="90">
        <f>VLOOKUP(A35,'Data Vlaue (Cr)'!C30:CY241,101,0)</f>
        <v>143</v>
      </c>
      <c r="D35" s="139">
        <f>VLOOKUP(A35,'Data Vlaue (Cr)'!C30:CZ241,102,0)</f>
        <v>1.6799999999999999E-2</v>
      </c>
      <c r="E35" s="91">
        <f>VLOOKUP($A35,'Data Vlaue (Cr)'!$C:$FB,75)</f>
        <v>4943</v>
      </c>
      <c r="F35" s="91">
        <f>VLOOKUP($A35,'Data Vlaue (Cr)'!$C:$FB,77)</f>
        <v>-4</v>
      </c>
      <c r="G35" s="92">
        <f>VLOOKUP(A35,'Data Vlaue (Cr)'!C30:CB241,78,0)</f>
        <v>-8.0000000000000004E-4</v>
      </c>
      <c r="H35" s="91">
        <f>VLOOKUP($A35,'Data Vlaue (Cr)'!$C:$FB,91)</f>
        <v>2349</v>
      </c>
      <c r="I35" s="91">
        <f>VLOOKUP($A35,'Data Vlaue (Cr)'!$C:$FB,93)</f>
        <v>146</v>
      </c>
      <c r="J35" s="92">
        <f>VLOOKUP($A35,'Data Vlaue (Cr)'!$C:$FB,94)</f>
        <v>6.6400000000000001E-2</v>
      </c>
      <c r="K35" s="91">
        <f>VLOOKUP($A35,'Data Vlaue (Cr)'!$C:$FB,95)</f>
        <v>1362</v>
      </c>
      <c r="L35" s="91">
        <f>VLOOKUP($A35,'Data Vlaue (Cr)'!$C:$FB,97)</f>
        <v>0</v>
      </c>
      <c r="M35" s="92">
        <f>VLOOKUP($A35,'Data Vlaue (Cr)'!$C:$FB,98)</f>
        <v>2.0000000000000001E-4</v>
      </c>
      <c r="N35" s="91">
        <f>VLOOKUP($A35,'Data Vlaue (Cr)'!$C:$FB,79)</f>
        <v>4513</v>
      </c>
      <c r="O35" s="92">
        <f>VLOOKUP($A35,'Data Vlaue (Cr)'!$C:$FB,82)</f>
        <v>-5.7000000000000002E-3</v>
      </c>
    </row>
    <row r="36" spans="1:15" x14ac:dyDescent="0.25">
      <c r="A36" s="97" t="str">
        <f>'Data Vlaue (Cr)'!C31</f>
        <v>BHARATFORG</v>
      </c>
      <c r="B36" s="142">
        <f>VLOOKUP(A36,'Data Vlaue (Cr)'!C31:CW242,99,0)</f>
        <v>2522</v>
      </c>
      <c r="C36" s="90">
        <f>VLOOKUP(A36,'Data Vlaue (Cr)'!C31:CY242,101,0)</f>
        <v>41</v>
      </c>
      <c r="D36" s="139">
        <f>VLOOKUP(A36,'Data Vlaue (Cr)'!C31:CZ242,102,0)</f>
        <v>1.6400000000000001E-2</v>
      </c>
      <c r="E36" s="91">
        <f>VLOOKUP($A36,'Data Vlaue (Cr)'!$C:$FB,75)</f>
        <v>1191</v>
      </c>
      <c r="F36" s="91">
        <f>VLOOKUP($A36,'Data Vlaue (Cr)'!$C:$FB,77)</f>
        <v>27</v>
      </c>
      <c r="G36" s="92">
        <f>VLOOKUP(A36,'Data Vlaue (Cr)'!C31:CB242,78,0)</f>
        <v>2.35E-2</v>
      </c>
      <c r="H36" s="91">
        <f>VLOOKUP($A36,'Data Vlaue (Cr)'!$C:$FB,91)</f>
        <v>829</v>
      </c>
      <c r="I36" s="91">
        <f>VLOOKUP($A36,'Data Vlaue (Cr)'!$C:$FB,93)</f>
        <v>17</v>
      </c>
      <c r="J36" s="92">
        <f>VLOOKUP($A36,'Data Vlaue (Cr)'!$C:$FB,94)</f>
        <v>2.0799999999999999E-2</v>
      </c>
      <c r="K36" s="91">
        <f>VLOOKUP($A36,'Data Vlaue (Cr)'!$C:$FB,95)</f>
        <v>503</v>
      </c>
      <c r="L36" s="91">
        <f>VLOOKUP($A36,'Data Vlaue (Cr)'!$C:$FB,97)</f>
        <v>-3</v>
      </c>
      <c r="M36" s="92">
        <f>VLOOKUP($A36,'Data Vlaue (Cr)'!$C:$FB,98)</f>
        <v>-6.8999999999999999E-3</v>
      </c>
      <c r="N36" s="91">
        <f>VLOOKUP($A36,'Data Vlaue (Cr)'!$C:$FB,79)</f>
        <v>1161</v>
      </c>
      <c r="O36" s="92">
        <f>VLOOKUP($A36,'Data Vlaue (Cr)'!$C:$FB,82)</f>
        <v>2.3E-2</v>
      </c>
    </row>
    <row r="37" spans="1:15" x14ac:dyDescent="0.25">
      <c r="A37" s="97" t="str">
        <f>'Data Vlaue (Cr)'!C32</f>
        <v>BHARTIARTL</v>
      </c>
      <c r="B37" s="142">
        <f>VLOOKUP(A37,'Data Vlaue (Cr)'!C32:CW243,99,0)</f>
        <v>17546</v>
      </c>
      <c r="C37" s="90">
        <f>VLOOKUP(A37,'Data Vlaue (Cr)'!C32:CY243,101,0)</f>
        <v>-104</v>
      </c>
      <c r="D37" s="139">
        <f>VLOOKUP(A37,'Data Vlaue (Cr)'!C32:CZ243,102,0)</f>
        <v>-5.8999999999999999E-3</v>
      </c>
      <c r="E37" s="91">
        <f>VLOOKUP($A37,'Data Vlaue (Cr)'!$C:$FB,75)</f>
        <v>11632</v>
      </c>
      <c r="F37" s="91">
        <f>VLOOKUP($A37,'Data Vlaue (Cr)'!$C:$FB,77)</f>
        <v>-96</v>
      </c>
      <c r="G37" s="92">
        <f>VLOOKUP(A37,'Data Vlaue (Cr)'!C32:CB243,78,0)</f>
        <v>-8.2000000000000007E-3</v>
      </c>
      <c r="H37" s="91">
        <f>VLOOKUP($A37,'Data Vlaue (Cr)'!$C:$FB,91)</f>
        <v>4060</v>
      </c>
      <c r="I37" s="91">
        <f>VLOOKUP($A37,'Data Vlaue (Cr)'!$C:$FB,93)</f>
        <v>7</v>
      </c>
      <c r="J37" s="92">
        <f>VLOOKUP($A37,'Data Vlaue (Cr)'!$C:$FB,94)</f>
        <v>1.8E-3</v>
      </c>
      <c r="K37" s="91">
        <f>VLOOKUP($A37,'Data Vlaue (Cr)'!$C:$FB,95)</f>
        <v>1854</v>
      </c>
      <c r="L37" s="91">
        <f>VLOOKUP($A37,'Data Vlaue (Cr)'!$C:$FB,97)</f>
        <v>-16</v>
      </c>
      <c r="M37" s="92">
        <f>VLOOKUP($A37,'Data Vlaue (Cr)'!$C:$FB,98)</f>
        <v>-8.3000000000000001E-3</v>
      </c>
      <c r="N37" s="91">
        <f>VLOOKUP($A37,'Data Vlaue (Cr)'!$C:$FB,79)</f>
        <v>10647</v>
      </c>
      <c r="O37" s="92">
        <f>VLOOKUP($A37,'Data Vlaue (Cr)'!$C:$FB,82)</f>
        <v>-1.78E-2</v>
      </c>
    </row>
    <row r="38" spans="1:15" x14ac:dyDescent="0.25">
      <c r="A38" s="97" t="str">
        <f>'Data Vlaue (Cr)'!C33</f>
        <v>BHEL</v>
      </c>
      <c r="B38" s="142">
        <f>VLOOKUP(A38,'Data Vlaue (Cr)'!C33:CW244,99,0)</f>
        <v>5054</v>
      </c>
      <c r="C38" s="90">
        <f>VLOOKUP(A38,'Data Vlaue (Cr)'!C33:CY244,101,0)</f>
        <v>-33</v>
      </c>
      <c r="D38" s="139">
        <f>VLOOKUP(A38,'Data Vlaue (Cr)'!C33:CZ244,102,0)</f>
        <v>-6.4000000000000003E-3</v>
      </c>
      <c r="E38" s="91">
        <f>VLOOKUP($A38,'Data Vlaue (Cr)'!$C:$FB,75)</f>
        <v>3462</v>
      </c>
      <c r="F38" s="91">
        <f>VLOOKUP($A38,'Data Vlaue (Cr)'!$C:$FB,77)</f>
        <v>-34</v>
      </c>
      <c r="G38" s="92">
        <f>VLOOKUP(A38,'Data Vlaue (Cr)'!C33:CB244,78,0)</f>
        <v>-9.7999999999999997E-3</v>
      </c>
      <c r="H38" s="91">
        <f>VLOOKUP($A38,'Data Vlaue (Cr)'!$C:$FB,91)</f>
        <v>845</v>
      </c>
      <c r="I38" s="91">
        <f>VLOOKUP($A38,'Data Vlaue (Cr)'!$C:$FB,93)</f>
        <v>-44</v>
      </c>
      <c r="J38" s="92">
        <f>VLOOKUP($A38,'Data Vlaue (Cr)'!$C:$FB,94)</f>
        <v>-4.9599999999999998E-2</v>
      </c>
      <c r="K38" s="91">
        <f>VLOOKUP($A38,'Data Vlaue (Cr)'!$C:$FB,95)</f>
        <v>747</v>
      </c>
      <c r="L38" s="91">
        <f>VLOOKUP($A38,'Data Vlaue (Cr)'!$C:$FB,97)</f>
        <v>46</v>
      </c>
      <c r="M38" s="92">
        <f>VLOOKUP($A38,'Data Vlaue (Cr)'!$C:$FB,98)</f>
        <v>6.5500000000000003E-2</v>
      </c>
      <c r="N38" s="91">
        <f>VLOOKUP($A38,'Data Vlaue (Cr)'!$C:$FB,79)</f>
        <v>3003</v>
      </c>
      <c r="O38" s="92">
        <f>VLOOKUP($A38,'Data Vlaue (Cr)'!$C:$FB,82)</f>
        <v>-1.32E-2</v>
      </c>
    </row>
    <row r="39" spans="1:15" x14ac:dyDescent="0.25">
      <c r="A39" s="97" t="str">
        <f>'Data Vlaue (Cr)'!C34</f>
        <v>BIOCON</v>
      </c>
      <c r="B39" s="142">
        <f>VLOOKUP(A39,'Data Vlaue (Cr)'!C34:CW245,99,0)</f>
        <v>2752</v>
      </c>
      <c r="C39" s="90">
        <f>VLOOKUP(A39,'Data Vlaue (Cr)'!C34:CY245,101,0)</f>
        <v>49</v>
      </c>
      <c r="D39" s="139">
        <f>VLOOKUP(A39,'Data Vlaue (Cr)'!C34:CZ245,102,0)</f>
        <v>1.83E-2</v>
      </c>
      <c r="E39" s="91">
        <f>VLOOKUP($A39,'Data Vlaue (Cr)'!$C:$FB,75)</f>
        <v>1473</v>
      </c>
      <c r="F39" s="91">
        <f>VLOOKUP($A39,'Data Vlaue (Cr)'!$C:$FB,77)</f>
        <v>-7</v>
      </c>
      <c r="G39" s="92">
        <f>VLOOKUP(A39,'Data Vlaue (Cr)'!C34:CB245,78,0)</f>
        <v>-4.5999999999999999E-3</v>
      </c>
      <c r="H39" s="91">
        <f>VLOOKUP($A39,'Data Vlaue (Cr)'!$C:$FB,91)</f>
        <v>720</v>
      </c>
      <c r="I39" s="91">
        <f>VLOOKUP($A39,'Data Vlaue (Cr)'!$C:$FB,93)</f>
        <v>34</v>
      </c>
      <c r="J39" s="92">
        <f>VLOOKUP($A39,'Data Vlaue (Cr)'!$C:$FB,94)</f>
        <v>4.99E-2</v>
      </c>
      <c r="K39" s="91">
        <f>VLOOKUP($A39,'Data Vlaue (Cr)'!$C:$FB,95)</f>
        <v>559</v>
      </c>
      <c r="L39" s="91">
        <f>VLOOKUP($A39,'Data Vlaue (Cr)'!$C:$FB,97)</f>
        <v>22</v>
      </c>
      <c r="M39" s="92">
        <f>VLOOKUP($A39,'Data Vlaue (Cr)'!$C:$FB,98)</f>
        <v>4.0800000000000003E-2</v>
      </c>
      <c r="N39" s="91">
        <f>VLOOKUP($A39,'Data Vlaue (Cr)'!$C:$FB,79)</f>
        <v>1366</v>
      </c>
      <c r="O39" s="92">
        <f>VLOOKUP($A39,'Data Vlaue (Cr)'!$C:$FB,82)</f>
        <v>-1.2699999999999999E-2</v>
      </c>
    </row>
    <row r="40" spans="1:15" x14ac:dyDescent="0.25">
      <c r="A40" s="97" t="str">
        <f>'Data Vlaue (Cr)'!C35</f>
        <v>BLUESTARCO</v>
      </c>
      <c r="B40" s="142">
        <f>VLOOKUP(A40,'Data Vlaue (Cr)'!C35:CW246,99,0)</f>
        <v>871</v>
      </c>
      <c r="C40" s="90">
        <f>VLOOKUP(A40,'Data Vlaue (Cr)'!C35:CY246,101,0)</f>
        <v>13</v>
      </c>
      <c r="D40" s="139">
        <f>VLOOKUP(A40,'Data Vlaue (Cr)'!C35:CZ246,102,0)</f>
        <v>1.49E-2</v>
      </c>
      <c r="E40" s="91">
        <f>VLOOKUP($A40,'Data Vlaue (Cr)'!$C:$FB,75)</f>
        <v>465</v>
      </c>
      <c r="F40" s="91">
        <f>VLOOKUP($A40,'Data Vlaue (Cr)'!$C:$FB,77)</f>
        <v>-8</v>
      </c>
      <c r="G40" s="92">
        <f>VLOOKUP(A40,'Data Vlaue (Cr)'!C35:CB246,78,0)</f>
        <v>-1.6299999999999999E-2</v>
      </c>
      <c r="H40" s="91">
        <f>VLOOKUP($A40,'Data Vlaue (Cr)'!$C:$FB,91)</f>
        <v>265</v>
      </c>
      <c r="I40" s="91">
        <f>VLOOKUP($A40,'Data Vlaue (Cr)'!$C:$FB,93)</f>
        <v>14</v>
      </c>
      <c r="J40" s="92">
        <f>VLOOKUP($A40,'Data Vlaue (Cr)'!$C:$FB,94)</f>
        <v>5.6500000000000002E-2</v>
      </c>
      <c r="K40" s="91">
        <f>VLOOKUP($A40,'Data Vlaue (Cr)'!$C:$FB,95)</f>
        <v>142</v>
      </c>
      <c r="L40" s="91">
        <f>VLOOKUP($A40,'Data Vlaue (Cr)'!$C:$FB,97)</f>
        <v>6</v>
      </c>
      <c r="M40" s="92">
        <f>VLOOKUP($A40,'Data Vlaue (Cr)'!$C:$FB,98)</f>
        <v>4.6800000000000001E-2</v>
      </c>
      <c r="N40" s="91">
        <f>VLOOKUP($A40,'Data Vlaue (Cr)'!$C:$FB,79)</f>
        <v>447</v>
      </c>
      <c r="O40" s="92">
        <f>VLOOKUP($A40,'Data Vlaue (Cr)'!$C:$FB,82)</f>
        <v>-1.8100000000000002E-2</v>
      </c>
    </row>
    <row r="41" spans="1:15" x14ac:dyDescent="0.25">
      <c r="A41" s="97" t="str">
        <f>'Data Vlaue (Cr)'!C36</f>
        <v>BOSCHLTD</v>
      </c>
      <c r="B41" s="142">
        <f>VLOOKUP(A41,'Data Vlaue (Cr)'!C36:CW247,99,0)</f>
        <v>1893</v>
      </c>
      <c r="C41" s="90">
        <f>VLOOKUP(A41,'Data Vlaue (Cr)'!C36:CY247,101,0)</f>
        <v>49</v>
      </c>
      <c r="D41" s="139">
        <f>VLOOKUP(A41,'Data Vlaue (Cr)'!C36:CZ247,102,0)</f>
        <v>2.6499999999999999E-2</v>
      </c>
      <c r="E41" s="91">
        <f>VLOOKUP($A41,'Data Vlaue (Cr)'!$C:$FB,75)</f>
        <v>689</v>
      </c>
      <c r="F41" s="91">
        <f>VLOOKUP($A41,'Data Vlaue (Cr)'!$C:$FB,77)</f>
        <v>8</v>
      </c>
      <c r="G41" s="92">
        <f>VLOOKUP(A41,'Data Vlaue (Cr)'!C36:CB247,78,0)</f>
        <v>1.2500000000000001E-2</v>
      </c>
      <c r="H41" s="91">
        <f>VLOOKUP($A41,'Data Vlaue (Cr)'!$C:$FB,91)</f>
        <v>758</v>
      </c>
      <c r="I41" s="91">
        <f>VLOOKUP($A41,'Data Vlaue (Cr)'!$C:$FB,93)</f>
        <v>33</v>
      </c>
      <c r="J41" s="92">
        <f>VLOOKUP($A41,'Data Vlaue (Cr)'!$C:$FB,94)</f>
        <v>4.4999999999999998E-2</v>
      </c>
      <c r="K41" s="91">
        <f>VLOOKUP($A41,'Data Vlaue (Cr)'!$C:$FB,95)</f>
        <v>446</v>
      </c>
      <c r="L41" s="91">
        <f>VLOOKUP($A41,'Data Vlaue (Cr)'!$C:$FB,97)</f>
        <v>8</v>
      </c>
      <c r="M41" s="92">
        <f>VLOOKUP($A41,'Data Vlaue (Cr)'!$C:$FB,98)</f>
        <v>1.78E-2</v>
      </c>
      <c r="N41" s="91">
        <f>VLOOKUP($A41,'Data Vlaue (Cr)'!$C:$FB,79)</f>
        <v>664</v>
      </c>
      <c r="O41" s="92">
        <f>VLOOKUP($A41,'Data Vlaue (Cr)'!$C:$FB,82)</f>
        <v>1.03E-2</v>
      </c>
    </row>
    <row r="42" spans="1:15" x14ac:dyDescent="0.25">
      <c r="A42" s="97" t="str">
        <f>'Data Vlaue (Cr)'!C37</f>
        <v>BPCL</v>
      </c>
      <c r="B42" s="142">
        <f>VLOOKUP(A42,'Data Vlaue (Cr)'!C37:CW248,99,0)</f>
        <v>2949</v>
      </c>
      <c r="C42" s="90">
        <f>VLOOKUP(A42,'Data Vlaue (Cr)'!C37:CY248,101,0)</f>
        <v>53</v>
      </c>
      <c r="D42" s="139">
        <f>VLOOKUP(A42,'Data Vlaue (Cr)'!C37:CZ248,102,0)</f>
        <v>1.84E-2</v>
      </c>
      <c r="E42" s="91">
        <f>VLOOKUP($A42,'Data Vlaue (Cr)'!$C:$FB,75)</f>
        <v>1532</v>
      </c>
      <c r="F42" s="91">
        <f>VLOOKUP($A42,'Data Vlaue (Cr)'!$C:$FB,77)</f>
        <v>11</v>
      </c>
      <c r="G42" s="92">
        <f>VLOOKUP(A42,'Data Vlaue (Cr)'!C37:CB248,78,0)</f>
        <v>7.1000000000000004E-3</v>
      </c>
      <c r="H42" s="91">
        <f>VLOOKUP($A42,'Data Vlaue (Cr)'!$C:$FB,91)</f>
        <v>793</v>
      </c>
      <c r="I42" s="91">
        <f>VLOOKUP($A42,'Data Vlaue (Cr)'!$C:$FB,93)</f>
        <v>11</v>
      </c>
      <c r="J42" s="92">
        <f>VLOOKUP($A42,'Data Vlaue (Cr)'!$C:$FB,94)</f>
        <v>1.3599999999999999E-2</v>
      </c>
      <c r="K42" s="91">
        <f>VLOOKUP($A42,'Data Vlaue (Cr)'!$C:$FB,95)</f>
        <v>624</v>
      </c>
      <c r="L42" s="91">
        <f>VLOOKUP($A42,'Data Vlaue (Cr)'!$C:$FB,97)</f>
        <v>32</v>
      </c>
      <c r="M42" s="92">
        <f>VLOOKUP($A42,'Data Vlaue (Cr)'!$C:$FB,98)</f>
        <v>5.3800000000000001E-2</v>
      </c>
      <c r="N42" s="91">
        <f>VLOOKUP($A42,'Data Vlaue (Cr)'!$C:$FB,79)</f>
        <v>1488</v>
      </c>
      <c r="O42" s="92">
        <f>VLOOKUP($A42,'Data Vlaue (Cr)'!$C:$FB,82)</f>
        <v>5.4999999999999997E-3</v>
      </c>
    </row>
    <row r="43" spans="1:15" x14ac:dyDescent="0.25">
      <c r="A43" s="97" t="str">
        <f>'Data Vlaue (Cr)'!C38</f>
        <v>BRITANNIA</v>
      </c>
      <c r="B43" s="142">
        <f>VLOOKUP(A43,'Data Vlaue (Cr)'!C38:CW249,99,0)</f>
        <v>2349</v>
      </c>
      <c r="C43" s="90">
        <f>VLOOKUP(A43,'Data Vlaue (Cr)'!C38:CY249,101,0)</f>
        <v>-105</v>
      </c>
      <c r="D43" s="139">
        <f>VLOOKUP(A43,'Data Vlaue (Cr)'!C38:CZ249,102,0)</f>
        <v>-4.2799999999999998E-2</v>
      </c>
      <c r="E43" s="91">
        <f>VLOOKUP($A43,'Data Vlaue (Cr)'!$C:$FB,75)</f>
        <v>1646</v>
      </c>
      <c r="F43" s="91">
        <f>VLOOKUP($A43,'Data Vlaue (Cr)'!$C:$FB,77)</f>
        <v>-154</v>
      </c>
      <c r="G43" s="92">
        <f>VLOOKUP(A43,'Data Vlaue (Cr)'!C38:CB249,78,0)</f>
        <v>-8.5599999999999996E-2</v>
      </c>
      <c r="H43" s="91">
        <f>VLOOKUP($A43,'Data Vlaue (Cr)'!$C:$FB,91)</f>
        <v>460</v>
      </c>
      <c r="I43" s="91">
        <f>VLOOKUP($A43,'Data Vlaue (Cr)'!$C:$FB,93)</f>
        <v>38</v>
      </c>
      <c r="J43" s="92">
        <f>VLOOKUP($A43,'Data Vlaue (Cr)'!$C:$FB,94)</f>
        <v>0.09</v>
      </c>
      <c r="K43" s="91">
        <f>VLOOKUP($A43,'Data Vlaue (Cr)'!$C:$FB,95)</f>
        <v>243</v>
      </c>
      <c r="L43" s="91">
        <f>VLOOKUP($A43,'Data Vlaue (Cr)'!$C:$FB,97)</f>
        <v>11</v>
      </c>
      <c r="M43" s="92">
        <f>VLOOKUP($A43,'Data Vlaue (Cr)'!$C:$FB,98)</f>
        <v>4.8099999999999997E-2</v>
      </c>
      <c r="N43" s="91">
        <f>VLOOKUP($A43,'Data Vlaue (Cr)'!$C:$FB,79)</f>
        <v>1631</v>
      </c>
      <c r="O43" s="92">
        <f>VLOOKUP($A43,'Data Vlaue (Cr)'!$C:$FB,82)</f>
        <v>-8.7900000000000006E-2</v>
      </c>
    </row>
    <row r="44" spans="1:15" x14ac:dyDescent="0.25">
      <c r="A44" s="97" t="str">
        <f>'Data Vlaue (Cr)'!C39</f>
        <v>BSE</v>
      </c>
      <c r="B44" s="142">
        <f>VLOOKUP(A44,'Data Vlaue (Cr)'!C39:CW250,99,0)</f>
        <v>5924</v>
      </c>
      <c r="C44" s="90">
        <f>VLOOKUP(A44,'Data Vlaue (Cr)'!C39:CY250,101,0)</f>
        <v>92</v>
      </c>
      <c r="D44" s="139">
        <f>VLOOKUP(A44,'Data Vlaue (Cr)'!C39:CZ250,102,0)</f>
        <v>1.5699999999999999E-2</v>
      </c>
      <c r="E44" s="91">
        <f>VLOOKUP($A44,'Data Vlaue (Cr)'!$C:$FB,75)</f>
        <v>2322</v>
      </c>
      <c r="F44" s="91">
        <f>VLOOKUP($A44,'Data Vlaue (Cr)'!$C:$FB,77)</f>
        <v>22</v>
      </c>
      <c r="G44" s="92">
        <f>VLOOKUP(A44,'Data Vlaue (Cr)'!C39:CB250,78,0)</f>
        <v>9.4000000000000004E-3</v>
      </c>
      <c r="H44" s="91">
        <f>VLOOKUP($A44,'Data Vlaue (Cr)'!$C:$FB,91)</f>
        <v>1955</v>
      </c>
      <c r="I44" s="91">
        <f>VLOOKUP($A44,'Data Vlaue (Cr)'!$C:$FB,93)</f>
        <v>35</v>
      </c>
      <c r="J44" s="92">
        <f>VLOOKUP($A44,'Data Vlaue (Cr)'!$C:$FB,94)</f>
        <v>1.84E-2</v>
      </c>
      <c r="K44" s="91">
        <f>VLOOKUP($A44,'Data Vlaue (Cr)'!$C:$FB,95)</f>
        <v>1646</v>
      </c>
      <c r="L44" s="91">
        <f>VLOOKUP($A44,'Data Vlaue (Cr)'!$C:$FB,97)</f>
        <v>35</v>
      </c>
      <c r="M44" s="92">
        <f>VLOOKUP($A44,'Data Vlaue (Cr)'!$C:$FB,98)</f>
        <v>2.1499999999999998E-2</v>
      </c>
      <c r="N44" s="91">
        <f>VLOOKUP($A44,'Data Vlaue (Cr)'!$C:$FB,79)</f>
        <v>2119</v>
      </c>
      <c r="O44" s="92">
        <f>VLOOKUP($A44,'Data Vlaue (Cr)'!$C:$FB,82)</f>
        <v>8.3999999999999995E-3</v>
      </c>
    </row>
    <row r="45" spans="1:15" x14ac:dyDescent="0.25">
      <c r="A45" s="97" t="str">
        <f>'Data Vlaue (Cr)'!C40</f>
        <v>CAMS</v>
      </c>
      <c r="B45" s="142">
        <f>VLOOKUP(A45,'Data Vlaue (Cr)'!C40:CW251,99,0)</f>
        <v>868</v>
      </c>
      <c r="C45" s="90">
        <f>VLOOKUP(A45,'Data Vlaue (Cr)'!C40:CY251,101,0)</f>
        <v>10</v>
      </c>
      <c r="D45" s="139">
        <f>VLOOKUP(A45,'Data Vlaue (Cr)'!C40:CZ251,102,0)</f>
        <v>1.1299999999999999E-2</v>
      </c>
      <c r="E45" s="91">
        <f>VLOOKUP($A45,'Data Vlaue (Cr)'!$C:$FB,75)</f>
        <v>433</v>
      </c>
      <c r="F45" s="91">
        <f>VLOOKUP($A45,'Data Vlaue (Cr)'!$C:$FB,77)</f>
        <v>-16</v>
      </c>
      <c r="G45" s="92">
        <f>VLOOKUP(A45,'Data Vlaue (Cr)'!C40:CB251,78,0)</f>
        <v>-3.6200000000000003E-2</v>
      </c>
      <c r="H45" s="91">
        <f>VLOOKUP($A45,'Data Vlaue (Cr)'!$C:$FB,91)</f>
        <v>242</v>
      </c>
      <c r="I45" s="91">
        <f>VLOOKUP($A45,'Data Vlaue (Cr)'!$C:$FB,93)</f>
        <v>23</v>
      </c>
      <c r="J45" s="92">
        <f>VLOOKUP($A45,'Data Vlaue (Cr)'!$C:$FB,94)</f>
        <v>0.1072</v>
      </c>
      <c r="K45" s="91">
        <f>VLOOKUP($A45,'Data Vlaue (Cr)'!$C:$FB,95)</f>
        <v>193</v>
      </c>
      <c r="L45" s="91">
        <f>VLOOKUP($A45,'Data Vlaue (Cr)'!$C:$FB,97)</f>
        <v>3</v>
      </c>
      <c r="M45" s="92">
        <f>VLOOKUP($A45,'Data Vlaue (Cr)'!$C:$FB,98)</f>
        <v>1.3299999999999999E-2</v>
      </c>
      <c r="N45" s="91">
        <f>VLOOKUP($A45,'Data Vlaue (Cr)'!$C:$FB,79)</f>
        <v>401</v>
      </c>
      <c r="O45" s="92">
        <f>VLOOKUP($A45,'Data Vlaue (Cr)'!$C:$FB,82)</f>
        <v>-4.4299999999999999E-2</v>
      </c>
    </row>
    <row r="46" spans="1:15" x14ac:dyDescent="0.25">
      <c r="A46" s="97" t="str">
        <f>'Data Vlaue (Cr)'!C41</f>
        <v>CANBK</v>
      </c>
      <c r="B46" s="142">
        <f>VLOOKUP(A46,'Data Vlaue (Cr)'!C41:CW252,99,0)</f>
        <v>5281</v>
      </c>
      <c r="C46" s="90">
        <f>VLOOKUP(A46,'Data Vlaue (Cr)'!C41:CY252,101,0)</f>
        <v>100</v>
      </c>
      <c r="D46" s="139">
        <f>VLOOKUP(A46,'Data Vlaue (Cr)'!C41:CZ252,102,0)</f>
        <v>1.9300000000000001E-2</v>
      </c>
      <c r="E46" s="91">
        <f>VLOOKUP($A46,'Data Vlaue (Cr)'!$C:$FB,75)</f>
        <v>2601</v>
      </c>
      <c r="F46" s="91">
        <f>VLOOKUP($A46,'Data Vlaue (Cr)'!$C:$FB,77)</f>
        <v>13</v>
      </c>
      <c r="G46" s="92">
        <f>VLOOKUP(A46,'Data Vlaue (Cr)'!C41:CB252,78,0)</f>
        <v>4.8999999999999998E-3</v>
      </c>
      <c r="H46" s="91">
        <f>VLOOKUP($A46,'Data Vlaue (Cr)'!$C:$FB,91)</f>
        <v>1528</v>
      </c>
      <c r="I46" s="91">
        <f>VLOOKUP($A46,'Data Vlaue (Cr)'!$C:$FB,93)</f>
        <v>21</v>
      </c>
      <c r="J46" s="92">
        <f>VLOOKUP($A46,'Data Vlaue (Cr)'!$C:$FB,94)</f>
        <v>1.4E-2</v>
      </c>
      <c r="K46" s="91">
        <f>VLOOKUP($A46,'Data Vlaue (Cr)'!$C:$FB,95)</f>
        <v>1152</v>
      </c>
      <c r="L46" s="91">
        <f>VLOOKUP($A46,'Data Vlaue (Cr)'!$C:$FB,97)</f>
        <v>66</v>
      </c>
      <c r="M46" s="92">
        <f>VLOOKUP($A46,'Data Vlaue (Cr)'!$C:$FB,98)</f>
        <v>6.0999999999999999E-2</v>
      </c>
      <c r="N46" s="91">
        <f>VLOOKUP($A46,'Data Vlaue (Cr)'!$C:$FB,79)</f>
        <v>2398</v>
      </c>
      <c r="O46" s="92">
        <f>VLOOKUP($A46,'Data Vlaue (Cr)'!$C:$FB,82)</f>
        <v>-2.0000000000000001E-4</v>
      </c>
    </row>
    <row r="47" spans="1:15" x14ac:dyDescent="0.25">
      <c r="A47" s="97" t="str">
        <f>'Data Vlaue (Cr)'!C42</f>
        <v>CDSL</v>
      </c>
      <c r="B47" s="142">
        <f>VLOOKUP(A47,'Data Vlaue (Cr)'!C42:CW253,99,0)</f>
        <v>2912</v>
      </c>
      <c r="C47" s="90">
        <f>VLOOKUP(A47,'Data Vlaue (Cr)'!C42:CY253,101,0)</f>
        <v>107</v>
      </c>
      <c r="D47" s="139">
        <f>VLOOKUP(A47,'Data Vlaue (Cr)'!C42:CZ253,102,0)</f>
        <v>3.8300000000000001E-2</v>
      </c>
      <c r="E47" s="91">
        <f>VLOOKUP($A47,'Data Vlaue (Cr)'!$C:$FB,75)</f>
        <v>1467</v>
      </c>
      <c r="F47" s="91">
        <f>VLOOKUP($A47,'Data Vlaue (Cr)'!$C:$FB,77)</f>
        <v>75</v>
      </c>
      <c r="G47" s="92">
        <f>VLOOKUP(A47,'Data Vlaue (Cr)'!C42:CB253,78,0)</f>
        <v>5.3600000000000002E-2</v>
      </c>
      <c r="H47" s="91">
        <f>VLOOKUP($A47,'Data Vlaue (Cr)'!$C:$FB,91)</f>
        <v>839</v>
      </c>
      <c r="I47" s="91">
        <f>VLOOKUP($A47,'Data Vlaue (Cr)'!$C:$FB,93)</f>
        <v>36</v>
      </c>
      <c r="J47" s="92">
        <f>VLOOKUP($A47,'Data Vlaue (Cr)'!$C:$FB,94)</f>
        <v>4.5100000000000001E-2</v>
      </c>
      <c r="K47" s="91">
        <f>VLOOKUP($A47,'Data Vlaue (Cr)'!$C:$FB,95)</f>
        <v>605</v>
      </c>
      <c r="L47" s="91">
        <f>VLOOKUP($A47,'Data Vlaue (Cr)'!$C:$FB,97)</f>
        <v>-4</v>
      </c>
      <c r="M47" s="92">
        <f>VLOOKUP($A47,'Data Vlaue (Cr)'!$C:$FB,98)</f>
        <v>-5.8999999999999999E-3</v>
      </c>
      <c r="N47" s="91">
        <f>VLOOKUP($A47,'Data Vlaue (Cr)'!$C:$FB,79)</f>
        <v>1234</v>
      </c>
      <c r="O47" s="92">
        <f>VLOOKUP($A47,'Data Vlaue (Cr)'!$C:$FB,82)</f>
        <v>3.8300000000000001E-2</v>
      </c>
    </row>
    <row r="48" spans="1:15" x14ac:dyDescent="0.25">
      <c r="A48" s="97" t="str">
        <f>'Data Vlaue (Cr)'!C43</f>
        <v>CGPOWER</v>
      </c>
      <c r="B48" s="142">
        <f>VLOOKUP(A48,'Data Vlaue (Cr)'!C43:CW254,99,0)</f>
        <v>1909</v>
      </c>
      <c r="C48" s="90">
        <f>VLOOKUP(A48,'Data Vlaue (Cr)'!C43:CY254,101,0)</f>
        <v>121</v>
      </c>
      <c r="D48" s="139">
        <f>VLOOKUP(A48,'Data Vlaue (Cr)'!C43:CZ254,102,0)</f>
        <v>6.7799999999999999E-2</v>
      </c>
      <c r="E48" s="91">
        <f>VLOOKUP($A48,'Data Vlaue (Cr)'!$C:$FB,75)</f>
        <v>1281</v>
      </c>
      <c r="F48" s="91">
        <f>VLOOKUP($A48,'Data Vlaue (Cr)'!$C:$FB,77)</f>
        <v>40</v>
      </c>
      <c r="G48" s="92">
        <f>VLOOKUP(A48,'Data Vlaue (Cr)'!C43:CB254,78,0)</f>
        <v>3.2399999999999998E-2</v>
      </c>
      <c r="H48" s="91">
        <f>VLOOKUP($A48,'Data Vlaue (Cr)'!$C:$FB,91)</f>
        <v>379</v>
      </c>
      <c r="I48" s="91">
        <f>VLOOKUP($A48,'Data Vlaue (Cr)'!$C:$FB,93)</f>
        <v>54</v>
      </c>
      <c r="J48" s="92">
        <f>VLOOKUP($A48,'Data Vlaue (Cr)'!$C:$FB,94)</f>
        <v>0.16789999999999999</v>
      </c>
      <c r="K48" s="91">
        <f>VLOOKUP($A48,'Data Vlaue (Cr)'!$C:$FB,95)</f>
        <v>250</v>
      </c>
      <c r="L48" s="91">
        <f>VLOOKUP($A48,'Data Vlaue (Cr)'!$C:$FB,97)</f>
        <v>27</v>
      </c>
      <c r="M48" s="92">
        <f>VLOOKUP($A48,'Data Vlaue (Cr)'!$C:$FB,98)</f>
        <v>0.1188</v>
      </c>
      <c r="N48" s="91">
        <f>VLOOKUP($A48,'Data Vlaue (Cr)'!$C:$FB,79)</f>
        <v>1260</v>
      </c>
      <c r="O48" s="92">
        <f>VLOOKUP($A48,'Data Vlaue (Cr)'!$C:$FB,82)</f>
        <v>3.1399999999999997E-2</v>
      </c>
    </row>
    <row r="49" spans="1:15" x14ac:dyDescent="0.25">
      <c r="A49" s="97" t="str">
        <f>'Data Vlaue (Cr)'!C44</f>
        <v>CHOLAFIN</v>
      </c>
      <c r="B49" s="142">
        <f>VLOOKUP(A49,'Data Vlaue (Cr)'!C44:CW255,99,0)</f>
        <v>3769</v>
      </c>
      <c r="C49" s="90">
        <f>VLOOKUP(A49,'Data Vlaue (Cr)'!C44:CY255,101,0)</f>
        <v>130</v>
      </c>
      <c r="D49" s="139">
        <f>VLOOKUP(A49,'Data Vlaue (Cr)'!C44:CZ255,102,0)</f>
        <v>3.5700000000000003E-2</v>
      </c>
      <c r="E49" s="91">
        <f>VLOOKUP($A49,'Data Vlaue (Cr)'!$C:$FB,75)</f>
        <v>2628</v>
      </c>
      <c r="F49" s="91">
        <f>VLOOKUP($A49,'Data Vlaue (Cr)'!$C:$FB,77)</f>
        <v>73</v>
      </c>
      <c r="G49" s="92">
        <f>VLOOKUP(A49,'Data Vlaue (Cr)'!C44:CB255,78,0)</f>
        <v>2.8400000000000002E-2</v>
      </c>
      <c r="H49" s="91">
        <f>VLOOKUP($A49,'Data Vlaue (Cr)'!$C:$FB,91)</f>
        <v>645</v>
      </c>
      <c r="I49" s="91">
        <f>VLOOKUP($A49,'Data Vlaue (Cr)'!$C:$FB,93)</f>
        <v>61</v>
      </c>
      <c r="J49" s="92">
        <f>VLOOKUP($A49,'Data Vlaue (Cr)'!$C:$FB,94)</f>
        <v>0.1036</v>
      </c>
      <c r="K49" s="91">
        <f>VLOOKUP($A49,'Data Vlaue (Cr)'!$C:$FB,95)</f>
        <v>496</v>
      </c>
      <c r="L49" s="91">
        <f>VLOOKUP($A49,'Data Vlaue (Cr)'!$C:$FB,97)</f>
        <v>-3</v>
      </c>
      <c r="M49" s="92">
        <f>VLOOKUP($A49,'Data Vlaue (Cr)'!$C:$FB,98)</f>
        <v>-6.7000000000000002E-3</v>
      </c>
      <c r="N49" s="91">
        <f>VLOOKUP($A49,'Data Vlaue (Cr)'!$C:$FB,79)</f>
        <v>2594</v>
      </c>
      <c r="O49" s="92">
        <f>VLOOKUP($A49,'Data Vlaue (Cr)'!$C:$FB,82)</f>
        <v>2.6200000000000001E-2</v>
      </c>
    </row>
    <row r="50" spans="1:15" x14ac:dyDescent="0.25">
      <c r="A50" s="97" t="str">
        <f>'Data Vlaue (Cr)'!C45</f>
        <v>CIPLA</v>
      </c>
      <c r="B50" s="142">
        <f>VLOOKUP(A50,'Data Vlaue (Cr)'!C45:CW256,99,0)</f>
        <v>3285</v>
      </c>
      <c r="C50" s="90">
        <f>VLOOKUP(A50,'Data Vlaue (Cr)'!C45:CY256,101,0)</f>
        <v>144</v>
      </c>
      <c r="D50" s="139">
        <f>VLOOKUP(A50,'Data Vlaue (Cr)'!C45:CZ256,102,0)</f>
        <v>4.5699999999999998E-2</v>
      </c>
      <c r="E50" s="91">
        <f>VLOOKUP($A50,'Data Vlaue (Cr)'!$C:$FB,75)</f>
        <v>1729</v>
      </c>
      <c r="F50" s="91">
        <f>VLOOKUP($A50,'Data Vlaue (Cr)'!$C:$FB,77)</f>
        <v>-2</v>
      </c>
      <c r="G50" s="92">
        <f>VLOOKUP(A50,'Data Vlaue (Cr)'!C45:CB256,78,0)</f>
        <v>-1.4E-3</v>
      </c>
      <c r="H50" s="91">
        <f>VLOOKUP($A50,'Data Vlaue (Cr)'!$C:$FB,91)</f>
        <v>1104</v>
      </c>
      <c r="I50" s="91">
        <f>VLOOKUP($A50,'Data Vlaue (Cr)'!$C:$FB,93)</f>
        <v>112</v>
      </c>
      <c r="J50" s="92">
        <f>VLOOKUP($A50,'Data Vlaue (Cr)'!$C:$FB,94)</f>
        <v>0.1129</v>
      </c>
      <c r="K50" s="91">
        <f>VLOOKUP($A50,'Data Vlaue (Cr)'!$C:$FB,95)</f>
        <v>453</v>
      </c>
      <c r="L50" s="91">
        <f>VLOOKUP($A50,'Data Vlaue (Cr)'!$C:$FB,97)</f>
        <v>34</v>
      </c>
      <c r="M50" s="92">
        <f>VLOOKUP($A50,'Data Vlaue (Cr)'!$C:$FB,98)</f>
        <v>8.1100000000000005E-2</v>
      </c>
      <c r="N50" s="91">
        <f>VLOOKUP($A50,'Data Vlaue (Cr)'!$C:$FB,79)</f>
        <v>1689</v>
      </c>
      <c r="O50" s="92">
        <f>VLOOKUP($A50,'Data Vlaue (Cr)'!$C:$FB,82)</f>
        <v>-6.0000000000000001E-3</v>
      </c>
    </row>
    <row r="51" spans="1:15" x14ac:dyDescent="0.25">
      <c r="A51" s="97" t="str">
        <f>'Data Vlaue (Cr)'!C46</f>
        <v>COALINDIA</v>
      </c>
      <c r="B51" s="142">
        <f>VLOOKUP(A51,'Data Vlaue (Cr)'!C46:CW257,99,0)</f>
        <v>5342</v>
      </c>
      <c r="C51" s="90">
        <f>VLOOKUP(A51,'Data Vlaue (Cr)'!C46:CY257,101,0)</f>
        <v>503</v>
      </c>
      <c r="D51" s="139">
        <f>VLOOKUP(A51,'Data Vlaue (Cr)'!C46:CZ257,102,0)</f>
        <v>0.104</v>
      </c>
      <c r="E51" s="91">
        <f>VLOOKUP($A51,'Data Vlaue (Cr)'!$C:$FB,75)</f>
        <v>2308</v>
      </c>
      <c r="F51" s="91">
        <f>VLOOKUP($A51,'Data Vlaue (Cr)'!$C:$FB,77)</f>
        <v>114</v>
      </c>
      <c r="G51" s="92">
        <f>VLOOKUP(A51,'Data Vlaue (Cr)'!C46:CB257,78,0)</f>
        <v>5.21E-2</v>
      </c>
      <c r="H51" s="91">
        <f>VLOOKUP($A51,'Data Vlaue (Cr)'!$C:$FB,91)</f>
        <v>1745</v>
      </c>
      <c r="I51" s="91">
        <f>VLOOKUP($A51,'Data Vlaue (Cr)'!$C:$FB,93)</f>
        <v>142</v>
      </c>
      <c r="J51" s="92">
        <f>VLOOKUP($A51,'Data Vlaue (Cr)'!$C:$FB,94)</f>
        <v>8.8400000000000006E-2</v>
      </c>
      <c r="K51" s="91">
        <f>VLOOKUP($A51,'Data Vlaue (Cr)'!$C:$FB,95)</f>
        <v>1289</v>
      </c>
      <c r="L51" s="91">
        <f>VLOOKUP($A51,'Data Vlaue (Cr)'!$C:$FB,97)</f>
        <v>247</v>
      </c>
      <c r="M51" s="92">
        <f>VLOOKUP($A51,'Data Vlaue (Cr)'!$C:$FB,98)</f>
        <v>0.23730000000000001</v>
      </c>
      <c r="N51" s="91">
        <f>VLOOKUP($A51,'Data Vlaue (Cr)'!$C:$FB,79)</f>
        <v>2044</v>
      </c>
      <c r="O51" s="92">
        <f>VLOOKUP($A51,'Data Vlaue (Cr)'!$C:$FB,82)</f>
        <v>5.4899999999999997E-2</v>
      </c>
    </row>
    <row r="52" spans="1:15" x14ac:dyDescent="0.25">
      <c r="A52" s="97" t="str">
        <f>'Data Vlaue (Cr)'!C47</f>
        <v>COFORGE</v>
      </c>
      <c r="B52" s="142">
        <f>VLOOKUP(A52,'Data Vlaue (Cr)'!C47:CW258,99,0)</f>
        <v>5050</v>
      </c>
      <c r="C52" s="90">
        <f>VLOOKUP(A52,'Data Vlaue (Cr)'!C47:CY258,101,0)</f>
        <v>105</v>
      </c>
      <c r="D52" s="139">
        <f>VLOOKUP(A52,'Data Vlaue (Cr)'!C47:CZ258,102,0)</f>
        <v>2.12E-2</v>
      </c>
      <c r="E52" s="91">
        <f>VLOOKUP($A52,'Data Vlaue (Cr)'!$C:$FB,75)</f>
        <v>3001</v>
      </c>
      <c r="F52" s="91">
        <f>VLOOKUP($A52,'Data Vlaue (Cr)'!$C:$FB,77)</f>
        <v>21</v>
      </c>
      <c r="G52" s="92">
        <f>VLOOKUP(A52,'Data Vlaue (Cr)'!C47:CB258,78,0)</f>
        <v>7.1000000000000004E-3</v>
      </c>
      <c r="H52" s="91">
        <f>VLOOKUP($A52,'Data Vlaue (Cr)'!$C:$FB,91)</f>
        <v>1491</v>
      </c>
      <c r="I52" s="91">
        <f>VLOOKUP($A52,'Data Vlaue (Cr)'!$C:$FB,93)</f>
        <v>59</v>
      </c>
      <c r="J52" s="92">
        <f>VLOOKUP($A52,'Data Vlaue (Cr)'!$C:$FB,94)</f>
        <v>4.1399999999999999E-2</v>
      </c>
      <c r="K52" s="91">
        <f>VLOOKUP($A52,'Data Vlaue (Cr)'!$C:$FB,95)</f>
        <v>558</v>
      </c>
      <c r="L52" s="91">
        <f>VLOOKUP($A52,'Data Vlaue (Cr)'!$C:$FB,97)</f>
        <v>24</v>
      </c>
      <c r="M52" s="92">
        <f>VLOOKUP($A52,'Data Vlaue (Cr)'!$C:$FB,98)</f>
        <v>4.5699999999999998E-2</v>
      </c>
      <c r="N52" s="91">
        <f>VLOOKUP($A52,'Data Vlaue (Cr)'!$C:$FB,79)</f>
        <v>2847</v>
      </c>
      <c r="O52" s="92">
        <f>VLOOKUP($A52,'Data Vlaue (Cr)'!$C:$FB,82)</f>
        <v>6.4000000000000003E-3</v>
      </c>
    </row>
    <row r="53" spans="1:15" x14ac:dyDescent="0.25">
      <c r="A53" s="97" t="str">
        <f>'Data Vlaue (Cr)'!C48</f>
        <v>COLPAL</v>
      </c>
      <c r="B53" s="142">
        <f>VLOOKUP(A53,'Data Vlaue (Cr)'!C48:CW259,99,0)</f>
        <v>2647</v>
      </c>
      <c r="C53" s="90">
        <f>VLOOKUP(A53,'Data Vlaue (Cr)'!C48:CY259,101,0)</f>
        <v>235</v>
      </c>
      <c r="D53" s="139">
        <f>VLOOKUP(A53,'Data Vlaue (Cr)'!C48:CZ259,102,0)</f>
        <v>9.7299999999999998E-2</v>
      </c>
      <c r="E53" s="91">
        <f>VLOOKUP($A53,'Data Vlaue (Cr)'!$C:$FB,75)</f>
        <v>1303</v>
      </c>
      <c r="F53" s="91">
        <f>VLOOKUP($A53,'Data Vlaue (Cr)'!$C:$FB,77)</f>
        <v>69</v>
      </c>
      <c r="G53" s="92">
        <f>VLOOKUP(A53,'Data Vlaue (Cr)'!C48:CB259,78,0)</f>
        <v>5.5599999999999997E-2</v>
      </c>
      <c r="H53" s="91">
        <f>VLOOKUP($A53,'Data Vlaue (Cr)'!$C:$FB,91)</f>
        <v>837</v>
      </c>
      <c r="I53" s="91">
        <f>VLOOKUP($A53,'Data Vlaue (Cr)'!$C:$FB,93)</f>
        <v>123</v>
      </c>
      <c r="J53" s="92">
        <f>VLOOKUP($A53,'Data Vlaue (Cr)'!$C:$FB,94)</f>
        <v>0.1726</v>
      </c>
      <c r="K53" s="91">
        <f>VLOOKUP($A53,'Data Vlaue (Cr)'!$C:$FB,95)</f>
        <v>506</v>
      </c>
      <c r="L53" s="91">
        <f>VLOOKUP($A53,'Data Vlaue (Cr)'!$C:$FB,97)</f>
        <v>43</v>
      </c>
      <c r="M53" s="92">
        <f>VLOOKUP($A53,'Data Vlaue (Cr)'!$C:$FB,98)</f>
        <v>9.2399999999999996E-2</v>
      </c>
      <c r="N53" s="91">
        <f>VLOOKUP($A53,'Data Vlaue (Cr)'!$C:$FB,79)</f>
        <v>1217</v>
      </c>
      <c r="O53" s="92">
        <f>VLOOKUP($A53,'Data Vlaue (Cr)'!$C:$FB,82)</f>
        <v>3.8699999999999998E-2</v>
      </c>
    </row>
    <row r="54" spans="1:15" x14ac:dyDescent="0.25">
      <c r="A54" s="97" t="str">
        <f>'Data Vlaue (Cr)'!C49</f>
        <v>CONCOR</v>
      </c>
      <c r="B54" s="142">
        <f>VLOOKUP(A54,'Data Vlaue (Cr)'!C49:CW260,99,0)</f>
        <v>2228</v>
      </c>
      <c r="C54" s="90">
        <f>VLOOKUP(A54,'Data Vlaue (Cr)'!C49:CY260,101,0)</f>
        <v>38</v>
      </c>
      <c r="D54" s="139">
        <f>VLOOKUP(A54,'Data Vlaue (Cr)'!C49:CZ260,102,0)</f>
        <v>1.7299999999999999E-2</v>
      </c>
      <c r="E54" s="91">
        <f>VLOOKUP($A54,'Data Vlaue (Cr)'!$C:$FB,75)</f>
        <v>1381</v>
      </c>
      <c r="F54" s="91">
        <f>VLOOKUP($A54,'Data Vlaue (Cr)'!$C:$FB,77)</f>
        <v>27</v>
      </c>
      <c r="G54" s="92">
        <f>VLOOKUP(A54,'Data Vlaue (Cr)'!C49:CB260,78,0)</f>
        <v>2.01E-2</v>
      </c>
      <c r="H54" s="91">
        <f>VLOOKUP($A54,'Data Vlaue (Cr)'!$C:$FB,91)</f>
        <v>493</v>
      </c>
      <c r="I54" s="91">
        <f>VLOOKUP($A54,'Data Vlaue (Cr)'!$C:$FB,93)</f>
        <v>10</v>
      </c>
      <c r="J54" s="92">
        <f>VLOOKUP($A54,'Data Vlaue (Cr)'!$C:$FB,94)</f>
        <v>2.1000000000000001E-2</v>
      </c>
      <c r="K54" s="91">
        <f>VLOOKUP($A54,'Data Vlaue (Cr)'!$C:$FB,95)</f>
        <v>354</v>
      </c>
      <c r="L54" s="91">
        <f>VLOOKUP($A54,'Data Vlaue (Cr)'!$C:$FB,97)</f>
        <v>0</v>
      </c>
      <c r="M54" s="92">
        <f>VLOOKUP($A54,'Data Vlaue (Cr)'!$C:$FB,98)</f>
        <v>1.2999999999999999E-3</v>
      </c>
      <c r="N54" s="91">
        <f>VLOOKUP($A54,'Data Vlaue (Cr)'!$C:$FB,79)</f>
        <v>1306</v>
      </c>
      <c r="O54" s="92">
        <f>VLOOKUP($A54,'Data Vlaue (Cr)'!$C:$FB,82)</f>
        <v>1.6299999999999999E-2</v>
      </c>
    </row>
    <row r="55" spans="1:15" x14ac:dyDescent="0.25">
      <c r="A55" s="97" t="str">
        <f>'Data Vlaue (Cr)'!C50</f>
        <v>CROMPTON</v>
      </c>
      <c r="B55" s="142">
        <f>VLOOKUP(A55,'Data Vlaue (Cr)'!C50:CW261,99,0)</f>
        <v>1534</v>
      </c>
      <c r="C55" s="90">
        <f>VLOOKUP(A55,'Data Vlaue (Cr)'!C50:CY261,101,0)</f>
        <v>17</v>
      </c>
      <c r="D55" s="139">
        <f>VLOOKUP(A55,'Data Vlaue (Cr)'!C50:CZ261,102,0)</f>
        <v>1.12E-2</v>
      </c>
      <c r="E55" s="91">
        <f>VLOOKUP($A55,'Data Vlaue (Cr)'!$C:$FB,75)</f>
        <v>1162</v>
      </c>
      <c r="F55" s="91">
        <f>VLOOKUP($A55,'Data Vlaue (Cr)'!$C:$FB,77)</f>
        <v>1</v>
      </c>
      <c r="G55" s="92">
        <f>VLOOKUP(A55,'Data Vlaue (Cr)'!C50:CB261,78,0)</f>
        <v>8.0000000000000004E-4</v>
      </c>
      <c r="H55" s="91">
        <f>VLOOKUP($A55,'Data Vlaue (Cr)'!$C:$FB,91)</f>
        <v>244</v>
      </c>
      <c r="I55" s="91">
        <f>VLOOKUP($A55,'Data Vlaue (Cr)'!$C:$FB,93)</f>
        <v>12</v>
      </c>
      <c r="J55" s="92">
        <f>VLOOKUP($A55,'Data Vlaue (Cr)'!$C:$FB,94)</f>
        <v>5.1200000000000002E-2</v>
      </c>
      <c r="K55" s="91">
        <f>VLOOKUP($A55,'Data Vlaue (Cr)'!$C:$FB,95)</f>
        <v>128</v>
      </c>
      <c r="L55" s="91">
        <f>VLOOKUP($A55,'Data Vlaue (Cr)'!$C:$FB,97)</f>
        <v>4</v>
      </c>
      <c r="M55" s="92">
        <f>VLOOKUP($A55,'Data Vlaue (Cr)'!$C:$FB,98)</f>
        <v>3.3599999999999998E-2</v>
      </c>
      <c r="N55" s="91">
        <f>VLOOKUP($A55,'Data Vlaue (Cr)'!$C:$FB,79)</f>
        <v>1136</v>
      </c>
      <c r="O55" s="92">
        <f>VLOOKUP($A55,'Data Vlaue (Cr)'!$C:$FB,82)</f>
        <v>-8.9999999999999998E-4</v>
      </c>
    </row>
    <row r="56" spans="1:15" x14ac:dyDescent="0.25">
      <c r="A56" s="97" t="str">
        <f>'Data Vlaue (Cr)'!C51</f>
        <v>CUMMINSIND</v>
      </c>
      <c r="B56" s="142">
        <f>VLOOKUP(A56,'Data Vlaue (Cr)'!C51:CW262,99,0)</f>
        <v>2549</v>
      </c>
      <c r="C56" s="90">
        <f>VLOOKUP(A56,'Data Vlaue (Cr)'!C51:CY262,101,0)</f>
        <v>2</v>
      </c>
      <c r="D56" s="139">
        <f>VLOOKUP(A56,'Data Vlaue (Cr)'!C51:CZ262,102,0)</f>
        <v>6.9999999999999999E-4</v>
      </c>
      <c r="E56" s="91">
        <f>VLOOKUP($A56,'Data Vlaue (Cr)'!$C:$FB,75)</f>
        <v>1656</v>
      </c>
      <c r="F56" s="91">
        <f>VLOOKUP($A56,'Data Vlaue (Cr)'!$C:$FB,77)</f>
        <v>-5</v>
      </c>
      <c r="G56" s="92">
        <f>VLOOKUP(A56,'Data Vlaue (Cr)'!C51:CB262,78,0)</f>
        <v>-3.0000000000000001E-3</v>
      </c>
      <c r="H56" s="91">
        <f>VLOOKUP($A56,'Data Vlaue (Cr)'!$C:$FB,91)</f>
        <v>508</v>
      </c>
      <c r="I56" s="91">
        <f>VLOOKUP($A56,'Data Vlaue (Cr)'!$C:$FB,93)</f>
        <v>-15</v>
      </c>
      <c r="J56" s="92">
        <f>VLOOKUP($A56,'Data Vlaue (Cr)'!$C:$FB,94)</f>
        <v>-2.9100000000000001E-2</v>
      </c>
      <c r="K56" s="91">
        <f>VLOOKUP($A56,'Data Vlaue (Cr)'!$C:$FB,95)</f>
        <v>385</v>
      </c>
      <c r="L56" s="91">
        <f>VLOOKUP($A56,'Data Vlaue (Cr)'!$C:$FB,97)</f>
        <v>22</v>
      </c>
      <c r="M56" s="92">
        <f>VLOOKUP($A56,'Data Vlaue (Cr)'!$C:$FB,98)</f>
        <v>6.0400000000000002E-2</v>
      </c>
      <c r="N56" s="91">
        <f>VLOOKUP($A56,'Data Vlaue (Cr)'!$C:$FB,79)</f>
        <v>1633</v>
      </c>
      <c r="O56" s="92">
        <f>VLOOKUP($A56,'Data Vlaue (Cr)'!$C:$FB,82)</f>
        <v>-3.8999999999999998E-3</v>
      </c>
    </row>
    <row r="57" spans="1:15" x14ac:dyDescent="0.25">
      <c r="A57" s="97" t="str">
        <f>'Data Vlaue (Cr)'!C52</f>
        <v>DABUR</v>
      </c>
      <c r="B57" s="142">
        <f>VLOOKUP(A57,'Data Vlaue (Cr)'!C52:CW263,99,0)</f>
        <v>2006</v>
      </c>
      <c r="C57" s="90">
        <f>VLOOKUP(A57,'Data Vlaue (Cr)'!C52:CY263,101,0)</f>
        <v>81</v>
      </c>
      <c r="D57" s="139">
        <f>VLOOKUP(A57,'Data Vlaue (Cr)'!C52:CZ263,102,0)</f>
        <v>4.2200000000000001E-2</v>
      </c>
      <c r="E57" s="91">
        <f>VLOOKUP($A57,'Data Vlaue (Cr)'!$C:$FB,75)</f>
        <v>1191</v>
      </c>
      <c r="F57" s="91">
        <f>VLOOKUP($A57,'Data Vlaue (Cr)'!$C:$FB,77)</f>
        <v>20</v>
      </c>
      <c r="G57" s="92">
        <f>VLOOKUP(A57,'Data Vlaue (Cr)'!C52:CB263,78,0)</f>
        <v>1.7500000000000002E-2</v>
      </c>
      <c r="H57" s="91">
        <f>VLOOKUP($A57,'Data Vlaue (Cr)'!$C:$FB,91)</f>
        <v>528</v>
      </c>
      <c r="I57" s="91">
        <f>VLOOKUP($A57,'Data Vlaue (Cr)'!$C:$FB,93)</f>
        <v>45</v>
      </c>
      <c r="J57" s="92">
        <f>VLOOKUP($A57,'Data Vlaue (Cr)'!$C:$FB,94)</f>
        <v>9.2799999999999994E-2</v>
      </c>
      <c r="K57" s="91">
        <f>VLOOKUP($A57,'Data Vlaue (Cr)'!$C:$FB,95)</f>
        <v>286</v>
      </c>
      <c r="L57" s="91">
        <f>VLOOKUP($A57,'Data Vlaue (Cr)'!$C:$FB,97)</f>
        <v>16</v>
      </c>
      <c r="M57" s="92">
        <f>VLOOKUP($A57,'Data Vlaue (Cr)'!$C:$FB,98)</f>
        <v>5.8700000000000002E-2</v>
      </c>
      <c r="N57" s="91">
        <f>VLOOKUP($A57,'Data Vlaue (Cr)'!$C:$FB,79)</f>
        <v>1159</v>
      </c>
      <c r="O57" s="92">
        <f>VLOOKUP($A57,'Data Vlaue (Cr)'!$C:$FB,82)</f>
        <v>1.37E-2</v>
      </c>
    </row>
    <row r="58" spans="1:15" x14ac:dyDescent="0.25">
      <c r="A58" s="97" t="str">
        <f>'Data Vlaue (Cr)'!C53</f>
        <v>DALBHARAT</v>
      </c>
      <c r="B58" s="142">
        <f>VLOOKUP(A58,'Data Vlaue (Cr)'!C53:CW264,99,0)</f>
        <v>1070</v>
      </c>
      <c r="C58" s="90">
        <f>VLOOKUP(A58,'Data Vlaue (Cr)'!C53:CY264,101,0)</f>
        <v>112</v>
      </c>
      <c r="D58" s="139">
        <f>VLOOKUP(A58,'Data Vlaue (Cr)'!C53:CZ264,102,0)</f>
        <v>0.1164</v>
      </c>
      <c r="E58" s="91">
        <f>VLOOKUP($A58,'Data Vlaue (Cr)'!$C:$FB,75)</f>
        <v>431</v>
      </c>
      <c r="F58" s="91">
        <f>VLOOKUP($A58,'Data Vlaue (Cr)'!$C:$FB,77)</f>
        <v>-2</v>
      </c>
      <c r="G58" s="92">
        <f>VLOOKUP(A58,'Data Vlaue (Cr)'!C53:CB264,78,0)</f>
        <v>-4.5999999999999999E-3</v>
      </c>
      <c r="H58" s="91">
        <f>VLOOKUP($A58,'Data Vlaue (Cr)'!$C:$FB,91)</f>
        <v>273</v>
      </c>
      <c r="I58" s="91">
        <f>VLOOKUP($A58,'Data Vlaue (Cr)'!$C:$FB,93)</f>
        <v>34</v>
      </c>
      <c r="J58" s="92">
        <f>VLOOKUP($A58,'Data Vlaue (Cr)'!$C:$FB,94)</f>
        <v>0.14399999999999999</v>
      </c>
      <c r="K58" s="91">
        <f>VLOOKUP($A58,'Data Vlaue (Cr)'!$C:$FB,95)</f>
        <v>366</v>
      </c>
      <c r="L58" s="91">
        <f>VLOOKUP($A58,'Data Vlaue (Cr)'!$C:$FB,97)</f>
        <v>79</v>
      </c>
      <c r="M58" s="92">
        <f>VLOOKUP($A58,'Data Vlaue (Cr)'!$C:$FB,98)</f>
        <v>0.27639999999999998</v>
      </c>
      <c r="N58" s="91">
        <f>VLOOKUP($A58,'Data Vlaue (Cr)'!$C:$FB,79)</f>
        <v>397</v>
      </c>
      <c r="O58" s="92">
        <f>VLOOKUP($A58,'Data Vlaue (Cr)'!$C:$FB,82)</f>
        <v>-3.9100000000000003E-2</v>
      </c>
    </row>
    <row r="59" spans="1:15" x14ac:dyDescent="0.25">
      <c r="A59" s="97" t="str">
        <f>'Data Vlaue (Cr)'!C54</f>
        <v>DELHIVERY</v>
      </c>
      <c r="B59" s="142">
        <f>VLOOKUP(A59,'Data Vlaue (Cr)'!C54:CW265,99,0)</f>
        <v>1486</v>
      </c>
      <c r="C59" s="90">
        <f>VLOOKUP(A59,'Data Vlaue (Cr)'!C54:CY265,101,0)</f>
        <v>66</v>
      </c>
      <c r="D59" s="139">
        <f>VLOOKUP(A59,'Data Vlaue (Cr)'!C54:CZ265,102,0)</f>
        <v>4.6199999999999998E-2</v>
      </c>
      <c r="E59" s="91">
        <f>VLOOKUP($A59,'Data Vlaue (Cr)'!$C:$FB,75)</f>
        <v>1023</v>
      </c>
      <c r="F59" s="91">
        <f>VLOOKUP($A59,'Data Vlaue (Cr)'!$C:$FB,77)</f>
        <v>41</v>
      </c>
      <c r="G59" s="92">
        <f>VLOOKUP(A59,'Data Vlaue (Cr)'!C54:CB265,78,0)</f>
        <v>4.1500000000000002E-2</v>
      </c>
      <c r="H59" s="91">
        <f>VLOOKUP($A59,'Data Vlaue (Cr)'!$C:$FB,91)</f>
        <v>294</v>
      </c>
      <c r="I59" s="91">
        <f>VLOOKUP($A59,'Data Vlaue (Cr)'!$C:$FB,93)</f>
        <v>18</v>
      </c>
      <c r="J59" s="92">
        <f>VLOOKUP($A59,'Data Vlaue (Cr)'!$C:$FB,94)</f>
        <v>6.3899999999999998E-2</v>
      </c>
      <c r="K59" s="91">
        <f>VLOOKUP($A59,'Data Vlaue (Cr)'!$C:$FB,95)</f>
        <v>169</v>
      </c>
      <c r="L59" s="91">
        <f>VLOOKUP($A59,'Data Vlaue (Cr)'!$C:$FB,97)</f>
        <v>7</v>
      </c>
      <c r="M59" s="92">
        <f>VLOOKUP($A59,'Data Vlaue (Cr)'!$C:$FB,98)</f>
        <v>4.4200000000000003E-2</v>
      </c>
      <c r="N59" s="91">
        <f>VLOOKUP($A59,'Data Vlaue (Cr)'!$C:$FB,79)</f>
        <v>1004</v>
      </c>
      <c r="O59" s="92">
        <f>VLOOKUP($A59,'Data Vlaue (Cr)'!$C:$FB,82)</f>
        <v>3.8199999999999998E-2</v>
      </c>
    </row>
    <row r="60" spans="1:15" x14ac:dyDescent="0.25">
      <c r="A60" s="97" t="str">
        <f>'Data Vlaue (Cr)'!C55</f>
        <v>DIVISLAB</v>
      </c>
      <c r="B60" s="142">
        <f>VLOOKUP(A60,'Data Vlaue (Cr)'!C55:CW266,99,0)</f>
        <v>2471</v>
      </c>
      <c r="C60" s="90">
        <f>VLOOKUP(A60,'Data Vlaue (Cr)'!C55:CY266,101,0)</f>
        <v>-89</v>
      </c>
      <c r="D60" s="139">
        <f>VLOOKUP(A60,'Data Vlaue (Cr)'!C55:CZ266,102,0)</f>
        <v>-3.4700000000000002E-2</v>
      </c>
      <c r="E60" s="91">
        <f>VLOOKUP($A60,'Data Vlaue (Cr)'!$C:$FB,75)</f>
        <v>1689</v>
      </c>
      <c r="F60" s="91">
        <f>VLOOKUP($A60,'Data Vlaue (Cr)'!$C:$FB,77)</f>
        <v>-53</v>
      </c>
      <c r="G60" s="92">
        <f>VLOOKUP(A60,'Data Vlaue (Cr)'!C55:CB266,78,0)</f>
        <v>-3.0200000000000001E-2</v>
      </c>
      <c r="H60" s="91">
        <f>VLOOKUP($A60,'Data Vlaue (Cr)'!$C:$FB,91)</f>
        <v>490</v>
      </c>
      <c r="I60" s="91">
        <f>VLOOKUP($A60,'Data Vlaue (Cr)'!$C:$FB,93)</f>
        <v>-35</v>
      </c>
      <c r="J60" s="92">
        <f>VLOOKUP($A60,'Data Vlaue (Cr)'!$C:$FB,94)</f>
        <v>-6.7400000000000002E-2</v>
      </c>
      <c r="K60" s="91">
        <f>VLOOKUP($A60,'Data Vlaue (Cr)'!$C:$FB,95)</f>
        <v>292</v>
      </c>
      <c r="L60" s="91">
        <f>VLOOKUP($A60,'Data Vlaue (Cr)'!$C:$FB,97)</f>
        <v>-1</v>
      </c>
      <c r="M60" s="92">
        <f>VLOOKUP($A60,'Data Vlaue (Cr)'!$C:$FB,98)</f>
        <v>-2.5999999999999999E-3</v>
      </c>
      <c r="N60" s="91">
        <f>VLOOKUP($A60,'Data Vlaue (Cr)'!$C:$FB,79)</f>
        <v>1630</v>
      </c>
      <c r="O60" s="92">
        <f>VLOOKUP($A60,'Data Vlaue (Cr)'!$C:$FB,82)</f>
        <v>-3.3399999999999999E-2</v>
      </c>
    </row>
    <row r="61" spans="1:15" x14ac:dyDescent="0.25">
      <c r="A61" s="97" t="str">
        <f>'Data Vlaue (Cr)'!C56</f>
        <v>DIXON</v>
      </c>
      <c r="B61" s="142">
        <f>VLOOKUP(A61,'Data Vlaue (Cr)'!C56:CW267,99,0)</f>
        <v>7019</v>
      </c>
      <c r="C61" s="90">
        <f>VLOOKUP(A61,'Data Vlaue (Cr)'!C56:CY267,101,0)</f>
        <v>33</v>
      </c>
      <c r="D61" s="139">
        <f>VLOOKUP(A61,'Data Vlaue (Cr)'!C56:CZ267,102,0)</f>
        <v>4.7000000000000002E-3</v>
      </c>
      <c r="E61" s="91">
        <f>VLOOKUP($A61,'Data Vlaue (Cr)'!$C:$FB,75)</f>
        <v>2915</v>
      </c>
      <c r="F61" s="91">
        <f>VLOOKUP($A61,'Data Vlaue (Cr)'!$C:$FB,77)</f>
        <v>11</v>
      </c>
      <c r="G61" s="92">
        <f>VLOOKUP(A61,'Data Vlaue (Cr)'!C56:CB267,78,0)</f>
        <v>3.7000000000000002E-3</v>
      </c>
      <c r="H61" s="91">
        <f>VLOOKUP($A61,'Data Vlaue (Cr)'!$C:$FB,91)</f>
        <v>2524</v>
      </c>
      <c r="I61" s="91">
        <f>VLOOKUP($A61,'Data Vlaue (Cr)'!$C:$FB,93)</f>
        <v>-36</v>
      </c>
      <c r="J61" s="92">
        <f>VLOOKUP($A61,'Data Vlaue (Cr)'!$C:$FB,94)</f>
        <v>-1.4200000000000001E-2</v>
      </c>
      <c r="K61" s="91">
        <f>VLOOKUP($A61,'Data Vlaue (Cr)'!$C:$FB,95)</f>
        <v>1580</v>
      </c>
      <c r="L61" s="91">
        <f>VLOOKUP($A61,'Data Vlaue (Cr)'!$C:$FB,97)</f>
        <v>59</v>
      </c>
      <c r="M61" s="92">
        <f>VLOOKUP($A61,'Data Vlaue (Cr)'!$C:$FB,98)</f>
        <v>3.85E-2</v>
      </c>
      <c r="N61" s="91">
        <f>VLOOKUP($A61,'Data Vlaue (Cr)'!$C:$FB,79)</f>
        <v>2670</v>
      </c>
      <c r="O61" s="92">
        <f>VLOOKUP($A61,'Data Vlaue (Cr)'!$C:$FB,82)</f>
        <v>-5.0000000000000001E-3</v>
      </c>
    </row>
    <row r="62" spans="1:15" x14ac:dyDescent="0.25">
      <c r="A62" s="97" t="str">
        <f>'Data Vlaue (Cr)'!C57</f>
        <v>DLF</v>
      </c>
      <c r="B62" s="142">
        <f>VLOOKUP(A62,'Data Vlaue (Cr)'!C57:CW268,99,0)</f>
        <v>4314</v>
      </c>
      <c r="C62" s="90">
        <f>VLOOKUP(A62,'Data Vlaue (Cr)'!C57:CY268,101,0)</f>
        <v>119</v>
      </c>
      <c r="D62" s="139">
        <f>VLOOKUP(A62,'Data Vlaue (Cr)'!C57:CZ268,102,0)</f>
        <v>2.8400000000000002E-2</v>
      </c>
      <c r="E62" s="91">
        <f>VLOOKUP($A62,'Data Vlaue (Cr)'!$C:$FB,75)</f>
        <v>3050</v>
      </c>
      <c r="F62" s="91">
        <f>VLOOKUP($A62,'Data Vlaue (Cr)'!$C:$FB,77)</f>
        <v>48</v>
      </c>
      <c r="G62" s="92">
        <f>VLOOKUP(A62,'Data Vlaue (Cr)'!C57:CB268,78,0)</f>
        <v>1.5900000000000001E-2</v>
      </c>
      <c r="H62" s="91">
        <f>VLOOKUP($A62,'Data Vlaue (Cr)'!$C:$FB,91)</f>
        <v>715</v>
      </c>
      <c r="I62" s="91">
        <f>VLOOKUP($A62,'Data Vlaue (Cr)'!$C:$FB,93)</f>
        <v>60</v>
      </c>
      <c r="J62" s="92">
        <f>VLOOKUP($A62,'Data Vlaue (Cr)'!$C:$FB,94)</f>
        <v>9.2200000000000004E-2</v>
      </c>
      <c r="K62" s="91">
        <f>VLOOKUP($A62,'Data Vlaue (Cr)'!$C:$FB,95)</f>
        <v>549</v>
      </c>
      <c r="L62" s="91">
        <f>VLOOKUP($A62,'Data Vlaue (Cr)'!$C:$FB,97)</f>
        <v>11</v>
      </c>
      <c r="M62" s="92">
        <f>VLOOKUP($A62,'Data Vlaue (Cr)'!$C:$FB,98)</f>
        <v>2.0500000000000001E-2</v>
      </c>
      <c r="N62" s="91">
        <f>VLOOKUP($A62,'Data Vlaue (Cr)'!$C:$FB,79)</f>
        <v>2862</v>
      </c>
      <c r="O62" s="92">
        <f>VLOOKUP($A62,'Data Vlaue (Cr)'!$C:$FB,82)</f>
        <v>1.34E-2</v>
      </c>
    </row>
    <row r="63" spans="1:15" x14ac:dyDescent="0.25">
      <c r="A63" s="97" t="str">
        <f>'Data Vlaue (Cr)'!C58</f>
        <v>DMART</v>
      </c>
      <c r="B63" s="142">
        <f>VLOOKUP(A63,'Data Vlaue (Cr)'!C58:CW269,99,0)</f>
        <v>3400</v>
      </c>
      <c r="C63" s="90">
        <f>VLOOKUP(A63,'Data Vlaue (Cr)'!C58:CY269,101,0)</f>
        <v>155</v>
      </c>
      <c r="D63" s="139">
        <f>VLOOKUP(A63,'Data Vlaue (Cr)'!C58:CZ269,102,0)</f>
        <v>4.7899999999999998E-2</v>
      </c>
      <c r="E63" s="91">
        <f>VLOOKUP($A63,'Data Vlaue (Cr)'!$C:$FB,75)</f>
        <v>2478</v>
      </c>
      <c r="F63" s="91">
        <f>VLOOKUP($A63,'Data Vlaue (Cr)'!$C:$FB,77)</f>
        <v>101</v>
      </c>
      <c r="G63" s="92">
        <f>VLOOKUP(A63,'Data Vlaue (Cr)'!C58:CB269,78,0)</f>
        <v>4.2700000000000002E-2</v>
      </c>
      <c r="H63" s="91">
        <f>VLOOKUP($A63,'Data Vlaue (Cr)'!$C:$FB,91)</f>
        <v>534</v>
      </c>
      <c r="I63" s="91">
        <f>VLOOKUP($A63,'Data Vlaue (Cr)'!$C:$FB,93)</f>
        <v>33</v>
      </c>
      <c r="J63" s="92">
        <f>VLOOKUP($A63,'Data Vlaue (Cr)'!$C:$FB,94)</f>
        <v>6.5000000000000002E-2</v>
      </c>
      <c r="K63" s="91">
        <f>VLOOKUP($A63,'Data Vlaue (Cr)'!$C:$FB,95)</f>
        <v>388</v>
      </c>
      <c r="L63" s="91">
        <f>VLOOKUP($A63,'Data Vlaue (Cr)'!$C:$FB,97)</f>
        <v>21</v>
      </c>
      <c r="M63" s="92">
        <f>VLOOKUP($A63,'Data Vlaue (Cr)'!$C:$FB,98)</f>
        <v>5.8000000000000003E-2</v>
      </c>
      <c r="N63" s="91">
        <f>VLOOKUP($A63,'Data Vlaue (Cr)'!$C:$FB,79)</f>
        <v>2229</v>
      </c>
      <c r="O63" s="92">
        <f>VLOOKUP($A63,'Data Vlaue (Cr)'!$C:$FB,82)</f>
        <v>2.5399999999999999E-2</v>
      </c>
    </row>
    <row r="64" spans="1:15" x14ac:dyDescent="0.25">
      <c r="A64" s="97" t="str">
        <f>'Data Vlaue (Cr)'!C59</f>
        <v>DRREDDY</v>
      </c>
      <c r="B64" s="142">
        <f>VLOOKUP(A64,'Data Vlaue (Cr)'!C59:CW270,99,0)</f>
        <v>3907</v>
      </c>
      <c r="C64" s="90">
        <f>VLOOKUP(A64,'Data Vlaue (Cr)'!C59:CY270,101,0)</f>
        <v>30</v>
      </c>
      <c r="D64" s="139">
        <f>VLOOKUP(A64,'Data Vlaue (Cr)'!C59:CZ270,102,0)</f>
        <v>7.7000000000000002E-3</v>
      </c>
      <c r="E64" s="91">
        <f>VLOOKUP($A64,'Data Vlaue (Cr)'!$C:$FB,75)</f>
        <v>1982</v>
      </c>
      <c r="F64" s="91">
        <f>VLOOKUP($A64,'Data Vlaue (Cr)'!$C:$FB,77)</f>
        <v>0</v>
      </c>
      <c r="G64" s="92">
        <f>VLOOKUP(A64,'Data Vlaue (Cr)'!C59:CB270,78,0)</f>
        <v>-1E-4</v>
      </c>
      <c r="H64" s="91">
        <f>VLOOKUP($A64,'Data Vlaue (Cr)'!$C:$FB,91)</f>
        <v>1307</v>
      </c>
      <c r="I64" s="91">
        <f>VLOOKUP($A64,'Data Vlaue (Cr)'!$C:$FB,93)</f>
        <v>10</v>
      </c>
      <c r="J64" s="92">
        <f>VLOOKUP($A64,'Data Vlaue (Cr)'!$C:$FB,94)</f>
        <v>7.4000000000000003E-3</v>
      </c>
      <c r="K64" s="91">
        <f>VLOOKUP($A64,'Data Vlaue (Cr)'!$C:$FB,95)</f>
        <v>619</v>
      </c>
      <c r="L64" s="91">
        <f>VLOOKUP($A64,'Data Vlaue (Cr)'!$C:$FB,97)</f>
        <v>21</v>
      </c>
      <c r="M64" s="92">
        <f>VLOOKUP($A64,'Data Vlaue (Cr)'!$C:$FB,98)</f>
        <v>3.4299999999999997E-2</v>
      </c>
      <c r="N64" s="91">
        <f>VLOOKUP($A64,'Data Vlaue (Cr)'!$C:$FB,79)</f>
        <v>1944</v>
      </c>
      <c r="O64" s="92">
        <f>VLOOKUP($A64,'Data Vlaue (Cr)'!$C:$FB,82)</f>
        <v>-3.3E-3</v>
      </c>
    </row>
    <row r="65" spans="1:15" x14ac:dyDescent="0.25">
      <c r="A65" s="97" t="str">
        <f>'Data Vlaue (Cr)'!C60</f>
        <v>EICHERMOT</v>
      </c>
      <c r="B65" s="142">
        <f>VLOOKUP(A65,'Data Vlaue (Cr)'!C60:CW271,99,0)</f>
        <v>5311</v>
      </c>
      <c r="C65" s="90">
        <f>VLOOKUP(A65,'Data Vlaue (Cr)'!C60:CY271,101,0)</f>
        <v>513</v>
      </c>
      <c r="D65" s="139">
        <f>VLOOKUP(A65,'Data Vlaue (Cr)'!C60:CZ271,102,0)</f>
        <v>0.10680000000000001</v>
      </c>
      <c r="E65" s="91">
        <f>VLOOKUP($A65,'Data Vlaue (Cr)'!$C:$FB,75)</f>
        <v>2415</v>
      </c>
      <c r="F65" s="91">
        <f>VLOOKUP($A65,'Data Vlaue (Cr)'!$C:$FB,77)</f>
        <v>165</v>
      </c>
      <c r="G65" s="92">
        <f>VLOOKUP(A65,'Data Vlaue (Cr)'!C60:CB271,78,0)</f>
        <v>7.3400000000000007E-2</v>
      </c>
      <c r="H65" s="91">
        <f>VLOOKUP($A65,'Data Vlaue (Cr)'!$C:$FB,91)</f>
        <v>1881</v>
      </c>
      <c r="I65" s="91">
        <f>VLOOKUP($A65,'Data Vlaue (Cr)'!$C:$FB,93)</f>
        <v>271</v>
      </c>
      <c r="J65" s="92">
        <f>VLOOKUP($A65,'Data Vlaue (Cr)'!$C:$FB,94)</f>
        <v>0.16839999999999999</v>
      </c>
      <c r="K65" s="91">
        <f>VLOOKUP($A65,'Data Vlaue (Cr)'!$C:$FB,95)</f>
        <v>1015</v>
      </c>
      <c r="L65" s="91">
        <f>VLOOKUP($A65,'Data Vlaue (Cr)'!$C:$FB,97)</f>
        <v>76</v>
      </c>
      <c r="M65" s="92">
        <f>VLOOKUP($A65,'Data Vlaue (Cr)'!$C:$FB,98)</f>
        <v>8.1500000000000003E-2</v>
      </c>
      <c r="N65" s="91">
        <f>VLOOKUP($A65,'Data Vlaue (Cr)'!$C:$FB,79)</f>
        <v>2297</v>
      </c>
      <c r="O65" s="92">
        <f>VLOOKUP($A65,'Data Vlaue (Cr)'!$C:$FB,82)</f>
        <v>6.1899999999999997E-2</v>
      </c>
    </row>
    <row r="66" spans="1:15" x14ac:dyDescent="0.25">
      <c r="A66" s="97" t="str">
        <f>'Data Vlaue (Cr)'!C61</f>
        <v>ETERNAL</v>
      </c>
      <c r="B66" s="142">
        <f>VLOOKUP(A66,'Data Vlaue (Cr)'!C61:CW272,99,0)</f>
        <v>10971</v>
      </c>
      <c r="C66" s="90">
        <f>VLOOKUP(A66,'Data Vlaue (Cr)'!C61:CY272,101,0)</f>
        <v>91</v>
      </c>
      <c r="D66" s="139">
        <f>VLOOKUP(A66,'Data Vlaue (Cr)'!C61:CZ272,102,0)</f>
        <v>8.3999999999999995E-3</v>
      </c>
      <c r="E66" s="91">
        <f>VLOOKUP($A66,'Data Vlaue (Cr)'!$C:$FB,75)</f>
        <v>6678</v>
      </c>
      <c r="F66" s="91">
        <f>VLOOKUP($A66,'Data Vlaue (Cr)'!$C:$FB,77)</f>
        <v>56</v>
      </c>
      <c r="G66" s="92">
        <f>VLOOKUP(A66,'Data Vlaue (Cr)'!C61:CB272,78,0)</f>
        <v>8.3999999999999995E-3</v>
      </c>
      <c r="H66" s="91">
        <f>VLOOKUP($A66,'Data Vlaue (Cr)'!$C:$FB,91)</f>
        <v>2740</v>
      </c>
      <c r="I66" s="91">
        <f>VLOOKUP($A66,'Data Vlaue (Cr)'!$C:$FB,93)</f>
        <v>-22</v>
      </c>
      <c r="J66" s="92">
        <f>VLOOKUP($A66,'Data Vlaue (Cr)'!$C:$FB,94)</f>
        <v>-7.9000000000000008E-3</v>
      </c>
      <c r="K66" s="91">
        <f>VLOOKUP($A66,'Data Vlaue (Cr)'!$C:$FB,95)</f>
        <v>1553</v>
      </c>
      <c r="L66" s="91">
        <f>VLOOKUP($A66,'Data Vlaue (Cr)'!$C:$FB,97)</f>
        <v>57</v>
      </c>
      <c r="M66" s="92">
        <f>VLOOKUP($A66,'Data Vlaue (Cr)'!$C:$FB,98)</f>
        <v>3.8100000000000002E-2</v>
      </c>
      <c r="N66" s="91">
        <f>VLOOKUP($A66,'Data Vlaue (Cr)'!$C:$FB,79)</f>
        <v>5757</v>
      </c>
      <c r="O66" s="92">
        <f>VLOOKUP($A66,'Data Vlaue (Cr)'!$C:$FB,82)</f>
        <v>2.0999999999999999E-3</v>
      </c>
    </row>
    <row r="67" spans="1:15" x14ac:dyDescent="0.25">
      <c r="A67" s="97" t="str">
        <f>'Data Vlaue (Cr)'!C62</f>
        <v>EXIDEIND</v>
      </c>
      <c r="B67" s="142">
        <f>VLOOKUP(A67,'Data Vlaue (Cr)'!C62:CW273,99,0)</f>
        <v>1563</v>
      </c>
      <c r="C67" s="90">
        <f>VLOOKUP(A67,'Data Vlaue (Cr)'!C62:CY273,101,0)</f>
        <v>18</v>
      </c>
      <c r="D67" s="139">
        <f>VLOOKUP(A67,'Data Vlaue (Cr)'!C62:CZ273,102,0)</f>
        <v>1.1900000000000001E-2</v>
      </c>
      <c r="E67" s="91">
        <f>VLOOKUP($A67,'Data Vlaue (Cr)'!$C:$FB,75)</f>
        <v>917</v>
      </c>
      <c r="F67" s="91">
        <f>VLOOKUP($A67,'Data Vlaue (Cr)'!$C:$FB,77)</f>
        <v>-1</v>
      </c>
      <c r="G67" s="92">
        <f>VLOOKUP(A67,'Data Vlaue (Cr)'!C62:CB273,78,0)</f>
        <v>-6.9999999999999999E-4</v>
      </c>
      <c r="H67" s="91">
        <f>VLOOKUP($A67,'Data Vlaue (Cr)'!$C:$FB,91)</f>
        <v>358</v>
      </c>
      <c r="I67" s="91">
        <f>VLOOKUP($A67,'Data Vlaue (Cr)'!$C:$FB,93)</f>
        <v>17</v>
      </c>
      <c r="J67" s="92">
        <f>VLOOKUP($A67,'Data Vlaue (Cr)'!$C:$FB,94)</f>
        <v>4.9599999999999998E-2</v>
      </c>
      <c r="K67" s="91">
        <f>VLOOKUP($A67,'Data Vlaue (Cr)'!$C:$FB,95)</f>
        <v>287</v>
      </c>
      <c r="L67" s="91">
        <f>VLOOKUP($A67,'Data Vlaue (Cr)'!$C:$FB,97)</f>
        <v>2</v>
      </c>
      <c r="M67" s="92">
        <f>VLOOKUP($A67,'Data Vlaue (Cr)'!$C:$FB,98)</f>
        <v>7.3000000000000001E-3</v>
      </c>
      <c r="N67" s="91">
        <f>VLOOKUP($A67,'Data Vlaue (Cr)'!$C:$FB,79)</f>
        <v>861</v>
      </c>
      <c r="O67" s="92">
        <f>VLOOKUP($A67,'Data Vlaue (Cr)'!$C:$FB,82)</f>
        <v>-5.0000000000000001E-3</v>
      </c>
    </row>
    <row r="68" spans="1:15" x14ac:dyDescent="0.25">
      <c r="A68" s="97" t="str">
        <f>'Data Vlaue (Cr)'!C63</f>
        <v>FEDERALBNK</v>
      </c>
      <c r="B68" s="142">
        <f>VLOOKUP(A68,'Data Vlaue (Cr)'!C63:CW274,99,0)</f>
        <v>4869</v>
      </c>
      <c r="C68" s="90">
        <f>VLOOKUP(A68,'Data Vlaue (Cr)'!C63:CY274,101,0)</f>
        <v>176</v>
      </c>
      <c r="D68" s="139">
        <f>VLOOKUP(A68,'Data Vlaue (Cr)'!C63:CZ274,102,0)</f>
        <v>3.7499999999999999E-2</v>
      </c>
      <c r="E68" s="91">
        <f>VLOOKUP($A68,'Data Vlaue (Cr)'!$C:$FB,75)</f>
        <v>2291</v>
      </c>
      <c r="F68" s="91">
        <f>VLOOKUP($A68,'Data Vlaue (Cr)'!$C:$FB,77)</f>
        <v>75</v>
      </c>
      <c r="G68" s="92">
        <f>VLOOKUP(A68,'Data Vlaue (Cr)'!C63:CB274,78,0)</f>
        <v>3.3799999999999997E-2</v>
      </c>
      <c r="H68" s="91">
        <f>VLOOKUP($A68,'Data Vlaue (Cr)'!$C:$FB,91)</f>
        <v>1691</v>
      </c>
      <c r="I68" s="91">
        <f>VLOOKUP($A68,'Data Vlaue (Cr)'!$C:$FB,93)</f>
        <v>81</v>
      </c>
      <c r="J68" s="92">
        <f>VLOOKUP($A68,'Data Vlaue (Cr)'!$C:$FB,94)</f>
        <v>5.0299999999999997E-2</v>
      </c>
      <c r="K68" s="91">
        <f>VLOOKUP($A68,'Data Vlaue (Cr)'!$C:$FB,95)</f>
        <v>888</v>
      </c>
      <c r="L68" s="91">
        <f>VLOOKUP($A68,'Data Vlaue (Cr)'!$C:$FB,97)</f>
        <v>20</v>
      </c>
      <c r="M68" s="92">
        <f>VLOOKUP($A68,'Data Vlaue (Cr)'!$C:$FB,98)</f>
        <v>2.3300000000000001E-2</v>
      </c>
      <c r="N68" s="91">
        <f>VLOOKUP($A68,'Data Vlaue (Cr)'!$C:$FB,79)</f>
        <v>2158</v>
      </c>
      <c r="O68" s="92">
        <f>VLOOKUP($A68,'Data Vlaue (Cr)'!$C:$FB,82)</f>
        <v>2.9000000000000001E-2</v>
      </c>
    </row>
    <row r="69" spans="1:15" x14ac:dyDescent="0.25">
      <c r="A69" s="97" t="str">
        <f>'Data Vlaue (Cr)'!C64</f>
        <v>FINNIFTY</v>
      </c>
      <c r="B69" s="142">
        <f>VLOOKUP(A69,'Data Vlaue (Cr)'!C64:CW275,99,0)</f>
        <v>4432</v>
      </c>
      <c r="C69" s="90">
        <f>VLOOKUP(A69,'Data Vlaue (Cr)'!C64:CY275,101,0)</f>
        <v>187</v>
      </c>
      <c r="D69" s="139">
        <f>VLOOKUP(A69,'Data Vlaue (Cr)'!C64:CZ275,102,0)</f>
        <v>4.41E-2</v>
      </c>
      <c r="E69" s="91">
        <f>VLOOKUP($A69,'Data Vlaue (Cr)'!$C:$FB,75)</f>
        <v>181</v>
      </c>
      <c r="F69" s="91">
        <f>VLOOKUP($A69,'Data Vlaue (Cr)'!$C:$FB,77)</f>
        <v>10</v>
      </c>
      <c r="G69" s="92">
        <f>VLOOKUP(A69,'Data Vlaue (Cr)'!C64:CB275,78,0)</f>
        <v>5.7799999999999997E-2</v>
      </c>
      <c r="H69" s="91">
        <f>VLOOKUP($A69,'Data Vlaue (Cr)'!$C:$FB,91)</f>
        <v>2210</v>
      </c>
      <c r="I69" s="91">
        <f>VLOOKUP($A69,'Data Vlaue (Cr)'!$C:$FB,93)</f>
        <v>90</v>
      </c>
      <c r="J69" s="92">
        <f>VLOOKUP($A69,'Data Vlaue (Cr)'!$C:$FB,94)</f>
        <v>4.2599999999999999E-2</v>
      </c>
      <c r="K69" s="91">
        <f>VLOOKUP($A69,'Data Vlaue (Cr)'!$C:$FB,95)</f>
        <v>2041</v>
      </c>
      <c r="L69" s="91">
        <f>VLOOKUP($A69,'Data Vlaue (Cr)'!$C:$FB,97)</f>
        <v>87</v>
      </c>
      <c r="M69" s="92">
        <f>VLOOKUP($A69,'Data Vlaue (Cr)'!$C:$FB,98)</f>
        <v>4.4400000000000002E-2</v>
      </c>
      <c r="N69" s="91">
        <f>VLOOKUP($A69,'Data Vlaue (Cr)'!$C:$FB,79)</f>
        <v>176</v>
      </c>
      <c r="O69" s="92">
        <f>VLOOKUP($A69,'Data Vlaue (Cr)'!$C:$FB,82)</f>
        <v>5.0900000000000001E-2</v>
      </c>
    </row>
    <row r="70" spans="1:15" x14ac:dyDescent="0.25">
      <c r="A70" s="97" t="str">
        <f>'Data Vlaue (Cr)'!C65</f>
        <v>FORTIS</v>
      </c>
      <c r="B70" s="142">
        <f>VLOOKUP(A70,'Data Vlaue (Cr)'!C65:CW276,99,0)</f>
        <v>1553</v>
      </c>
      <c r="C70" s="90">
        <f>VLOOKUP(A70,'Data Vlaue (Cr)'!C65:CY276,101,0)</f>
        <v>59</v>
      </c>
      <c r="D70" s="139">
        <f>VLOOKUP(A70,'Data Vlaue (Cr)'!C65:CZ276,102,0)</f>
        <v>3.95E-2</v>
      </c>
      <c r="E70" s="91">
        <f>VLOOKUP($A70,'Data Vlaue (Cr)'!$C:$FB,75)</f>
        <v>1034</v>
      </c>
      <c r="F70" s="91">
        <f>VLOOKUP($A70,'Data Vlaue (Cr)'!$C:$FB,77)</f>
        <v>36</v>
      </c>
      <c r="G70" s="92">
        <f>VLOOKUP(A70,'Data Vlaue (Cr)'!C65:CB276,78,0)</f>
        <v>3.5999999999999997E-2</v>
      </c>
      <c r="H70" s="91">
        <f>VLOOKUP($A70,'Data Vlaue (Cr)'!$C:$FB,91)</f>
        <v>365</v>
      </c>
      <c r="I70" s="91">
        <f>VLOOKUP($A70,'Data Vlaue (Cr)'!$C:$FB,93)</f>
        <v>17</v>
      </c>
      <c r="J70" s="92">
        <f>VLOOKUP($A70,'Data Vlaue (Cr)'!$C:$FB,94)</f>
        <v>5.0200000000000002E-2</v>
      </c>
      <c r="K70" s="91">
        <f>VLOOKUP($A70,'Data Vlaue (Cr)'!$C:$FB,95)</f>
        <v>154</v>
      </c>
      <c r="L70" s="91">
        <f>VLOOKUP($A70,'Data Vlaue (Cr)'!$C:$FB,97)</f>
        <v>6</v>
      </c>
      <c r="M70" s="92">
        <f>VLOOKUP($A70,'Data Vlaue (Cr)'!$C:$FB,98)</f>
        <v>3.7999999999999999E-2</v>
      </c>
      <c r="N70" s="91">
        <f>VLOOKUP($A70,'Data Vlaue (Cr)'!$C:$FB,79)</f>
        <v>1011</v>
      </c>
      <c r="O70" s="92">
        <f>VLOOKUP($A70,'Data Vlaue (Cr)'!$C:$FB,82)</f>
        <v>3.32E-2</v>
      </c>
    </row>
    <row r="71" spans="1:15" x14ac:dyDescent="0.25">
      <c r="A71" s="97" t="str">
        <f>'Data Vlaue (Cr)'!C66</f>
        <v>GAIL</v>
      </c>
      <c r="B71" s="142">
        <f>VLOOKUP(A71,'Data Vlaue (Cr)'!C66:CW277,99,0)</f>
        <v>2851</v>
      </c>
      <c r="C71" s="90">
        <f>VLOOKUP(A71,'Data Vlaue (Cr)'!C66:CY277,101,0)</f>
        <v>42</v>
      </c>
      <c r="D71" s="139">
        <f>VLOOKUP(A71,'Data Vlaue (Cr)'!C66:CZ277,102,0)</f>
        <v>1.5100000000000001E-2</v>
      </c>
      <c r="E71" s="91">
        <f>VLOOKUP($A71,'Data Vlaue (Cr)'!$C:$FB,75)</f>
        <v>1665</v>
      </c>
      <c r="F71" s="91">
        <f>VLOOKUP($A71,'Data Vlaue (Cr)'!$C:$FB,77)</f>
        <v>18</v>
      </c>
      <c r="G71" s="92">
        <f>VLOOKUP(A71,'Data Vlaue (Cr)'!C66:CB277,78,0)</f>
        <v>1.09E-2</v>
      </c>
      <c r="H71" s="91">
        <f>VLOOKUP($A71,'Data Vlaue (Cr)'!$C:$FB,91)</f>
        <v>590</v>
      </c>
      <c r="I71" s="91">
        <f>VLOOKUP($A71,'Data Vlaue (Cr)'!$C:$FB,93)</f>
        <v>15</v>
      </c>
      <c r="J71" s="92">
        <f>VLOOKUP($A71,'Data Vlaue (Cr)'!$C:$FB,94)</f>
        <v>2.6800000000000001E-2</v>
      </c>
      <c r="K71" s="91">
        <f>VLOOKUP($A71,'Data Vlaue (Cr)'!$C:$FB,95)</f>
        <v>596</v>
      </c>
      <c r="L71" s="91">
        <f>VLOOKUP($A71,'Data Vlaue (Cr)'!$C:$FB,97)</f>
        <v>9</v>
      </c>
      <c r="M71" s="92">
        <f>VLOOKUP($A71,'Data Vlaue (Cr)'!$C:$FB,98)</f>
        <v>1.55E-2</v>
      </c>
      <c r="N71" s="91">
        <f>VLOOKUP($A71,'Data Vlaue (Cr)'!$C:$FB,79)</f>
        <v>1544</v>
      </c>
      <c r="O71" s="92">
        <f>VLOOKUP($A71,'Data Vlaue (Cr)'!$C:$FB,82)</f>
        <v>1.17E-2</v>
      </c>
    </row>
    <row r="72" spans="1:15" x14ac:dyDescent="0.25">
      <c r="A72" s="97" t="str">
        <f>'Data Vlaue (Cr)'!C67</f>
        <v>GLENMARK</v>
      </c>
      <c r="B72" s="142">
        <f>VLOOKUP(A72,'Data Vlaue (Cr)'!C67:CW278,99,0)</f>
        <v>3372</v>
      </c>
      <c r="C72" s="90">
        <f>VLOOKUP(A72,'Data Vlaue (Cr)'!C67:CY278,101,0)</f>
        <v>-41</v>
      </c>
      <c r="D72" s="139">
        <f>VLOOKUP(A72,'Data Vlaue (Cr)'!C67:CZ278,102,0)</f>
        <v>-1.2E-2</v>
      </c>
      <c r="E72" s="91">
        <f>VLOOKUP($A72,'Data Vlaue (Cr)'!$C:$FB,75)</f>
        <v>2630</v>
      </c>
      <c r="F72" s="91">
        <f>VLOOKUP($A72,'Data Vlaue (Cr)'!$C:$FB,77)</f>
        <v>-5</v>
      </c>
      <c r="G72" s="92">
        <f>VLOOKUP(A72,'Data Vlaue (Cr)'!C67:CB278,78,0)</f>
        <v>-1.8E-3</v>
      </c>
      <c r="H72" s="91">
        <f>VLOOKUP($A72,'Data Vlaue (Cr)'!$C:$FB,91)</f>
        <v>475</v>
      </c>
      <c r="I72" s="91">
        <f>VLOOKUP($A72,'Data Vlaue (Cr)'!$C:$FB,93)</f>
        <v>-31</v>
      </c>
      <c r="J72" s="92">
        <f>VLOOKUP($A72,'Data Vlaue (Cr)'!$C:$FB,94)</f>
        <v>-6.1800000000000001E-2</v>
      </c>
      <c r="K72" s="91">
        <f>VLOOKUP($A72,'Data Vlaue (Cr)'!$C:$FB,95)</f>
        <v>267</v>
      </c>
      <c r="L72" s="91">
        <f>VLOOKUP($A72,'Data Vlaue (Cr)'!$C:$FB,97)</f>
        <v>-5</v>
      </c>
      <c r="M72" s="92">
        <f>VLOOKUP($A72,'Data Vlaue (Cr)'!$C:$FB,98)</f>
        <v>-1.78E-2</v>
      </c>
      <c r="N72" s="91">
        <f>VLOOKUP($A72,'Data Vlaue (Cr)'!$C:$FB,79)</f>
        <v>2609</v>
      </c>
      <c r="O72" s="92">
        <f>VLOOKUP($A72,'Data Vlaue (Cr)'!$C:$FB,82)</f>
        <v>-2.2000000000000001E-3</v>
      </c>
    </row>
    <row r="73" spans="1:15" x14ac:dyDescent="0.25">
      <c r="A73" s="97" t="str">
        <f>'Data Vlaue (Cr)'!C68</f>
        <v>GMRAIRPORT</v>
      </c>
      <c r="B73" s="142">
        <f>VLOOKUP(A73,'Data Vlaue (Cr)'!C68:CW279,99,0)</f>
        <v>2226</v>
      </c>
      <c r="C73" s="90">
        <f>VLOOKUP(A73,'Data Vlaue (Cr)'!C68:CY279,101,0)</f>
        <v>7</v>
      </c>
      <c r="D73" s="139">
        <f>VLOOKUP(A73,'Data Vlaue (Cr)'!C68:CZ279,102,0)</f>
        <v>3.2000000000000002E-3</v>
      </c>
      <c r="E73" s="91">
        <f>VLOOKUP($A73,'Data Vlaue (Cr)'!$C:$FB,75)</f>
        <v>1341</v>
      </c>
      <c r="F73" s="91">
        <f>VLOOKUP($A73,'Data Vlaue (Cr)'!$C:$FB,77)</f>
        <v>-5</v>
      </c>
      <c r="G73" s="92">
        <f>VLOOKUP(A73,'Data Vlaue (Cr)'!C68:CB279,78,0)</f>
        <v>-3.5999999999999999E-3</v>
      </c>
      <c r="H73" s="91">
        <f>VLOOKUP($A73,'Data Vlaue (Cr)'!$C:$FB,91)</f>
        <v>544</v>
      </c>
      <c r="I73" s="91">
        <f>VLOOKUP($A73,'Data Vlaue (Cr)'!$C:$FB,93)</f>
        <v>10</v>
      </c>
      <c r="J73" s="92">
        <f>VLOOKUP($A73,'Data Vlaue (Cr)'!$C:$FB,94)</f>
        <v>1.95E-2</v>
      </c>
      <c r="K73" s="91">
        <f>VLOOKUP($A73,'Data Vlaue (Cr)'!$C:$FB,95)</f>
        <v>342</v>
      </c>
      <c r="L73" s="91">
        <f>VLOOKUP($A73,'Data Vlaue (Cr)'!$C:$FB,97)</f>
        <v>2</v>
      </c>
      <c r="M73" s="92">
        <f>VLOOKUP($A73,'Data Vlaue (Cr)'!$C:$FB,98)</f>
        <v>4.7999999999999996E-3</v>
      </c>
      <c r="N73" s="91">
        <f>VLOOKUP($A73,'Data Vlaue (Cr)'!$C:$FB,79)</f>
        <v>1286</v>
      </c>
      <c r="O73" s="92">
        <f>VLOOKUP($A73,'Data Vlaue (Cr)'!$C:$FB,82)</f>
        <v>-5.1999999999999998E-3</v>
      </c>
    </row>
    <row r="74" spans="1:15" x14ac:dyDescent="0.25">
      <c r="A74" s="97" t="str">
        <f>'Data Vlaue (Cr)'!C69</f>
        <v>GODREJCP</v>
      </c>
      <c r="B74" s="142">
        <f>VLOOKUP(A74,'Data Vlaue (Cr)'!C69:CW280,99,0)</f>
        <v>1351</v>
      </c>
      <c r="C74" s="90">
        <f>VLOOKUP(A74,'Data Vlaue (Cr)'!C69:CY280,101,0)</f>
        <v>122</v>
      </c>
      <c r="D74" s="139">
        <f>VLOOKUP(A74,'Data Vlaue (Cr)'!C69:CZ280,102,0)</f>
        <v>9.9000000000000005E-2</v>
      </c>
      <c r="E74" s="91">
        <f>VLOOKUP($A74,'Data Vlaue (Cr)'!$C:$FB,75)</f>
        <v>978</v>
      </c>
      <c r="F74" s="91">
        <f>VLOOKUP($A74,'Data Vlaue (Cr)'!$C:$FB,77)</f>
        <v>58</v>
      </c>
      <c r="G74" s="92">
        <f>VLOOKUP(A74,'Data Vlaue (Cr)'!C69:CB280,78,0)</f>
        <v>6.3200000000000006E-2</v>
      </c>
      <c r="H74" s="91">
        <f>VLOOKUP($A74,'Data Vlaue (Cr)'!$C:$FB,91)</f>
        <v>199</v>
      </c>
      <c r="I74" s="91">
        <f>VLOOKUP($A74,'Data Vlaue (Cr)'!$C:$FB,93)</f>
        <v>35</v>
      </c>
      <c r="J74" s="92">
        <f>VLOOKUP($A74,'Data Vlaue (Cr)'!$C:$FB,94)</f>
        <v>0.2142</v>
      </c>
      <c r="K74" s="91">
        <f>VLOOKUP($A74,'Data Vlaue (Cr)'!$C:$FB,95)</f>
        <v>173</v>
      </c>
      <c r="L74" s="91">
        <f>VLOOKUP($A74,'Data Vlaue (Cr)'!$C:$FB,97)</f>
        <v>28</v>
      </c>
      <c r="M74" s="92">
        <f>VLOOKUP($A74,'Data Vlaue (Cr)'!$C:$FB,98)</f>
        <v>0.19570000000000001</v>
      </c>
      <c r="N74" s="91">
        <f>VLOOKUP($A74,'Data Vlaue (Cr)'!$C:$FB,79)</f>
        <v>970</v>
      </c>
      <c r="O74" s="92">
        <f>VLOOKUP($A74,'Data Vlaue (Cr)'!$C:$FB,82)</f>
        <v>6.0699999999999997E-2</v>
      </c>
    </row>
    <row r="75" spans="1:15" x14ac:dyDescent="0.25">
      <c r="A75" s="97" t="str">
        <f>'Data Vlaue (Cr)'!C70</f>
        <v>GODREJPROP</v>
      </c>
      <c r="B75" s="142">
        <f>VLOOKUP(A75,'Data Vlaue (Cr)'!C70:CW281,99,0)</f>
        <v>2191</v>
      </c>
      <c r="C75" s="90">
        <f>VLOOKUP(A75,'Data Vlaue (Cr)'!C70:CY281,101,0)</f>
        <v>26</v>
      </c>
      <c r="D75" s="139">
        <f>VLOOKUP(A75,'Data Vlaue (Cr)'!C70:CZ281,102,0)</f>
        <v>1.18E-2</v>
      </c>
      <c r="E75" s="91">
        <f>VLOOKUP($A75,'Data Vlaue (Cr)'!$C:$FB,75)</f>
        <v>1404</v>
      </c>
      <c r="F75" s="91">
        <f>VLOOKUP($A75,'Data Vlaue (Cr)'!$C:$FB,77)</f>
        <v>26</v>
      </c>
      <c r="G75" s="92">
        <f>VLOOKUP(A75,'Data Vlaue (Cr)'!C70:CB281,78,0)</f>
        <v>1.89E-2</v>
      </c>
      <c r="H75" s="91">
        <f>VLOOKUP($A75,'Data Vlaue (Cr)'!$C:$FB,91)</f>
        <v>457</v>
      </c>
      <c r="I75" s="91">
        <f>VLOOKUP($A75,'Data Vlaue (Cr)'!$C:$FB,93)</f>
        <v>0</v>
      </c>
      <c r="J75" s="92">
        <f>VLOOKUP($A75,'Data Vlaue (Cr)'!$C:$FB,94)</f>
        <v>5.0000000000000001E-4</v>
      </c>
      <c r="K75" s="91">
        <f>VLOOKUP($A75,'Data Vlaue (Cr)'!$C:$FB,95)</f>
        <v>331</v>
      </c>
      <c r="L75" s="91">
        <f>VLOOKUP($A75,'Data Vlaue (Cr)'!$C:$FB,97)</f>
        <v>-1</v>
      </c>
      <c r="M75" s="92">
        <f>VLOOKUP($A75,'Data Vlaue (Cr)'!$C:$FB,98)</f>
        <v>-2.2000000000000001E-3</v>
      </c>
      <c r="N75" s="91">
        <f>VLOOKUP($A75,'Data Vlaue (Cr)'!$C:$FB,79)</f>
        <v>1362</v>
      </c>
      <c r="O75" s="92">
        <f>VLOOKUP($A75,'Data Vlaue (Cr)'!$C:$FB,82)</f>
        <v>1.6E-2</v>
      </c>
    </row>
    <row r="76" spans="1:15" x14ac:dyDescent="0.25">
      <c r="A76" s="97" t="str">
        <f>'Data Vlaue (Cr)'!C71</f>
        <v>GRASIM</v>
      </c>
      <c r="B76" s="142">
        <f>VLOOKUP(A76,'Data Vlaue (Cr)'!C71:CW282,99,0)</f>
        <v>4859</v>
      </c>
      <c r="C76" s="90">
        <f>VLOOKUP(A76,'Data Vlaue (Cr)'!C71:CY282,101,0)</f>
        <v>41</v>
      </c>
      <c r="D76" s="139">
        <f>VLOOKUP(A76,'Data Vlaue (Cr)'!C71:CZ282,102,0)</f>
        <v>8.6E-3</v>
      </c>
      <c r="E76" s="91">
        <f>VLOOKUP($A76,'Data Vlaue (Cr)'!$C:$FB,75)</f>
        <v>4028</v>
      </c>
      <c r="F76" s="91">
        <f>VLOOKUP($A76,'Data Vlaue (Cr)'!$C:$FB,77)</f>
        <v>17</v>
      </c>
      <c r="G76" s="92">
        <f>VLOOKUP(A76,'Data Vlaue (Cr)'!C71:CB282,78,0)</f>
        <v>4.3E-3</v>
      </c>
      <c r="H76" s="91">
        <f>VLOOKUP($A76,'Data Vlaue (Cr)'!$C:$FB,91)</f>
        <v>529</v>
      </c>
      <c r="I76" s="91">
        <f>VLOOKUP($A76,'Data Vlaue (Cr)'!$C:$FB,93)</f>
        <v>23</v>
      </c>
      <c r="J76" s="92">
        <f>VLOOKUP($A76,'Data Vlaue (Cr)'!$C:$FB,94)</f>
        <v>4.6300000000000001E-2</v>
      </c>
      <c r="K76" s="91">
        <f>VLOOKUP($A76,'Data Vlaue (Cr)'!$C:$FB,95)</f>
        <v>302</v>
      </c>
      <c r="L76" s="91">
        <f>VLOOKUP($A76,'Data Vlaue (Cr)'!$C:$FB,97)</f>
        <v>1</v>
      </c>
      <c r="M76" s="92">
        <f>VLOOKUP($A76,'Data Vlaue (Cr)'!$C:$FB,98)</f>
        <v>2E-3</v>
      </c>
      <c r="N76" s="91">
        <f>VLOOKUP($A76,'Data Vlaue (Cr)'!$C:$FB,79)</f>
        <v>3972</v>
      </c>
      <c r="O76" s="92">
        <f>VLOOKUP($A76,'Data Vlaue (Cr)'!$C:$FB,82)</f>
        <v>-4.1000000000000003E-3</v>
      </c>
    </row>
    <row r="77" spans="1:15" x14ac:dyDescent="0.25">
      <c r="A77" s="97" t="str">
        <f>'Data Vlaue (Cr)'!C72</f>
        <v>HAL</v>
      </c>
      <c r="B77" s="142">
        <f>VLOOKUP(A77,'Data Vlaue (Cr)'!C72:CW283,99,0)</f>
        <v>7899</v>
      </c>
      <c r="C77" s="90">
        <f>VLOOKUP(A77,'Data Vlaue (Cr)'!C72:CY283,101,0)</f>
        <v>-106</v>
      </c>
      <c r="D77" s="139">
        <f>VLOOKUP(A77,'Data Vlaue (Cr)'!C72:CZ283,102,0)</f>
        <v>-1.32E-2</v>
      </c>
      <c r="E77" s="91">
        <f>VLOOKUP($A77,'Data Vlaue (Cr)'!$C:$FB,75)</f>
        <v>4178</v>
      </c>
      <c r="F77" s="91">
        <f>VLOOKUP($A77,'Data Vlaue (Cr)'!$C:$FB,77)</f>
        <v>-65</v>
      </c>
      <c r="G77" s="92">
        <f>VLOOKUP(A77,'Data Vlaue (Cr)'!C72:CB283,78,0)</f>
        <v>-1.5299999999999999E-2</v>
      </c>
      <c r="H77" s="91">
        <f>VLOOKUP($A77,'Data Vlaue (Cr)'!$C:$FB,91)</f>
        <v>2249</v>
      </c>
      <c r="I77" s="91">
        <f>VLOOKUP($A77,'Data Vlaue (Cr)'!$C:$FB,93)</f>
        <v>-15</v>
      </c>
      <c r="J77" s="92">
        <f>VLOOKUP($A77,'Data Vlaue (Cr)'!$C:$FB,94)</f>
        <v>-6.4000000000000003E-3</v>
      </c>
      <c r="K77" s="91">
        <f>VLOOKUP($A77,'Data Vlaue (Cr)'!$C:$FB,95)</f>
        <v>1473</v>
      </c>
      <c r="L77" s="91">
        <f>VLOOKUP($A77,'Data Vlaue (Cr)'!$C:$FB,97)</f>
        <v>-27</v>
      </c>
      <c r="M77" s="92">
        <f>VLOOKUP($A77,'Data Vlaue (Cr)'!$C:$FB,98)</f>
        <v>-1.77E-2</v>
      </c>
      <c r="N77" s="91">
        <f>VLOOKUP($A77,'Data Vlaue (Cr)'!$C:$FB,79)</f>
        <v>3842</v>
      </c>
      <c r="O77" s="92">
        <f>VLOOKUP($A77,'Data Vlaue (Cr)'!$C:$FB,82)</f>
        <v>-1.66E-2</v>
      </c>
    </row>
    <row r="78" spans="1:15" x14ac:dyDescent="0.25">
      <c r="A78" s="97" t="str">
        <f>'Data Vlaue (Cr)'!C73</f>
        <v>HAVELLS</v>
      </c>
      <c r="B78" s="142">
        <f>VLOOKUP(A78,'Data Vlaue (Cr)'!C73:CW284,99,0)</f>
        <v>1844</v>
      </c>
      <c r="C78" s="90">
        <f>VLOOKUP(A78,'Data Vlaue (Cr)'!C73:CY284,101,0)</f>
        <v>-28</v>
      </c>
      <c r="D78" s="139">
        <f>VLOOKUP(A78,'Data Vlaue (Cr)'!C73:CZ284,102,0)</f>
        <v>-1.4800000000000001E-2</v>
      </c>
      <c r="E78" s="91">
        <f>VLOOKUP($A78,'Data Vlaue (Cr)'!$C:$FB,75)</f>
        <v>1229</v>
      </c>
      <c r="F78" s="91">
        <f>VLOOKUP($A78,'Data Vlaue (Cr)'!$C:$FB,77)</f>
        <v>-20</v>
      </c>
      <c r="G78" s="92">
        <f>VLOOKUP(A78,'Data Vlaue (Cr)'!C73:CB284,78,0)</f>
        <v>-1.61E-2</v>
      </c>
      <c r="H78" s="91">
        <f>VLOOKUP($A78,'Data Vlaue (Cr)'!$C:$FB,91)</f>
        <v>352</v>
      </c>
      <c r="I78" s="91">
        <f>VLOOKUP($A78,'Data Vlaue (Cr)'!$C:$FB,93)</f>
        <v>12</v>
      </c>
      <c r="J78" s="92">
        <f>VLOOKUP($A78,'Data Vlaue (Cr)'!$C:$FB,94)</f>
        <v>3.6400000000000002E-2</v>
      </c>
      <c r="K78" s="91">
        <f>VLOOKUP($A78,'Data Vlaue (Cr)'!$C:$FB,95)</f>
        <v>263</v>
      </c>
      <c r="L78" s="91">
        <f>VLOOKUP($A78,'Data Vlaue (Cr)'!$C:$FB,97)</f>
        <v>-20</v>
      </c>
      <c r="M78" s="92">
        <f>VLOOKUP($A78,'Data Vlaue (Cr)'!$C:$FB,98)</f>
        <v>-7.0599999999999996E-2</v>
      </c>
      <c r="N78" s="91">
        <f>VLOOKUP($A78,'Data Vlaue (Cr)'!$C:$FB,79)</f>
        <v>1207</v>
      </c>
      <c r="O78" s="92">
        <f>VLOOKUP($A78,'Data Vlaue (Cr)'!$C:$FB,82)</f>
        <v>-1.6799999999999999E-2</v>
      </c>
    </row>
    <row r="79" spans="1:15" x14ac:dyDescent="0.25">
      <c r="A79" s="97" t="str">
        <f>'Data Vlaue (Cr)'!C74</f>
        <v>HCLTECH</v>
      </c>
      <c r="B79" s="142">
        <f>VLOOKUP(A79,'Data Vlaue (Cr)'!C74:CW285,99,0)</f>
        <v>5174</v>
      </c>
      <c r="C79" s="90">
        <f>VLOOKUP(A79,'Data Vlaue (Cr)'!C74:CY285,101,0)</f>
        <v>204</v>
      </c>
      <c r="D79" s="139">
        <f>VLOOKUP(A79,'Data Vlaue (Cr)'!C74:CZ285,102,0)</f>
        <v>4.1099999999999998E-2</v>
      </c>
      <c r="E79" s="91">
        <f>VLOOKUP($A79,'Data Vlaue (Cr)'!$C:$FB,75)</f>
        <v>3797</v>
      </c>
      <c r="F79" s="91">
        <f>VLOOKUP($A79,'Data Vlaue (Cr)'!$C:$FB,77)</f>
        <v>118</v>
      </c>
      <c r="G79" s="92">
        <f>VLOOKUP(A79,'Data Vlaue (Cr)'!C74:CB285,78,0)</f>
        <v>3.2099999999999997E-2</v>
      </c>
      <c r="H79" s="91">
        <f>VLOOKUP($A79,'Data Vlaue (Cr)'!$C:$FB,91)</f>
        <v>921</v>
      </c>
      <c r="I79" s="91">
        <f>VLOOKUP($A79,'Data Vlaue (Cr)'!$C:$FB,93)</f>
        <v>89</v>
      </c>
      <c r="J79" s="92">
        <f>VLOOKUP($A79,'Data Vlaue (Cr)'!$C:$FB,94)</f>
        <v>0.10680000000000001</v>
      </c>
      <c r="K79" s="91">
        <f>VLOOKUP($A79,'Data Vlaue (Cr)'!$C:$FB,95)</f>
        <v>457</v>
      </c>
      <c r="L79" s="91">
        <f>VLOOKUP($A79,'Data Vlaue (Cr)'!$C:$FB,97)</f>
        <v>-3</v>
      </c>
      <c r="M79" s="92">
        <f>VLOOKUP($A79,'Data Vlaue (Cr)'!$C:$FB,98)</f>
        <v>-5.7999999999999996E-3</v>
      </c>
      <c r="N79" s="91">
        <f>VLOOKUP($A79,'Data Vlaue (Cr)'!$C:$FB,79)</f>
        <v>3705</v>
      </c>
      <c r="O79" s="92">
        <f>VLOOKUP($A79,'Data Vlaue (Cr)'!$C:$FB,82)</f>
        <v>3.04E-2</v>
      </c>
    </row>
    <row r="80" spans="1:15" x14ac:dyDescent="0.25">
      <c r="A80" s="97" t="str">
        <f>'Data Vlaue (Cr)'!C75</f>
        <v>HDFCAMC</v>
      </c>
      <c r="B80" s="142">
        <f>VLOOKUP(A80,'Data Vlaue (Cr)'!C75:CW286,99,0)</f>
        <v>2024</v>
      </c>
      <c r="C80" s="90">
        <f>VLOOKUP(A80,'Data Vlaue (Cr)'!C75:CY286,101,0)</f>
        <v>34</v>
      </c>
      <c r="D80" s="139">
        <f>VLOOKUP(A80,'Data Vlaue (Cr)'!C75:CZ286,102,0)</f>
        <v>1.7100000000000001E-2</v>
      </c>
      <c r="E80" s="91">
        <f>VLOOKUP($A80,'Data Vlaue (Cr)'!$C:$FB,75)</f>
        <v>1378</v>
      </c>
      <c r="F80" s="91">
        <f>VLOOKUP($A80,'Data Vlaue (Cr)'!$C:$FB,77)</f>
        <v>0</v>
      </c>
      <c r="G80" s="92">
        <f>VLOOKUP(A80,'Data Vlaue (Cr)'!C75:CB286,78,0)</f>
        <v>1E-4</v>
      </c>
      <c r="H80" s="91">
        <f>VLOOKUP($A80,'Data Vlaue (Cr)'!$C:$FB,91)</f>
        <v>394</v>
      </c>
      <c r="I80" s="91">
        <f>VLOOKUP($A80,'Data Vlaue (Cr)'!$C:$FB,93)</f>
        <v>30</v>
      </c>
      <c r="J80" s="92">
        <f>VLOOKUP($A80,'Data Vlaue (Cr)'!$C:$FB,94)</f>
        <v>8.2699999999999996E-2</v>
      </c>
      <c r="K80" s="91">
        <f>VLOOKUP($A80,'Data Vlaue (Cr)'!$C:$FB,95)</f>
        <v>253</v>
      </c>
      <c r="L80" s="91">
        <f>VLOOKUP($A80,'Data Vlaue (Cr)'!$C:$FB,97)</f>
        <v>4</v>
      </c>
      <c r="M80" s="92">
        <f>VLOOKUP($A80,'Data Vlaue (Cr)'!$C:$FB,98)</f>
        <v>1.5299999999999999E-2</v>
      </c>
      <c r="N80" s="91">
        <f>VLOOKUP($A80,'Data Vlaue (Cr)'!$C:$FB,79)</f>
        <v>1349</v>
      </c>
      <c r="O80" s="92">
        <f>VLOOKUP($A80,'Data Vlaue (Cr)'!$C:$FB,82)</f>
        <v>-1.6000000000000001E-3</v>
      </c>
    </row>
    <row r="81" spans="1:15" x14ac:dyDescent="0.25">
      <c r="A81" s="97" t="str">
        <f>'Data Vlaue (Cr)'!C76</f>
        <v>HDFCBANK</v>
      </c>
      <c r="B81" s="142">
        <f>VLOOKUP(A81,'Data Vlaue (Cr)'!C76:CW287,99,0)</f>
        <v>38289</v>
      </c>
      <c r="C81" s="90">
        <f>VLOOKUP(A81,'Data Vlaue (Cr)'!C76:CY287,101,0)</f>
        <v>-338</v>
      </c>
      <c r="D81" s="139">
        <f>VLOOKUP(A81,'Data Vlaue (Cr)'!C76:CZ287,102,0)</f>
        <v>-8.8000000000000005E-3</v>
      </c>
      <c r="E81" s="91">
        <f>VLOOKUP($A81,'Data Vlaue (Cr)'!$C:$FB,75)</f>
        <v>27165</v>
      </c>
      <c r="F81" s="91">
        <f>VLOOKUP($A81,'Data Vlaue (Cr)'!$C:$FB,77)</f>
        <v>-565</v>
      </c>
      <c r="G81" s="92">
        <f>VLOOKUP(A81,'Data Vlaue (Cr)'!C76:CB287,78,0)</f>
        <v>-2.0400000000000001E-2</v>
      </c>
      <c r="H81" s="91">
        <f>VLOOKUP($A81,'Data Vlaue (Cr)'!$C:$FB,91)</f>
        <v>7329</v>
      </c>
      <c r="I81" s="91">
        <f>VLOOKUP($A81,'Data Vlaue (Cr)'!$C:$FB,93)</f>
        <v>111</v>
      </c>
      <c r="J81" s="92">
        <f>VLOOKUP($A81,'Data Vlaue (Cr)'!$C:$FB,94)</f>
        <v>1.54E-2</v>
      </c>
      <c r="K81" s="91">
        <f>VLOOKUP($A81,'Data Vlaue (Cr)'!$C:$FB,95)</f>
        <v>3795</v>
      </c>
      <c r="L81" s="91">
        <f>VLOOKUP($A81,'Data Vlaue (Cr)'!$C:$FB,97)</f>
        <v>116</v>
      </c>
      <c r="M81" s="92">
        <f>VLOOKUP($A81,'Data Vlaue (Cr)'!$C:$FB,98)</f>
        <v>3.1399999999999997E-2</v>
      </c>
      <c r="N81" s="91">
        <f>VLOOKUP($A81,'Data Vlaue (Cr)'!$C:$FB,79)</f>
        <v>23722</v>
      </c>
      <c r="O81" s="92">
        <f>VLOOKUP($A81,'Data Vlaue (Cr)'!$C:$FB,82)</f>
        <v>-2.93E-2</v>
      </c>
    </row>
    <row r="82" spans="1:15" x14ac:dyDescent="0.25">
      <c r="A82" s="97" t="str">
        <f>'Data Vlaue (Cr)'!C77</f>
        <v>HDFCLIFE</v>
      </c>
      <c r="B82" s="142">
        <f>VLOOKUP(A82,'Data Vlaue (Cr)'!C77:CW288,99,0)</f>
        <v>3732</v>
      </c>
      <c r="C82" s="90">
        <f>VLOOKUP(A82,'Data Vlaue (Cr)'!C77:CY288,101,0)</f>
        <v>-6</v>
      </c>
      <c r="D82" s="139">
        <f>VLOOKUP(A82,'Data Vlaue (Cr)'!C77:CZ288,102,0)</f>
        <v>-1.6999999999999999E-3</v>
      </c>
      <c r="E82" s="91">
        <f>VLOOKUP($A82,'Data Vlaue (Cr)'!$C:$FB,75)</f>
        <v>2443</v>
      </c>
      <c r="F82" s="91">
        <f>VLOOKUP($A82,'Data Vlaue (Cr)'!$C:$FB,77)</f>
        <v>-2</v>
      </c>
      <c r="G82" s="92">
        <f>VLOOKUP(A82,'Data Vlaue (Cr)'!C77:CB288,78,0)</f>
        <v>-1E-3</v>
      </c>
      <c r="H82" s="91">
        <f>VLOOKUP($A82,'Data Vlaue (Cr)'!$C:$FB,91)</f>
        <v>926</v>
      </c>
      <c r="I82" s="91">
        <f>VLOOKUP($A82,'Data Vlaue (Cr)'!$C:$FB,93)</f>
        <v>-19</v>
      </c>
      <c r="J82" s="92">
        <f>VLOOKUP($A82,'Data Vlaue (Cr)'!$C:$FB,94)</f>
        <v>-0.02</v>
      </c>
      <c r="K82" s="91">
        <f>VLOOKUP($A82,'Data Vlaue (Cr)'!$C:$FB,95)</f>
        <v>363</v>
      </c>
      <c r="L82" s="91">
        <f>VLOOKUP($A82,'Data Vlaue (Cr)'!$C:$FB,97)</f>
        <v>15</v>
      </c>
      <c r="M82" s="92">
        <f>VLOOKUP($A82,'Data Vlaue (Cr)'!$C:$FB,98)</f>
        <v>4.3499999999999997E-2</v>
      </c>
      <c r="N82" s="91">
        <f>VLOOKUP($A82,'Data Vlaue (Cr)'!$C:$FB,79)</f>
        <v>2358</v>
      </c>
      <c r="O82" s="92">
        <f>VLOOKUP($A82,'Data Vlaue (Cr)'!$C:$FB,82)</f>
        <v>-3.5000000000000001E-3</v>
      </c>
    </row>
    <row r="83" spans="1:15" x14ac:dyDescent="0.25">
      <c r="A83" s="97" t="str">
        <f>'Data Vlaue (Cr)'!C78</f>
        <v>HEROMOTOCO</v>
      </c>
      <c r="B83" s="142">
        <f>VLOOKUP(A83,'Data Vlaue (Cr)'!C78:CW289,99,0)</f>
        <v>3697</v>
      </c>
      <c r="C83" s="90">
        <f>VLOOKUP(A83,'Data Vlaue (Cr)'!C78:CY289,101,0)</f>
        <v>142</v>
      </c>
      <c r="D83" s="139">
        <f>VLOOKUP(A83,'Data Vlaue (Cr)'!C78:CZ289,102,0)</f>
        <v>3.9899999999999998E-2</v>
      </c>
      <c r="E83" s="91">
        <f>VLOOKUP($A83,'Data Vlaue (Cr)'!$C:$FB,75)</f>
        <v>1952</v>
      </c>
      <c r="F83" s="91">
        <f>VLOOKUP($A83,'Data Vlaue (Cr)'!$C:$FB,77)</f>
        <v>-1</v>
      </c>
      <c r="G83" s="92">
        <f>VLOOKUP(A83,'Data Vlaue (Cr)'!C78:CB289,78,0)</f>
        <v>-5.0000000000000001E-4</v>
      </c>
      <c r="H83" s="91">
        <f>VLOOKUP($A83,'Data Vlaue (Cr)'!$C:$FB,91)</f>
        <v>1049</v>
      </c>
      <c r="I83" s="91">
        <f>VLOOKUP($A83,'Data Vlaue (Cr)'!$C:$FB,93)</f>
        <v>115</v>
      </c>
      <c r="J83" s="92">
        <f>VLOOKUP($A83,'Data Vlaue (Cr)'!$C:$FB,94)</f>
        <v>0.1232</v>
      </c>
      <c r="K83" s="91">
        <f>VLOOKUP($A83,'Data Vlaue (Cr)'!$C:$FB,95)</f>
        <v>696</v>
      </c>
      <c r="L83" s="91">
        <f>VLOOKUP($A83,'Data Vlaue (Cr)'!$C:$FB,97)</f>
        <v>28</v>
      </c>
      <c r="M83" s="92">
        <f>VLOOKUP($A83,'Data Vlaue (Cr)'!$C:$FB,98)</f>
        <v>4.1700000000000001E-2</v>
      </c>
      <c r="N83" s="91">
        <f>VLOOKUP($A83,'Data Vlaue (Cr)'!$C:$FB,79)</f>
        <v>1908</v>
      </c>
      <c r="O83" s="92">
        <f>VLOOKUP($A83,'Data Vlaue (Cr)'!$C:$FB,82)</f>
        <v>-2.8E-3</v>
      </c>
    </row>
    <row r="84" spans="1:15" x14ac:dyDescent="0.25">
      <c r="A84" s="97" t="str">
        <f>'Data Vlaue (Cr)'!C79</f>
        <v>HINDALCO</v>
      </c>
      <c r="B84" s="142">
        <f>VLOOKUP(A84,'Data Vlaue (Cr)'!C79:CW290,99,0)</f>
        <v>6327</v>
      </c>
      <c r="C84" s="90">
        <f>VLOOKUP(A84,'Data Vlaue (Cr)'!C79:CY290,101,0)</f>
        <v>-21</v>
      </c>
      <c r="D84" s="139">
        <f>VLOOKUP(A84,'Data Vlaue (Cr)'!C79:CZ290,102,0)</f>
        <v>-3.3E-3</v>
      </c>
      <c r="E84" s="91">
        <f>VLOOKUP($A84,'Data Vlaue (Cr)'!$C:$FB,75)</f>
        <v>4374</v>
      </c>
      <c r="F84" s="91">
        <f>VLOOKUP($A84,'Data Vlaue (Cr)'!$C:$FB,77)</f>
        <v>37</v>
      </c>
      <c r="G84" s="92">
        <f>VLOOKUP(A84,'Data Vlaue (Cr)'!C79:CB290,78,0)</f>
        <v>8.5000000000000006E-3</v>
      </c>
      <c r="H84" s="91">
        <f>VLOOKUP($A84,'Data Vlaue (Cr)'!$C:$FB,91)</f>
        <v>1027</v>
      </c>
      <c r="I84" s="91">
        <f>VLOOKUP($A84,'Data Vlaue (Cr)'!$C:$FB,93)</f>
        <v>-49</v>
      </c>
      <c r="J84" s="92">
        <f>VLOOKUP($A84,'Data Vlaue (Cr)'!$C:$FB,94)</f>
        <v>-4.5600000000000002E-2</v>
      </c>
      <c r="K84" s="91">
        <f>VLOOKUP($A84,'Data Vlaue (Cr)'!$C:$FB,95)</f>
        <v>925</v>
      </c>
      <c r="L84" s="91">
        <f>VLOOKUP($A84,'Data Vlaue (Cr)'!$C:$FB,97)</f>
        <v>-8</v>
      </c>
      <c r="M84" s="92">
        <f>VLOOKUP($A84,'Data Vlaue (Cr)'!$C:$FB,98)</f>
        <v>-8.9999999999999993E-3</v>
      </c>
      <c r="N84" s="91">
        <f>VLOOKUP($A84,'Data Vlaue (Cr)'!$C:$FB,79)</f>
        <v>3642</v>
      </c>
      <c r="O84" s="92">
        <f>VLOOKUP($A84,'Data Vlaue (Cr)'!$C:$FB,82)</f>
        <v>7.4999999999999997E-3</v>
      </c>
    </row>
    <row r="85" spans="1:15" x14ac:dyDescent="0.25">
      <c r="A85" s="97" t="str">
        <f>'Data Vlaue (Cr)'!C80</f>
        <v>HINDPETRO</v>
      </c>
      <c r="B85" s="142">
        <f>VLOOKUP(A85,'Data Vlaue (Cr)'!C80:CW291,99,0)</f>
        <v>3476</v>
      </c>
      <c r="C85" s="90">
        <f>VLOOKUP(A85,'Data Vlaue (Cr)'!C80:CY291,101,0)</f>
        <v>161</v>
      </c>
      <c r="D85" s="139">
        <f>VLOOKUP(A85,'Data Vlaue (Cr)'!C80:CZ291,102,0)</f>
        <v>4.87E-2</v>
      </c>
      <c r="E85" s="91">
        <f>VLOOKUP($A85,'Data Vlaue (Cr)'!$C:$FB,75)</f>
        <v>2128</v>
      </c>
      <c r="F85" s="91">
        <f>VLOOKUP($A85,'Data Vlaue (Cr)'!$C:$FB,77)</f>
        <v>145</v>
      </c>
      <c r="G85" s="92">
        <f>VLOOKUP(A85,'Data Vlaue (Cr)'!C80:CB291,78,0)</f>
        <v>7.2900000000000006E-2</v>
      </c>
      <c r="H85" s="91">
        <f>VLOOKUP($A85,'Data Vlaue (Cr)'!$C:$FB,91)</f>
        <v>698</v>
      </c>
      <c r="I85" s="91">
        <f>VLOOKUP($A85,'Data Vlaue (Cr)'!$C:$FB,93)</f>
        <v>17</v>
      </c>
      <c r="J85" s="92">
        <f>VLOOKUP($A85,'Data Vlaue (Cr)'!$C:$FB,94)</f>
        <v>2.53E-2</v>
      </c>
      <c r="K85" s="91">
        <f>VLOOKUP($A85,'Data Vlaue (Cr)'!$C:$FB,95)</f>
        <v>649</v>
      </c>
      <c r="L85" s="91">
        <f>VLOOKUP($A85,'Data Vlaue (Cr)'!$C:$FB,97)</f>
        <v>0</v>
      </c>
      <c r="M85" s="92">
        <f>VLOOKUP($A85,'Data Vlaue (Cr)'!$C:$FB,98)</f>
        <v>-5.9999999999999995E-4</v>
      </c>
      <c r="N85" s="91">
        <f>VLOOKUP($A85,'Data Vlaue (Cr)'!$C:$FB,79)</f>
        <v>1818</v>
      </c>
      <c r="O85" s="92">
        <f>VLOOKUP($A85,'Data Vlaue (Cr)'!$C:$FB,82)</f>
        <v>6.9199999999999998E-2</v>
      </c>
    </row>
    <row r="86" spans="1:15" x14ac:dyDescent="0.25">
      <c r="A86" s="97" t="str">
        <f>'Data Vlaue (Cr)'!C81</f>
        <v>HINDUNILVR</v>
      </c>
      <c r="B86" s="142">
        <f>VLOOKUP(A86,'Data Vlaue (Cr)'!C81:CW292,99,0)</f>
        <v>5668</v>
      </c>
      <c r="C86" s="90">
        <f>VLOOKUP(A86,'Data Vlaue (Cr)'!C81:CY292,101,0)</f>
        <v>248</v>
      </c>
      <c r="D86" s="139">
        <f>VLOOKUP(A86,'Data Vlaue (Cr)'!C81:CZ292,102,0)</f>
        <v>4.58E-2</v>
      </c>
      <c r="E86" s="91">
        <f>VLOOKUP($A86,'Data Vlaue (Cr)'!$C:$FB,75)</f>
        <v>3488</v>
      </c>
      <c r="F86" s="91">
        <f>VLOOKUP($A86,'Data Vlaue (Cr)'!$C:$FB,77)</f>
        <v>1</v>
      </c>
      <c r="G86" s="92">
        <f>VLOOKUP(A86,'Data Vlaue (Cr)'!C81:CB292,78,0)</f>
        <v>2.9999999999999997E-4</v>
      </c>
      <c r="H86" s="91">
        <f>VLOOKUP($A86,'Data Vlaue (Cr)'!$C:$FB,91)</f>
        <v>1481</v>
      </c>
      <c r="I86" s="91">
        <f>VLOOKUP($A86,'Data Vlaue (Cr)'!$C:$FB,93)</f>
        <v>211</v>
      </c>
      <c r="J86" s="92">
        <f>VLOOKUP($A86,'Data Vlaue (Cr)'!$C:$FB,94)</f>
        <v>0.16650000000000001</v>
      </c>
      <c r="K86" s="91">
        <f>VLOOKUP($A86,'Data Vlaue (Cr)'!$C:$FB,95)</f>
        <v>700</v>
      </c>
      <c r="L86" s="91">
        <f>VLOOKUP($A86,'Data Vlaue (Cr)'!$C:$FB,97)</f>
        <v>36</v>
      </c>
      <c r="M86" s="92">
        <f>VLOOKUP($A86,'Data Vlaue (Cr)'!$C:$FB,98)</f>
        <v>5.3699999999999998E-2</v>
      </c>
      <c r="N86" s="91">
        <f>VLOOKUP($A86,'Data Vlaue (Cr)'!$C:$FB,79)</f>
        <v>3366</v>
      </c>
      <c r="O86" s="92">
        <f>VLOOKUP($A86,'Data Vlaue (Cr)'!$C:$FB,82)</f>
        <v>-3.8E-3</v>
      </c>
    </row>
    <row r="87" spans="1:15" x14ac:dyDescent="0.25">
      <c r="A87" s="97" t="str">
        <f>'Data Vlaue (Cr)'!C82</f>
        <v>HINDZINC</v>
      </c>
      <c r="B87" s="142">
        <f>VLOOKUP(A87,'Data Vlaue (Cr)'!C82:CW293,99,0)</f>
        <v>4672</v>
      </c>
      <c r="C87" s="90">
        <f>VLOOKUP(A87,'Data Vlaue (Cr)'!C82:CY293,101,0)</f>
        <v>-1</v>
      </c>
      <c r="D87" s="139">
        <f>VLOOKUP(A87,'Data Vlaue (Cr)'!C82:CZ293,102,0)</f>
        <v>-2.9999999999999997E-4</v>
      </c>
      <c r="E87" s="91">
        <f>VLOOKUP($A87,'Data Vlaue (Cr)'!$C:$FB,75)</f>
        <v>2147</v>
      </c>
      <c r="F87" s="91">
        <f>VLOOKUP($A87,'Data Vlaue (Cr)'!$C:$FB,77)</f>
        <v>1</v>
      </c>
      <c r="G87" s="92">
        <f>VLOOKUP(A87,'Data Vlaue (Cr)'!C82:CB293,78,0)</f>
        <v>4.0000000000000002E-4</v>
      </c>
      <c r="H87" s="91">
        <f>VLOOKUP($A87,'Data Vlaue (Cr)'!$C:$FB,91)</f>
        <v>1608</v>
      </c>
      <c r="I87" s="91">
        <f>VLOOKUP($A87,'Data Vlaue (Cr)'!$C:$FB,93)</f>
        <v>6</v>
      </c>
      <c r="J87" s="92">
        <f>VLOOKUP($A87,'Data Vlaue (Cr)'!$C:$FB,94)</f>
        <v>3.5000000000000001E-3</v>
      </c>
      <c r="K87" s="91">
        <f>VLOOKUP($A87,'Data Vlaue (Cr)'!$C:$FB,95)</f>
        <v>917</v>
      </c>
      <c r="L87" s="91">
        <f>VLOOKUP($A87,'Data Vlaue (Cr)'!$C:$FB,97)</f>
        <v>-8</v>
      </c>
      <c r="M87" s="92">
        <f>VLOOKUP($A87,'Data Vlaue (Cr)'!$C:$FB,98)</f>
        <v>-8.5000000000000006E-3</v>
      </c>
      <c r="N87" s="91">
        <f>VLOOKUP($A87,'Data Vlaue (Cr)'!$C:$FB,79)</f>
        <v>1944</v>
      </c>
      <c r="O87" s="92">
        <f>VLOOKUP($A87,'Data Vlaue (Cr)'!$C:$FB,82)</f>
        <v>-3.3E-3</v>
      </c>
    </row>
    <row r="88" spans="1:15" x14ac:dyDescent="0.25">
      <c r="A88" s="97" t="str">
        <f>'Data Vlaue (Cr)'!C83</f>
        <v>HUDCO</v>
      </c>
      <c r="B88" s="142">
        <f>VLOOKUP(A88,'Data Vlaue (Cr)'!C83:CW294,99,0)</f>
        <v>1304</v>
      </c>
      <c r="C88" s="90">
        <f>VLOOKUP(A88,'Data Vlaue (Cr)'!C83:CY294,101,0)</f>
        <v>14</v>
      </c>
      <c r="D88" s="139">
        <f>VLOOKUP(A88,'Data Vlaue (Cr)'!C83:CZ294,102,0)</f>
        <v>1.11E-2</v>
      </c>
      <c r="E88" s="91">
        <f>VLOOKUP($A88,'Data Vlaue (Cr)'!$C:$FB,75)</f>
        <v>702</v>
      </c>
      <c r="F88" s="91">
        <f>VLOOKUP($A88,'Data Vlaue (Cr)'!$C:$FB,77)</f>
        <v>-5</v>
      </c>
      <c r="G88" s="92">
        <f>VLOOKUP(A88,'Data Vlaue (Cr)'!C83:CB294,78,0)</f>
        <v>-7.4000000000000003E-3</v>
      </c>
      <c r="H88" s="91">
        <f>VLOOKUP($A88,'Data Vlaue (Cr)'!$C:$FB,91)</f>
        <v>369</v>
      </c>
      <c r="I88" s="91">
        <f>VLOOKUP($A88,'Data Vlaue (Cr)'!$C:$FB,93)</f>
        <v>20</v>
      </c>
      <c r="J88" s="92">
        <f>VLOOKUP($A88,'Data Vlaue (Cr)'!$C:$FB,94)</f>
        <v>5.6800000000000003E-2</v>
      </c>
      <c r="K88" s="91">
        <f>VLOOKUP($A88,'Data Vlaue (Cr)'!$C:$FB,95)</f>
        <v>233</v>
      </c>
      <c r="L88" s="91">
        <f>VLOOKUP($A88,'Data Vlaue (Cr)'!$C:$FB,97)</f>
        <v>0</v>
      </c>
      <c r="M88" s="92">
        <f>VLOOKUP($A88,'Data Vlaue (Cr)'!$C:$FB,98)</f>
        <v>-8.0000000000000004E-4</v>
      </c>
      <c r="N88" s="91">
        <f>VLOOKUP($A88,'Data Vlaue (Cr)'!$C:$FB,79)</f>
        <v>674</v>
      </c>
      <c r="O88" s="92">
        <f>VLOOKUP($A88,'Data Vlaue (Cr)'!$C:$FB,82)</f>
        <v>-9.1000000000000004E-3</v>
      </c>
    </row>
    <row r="89" spans="1:15" x14ac:dyDescent="0.25">
      <c r="A89" s="97" t="str">
        <f>'Data Vlaue (Cr)'!C84</f>
        <v>ICICIBANK</v>
      </c>
      <c r="B89" s="142">
        <f>VLOOKUP(A89,'Data Vlaue (Cr)'!C84:CW295,99,0)</f>
        <v>23670</v>
      </c>
      <c r="C89" s="90">
        <f>VLOOKUP(A89,'Data Vlaue (Cr)'!C84:CY295,101,0)</f>
        <v>563</v>
      </c>
      <c r="D89" s="139">
        <f>VLOOKUP(A89,'Data Vlaue (Cr)'!C84:CZ295,102,0)</f>
        <v>2.4400000000000002E-2</v>
      </c>
      <c r="E89" s="91">
        <f>VLOOKUP($A89,'Data Vlaue (Cr)'!$C:$FB,75)</f>
        <v>16681</v>
      </c>
      <c r="F89" s="91">
        <f>VLOOKUP($A89,'Data Vlaue (Cr)'!$C:$FB,77)</f>
        <v>424</v>
      </c>
      <c r="G89" s="92">
        <f>VLOOKUP(A89,'Data Vlaue (Cr)'!C84:CB295,78,0)</f>
        <v>2.6100000000000002E-2</v>
      </c>
      <c r="H89" s="91">
        <f>VLOOKUP($A89,'Data Vlaue (Cr)'!$C:$FB,91)</f>
        <v>4398</v>
      </c>
      <c r="I89" s="91">
        <f>VLOOKUP($A89,'Data Vlaue (Cr)'!$C:$FB,93)</f>
        <v>150</v>
      </c>
      <c r="J89" s="92">
        <f>VLOOKUP($A89,'Data Vlaue (Cr)'!$C:$FB,94)</f>
        <v>3.5299999999999998E-2</v>
      </c>
      <c r="K89" s="91">
        <f>VLOOKUP($A89,'Data Vlaue (Cr)'!$C:$FB,95)</f>
        <v>2591</v>
      </c>
      <c r="L89" s="91">
        <f>VLOOKUP($A89,'Data Vlaue (Cr)'!$C:$FB,97)</f>
        <v>-11</v>
      </c>
      <c r="M89" s="92">
        <f>VLOOKUP($A89,'Data Vlaue (Cr)'!$C:$FB,98)</f>
        <v>-4.1000000000000003E-3</v>
      </c>
      <c r="N89" s="91">
        <f>VLOOKUP($A89,'Data Vlaue (Cr)'!$C:$FB,79)</f>
        <v>15282</v>
      </c>
      <c r="O89" s="92">
        <f>VLOOKUP($A89,'Data Vlaue (Cr)'!$C:$FB,82)</f>
        <v>2.2700000000000001E-2</v>
      </c>
    </row>
    <row r="90" spans="1:15" x14ac:dyDescent="0.25">
      <c r="A90" s="97" t="str">
        <f>'Data Vlaue (Cr)'!C85</f>
        <v>ICICIGI</v>
      </c>
      <c r="B90" s="142">
        <f>VLOOKUP(A90,'Data Vlaue (Cr)'!C85:CW296,99,0)</f>
        <v>1255</v>
      </c>
      <c r="C90" s="90">
        <f>VLOOKUP(A90,'Data Vlaue (Cr)'!C85:CY296,101,0)</f>
        <v>40</v>
      </c>
      <c r="D90" s="139">
        <f>VLOOKUP(A90,'Data Vlaue (Cr)'!C85:CZ296,102,0)</f>
        <v>3.3300000000000003E-2</v>
      </c>
      <c r="E90" s="91">
        <f>VLOOKUP($A90,'Data Vlaue (Cr)'!$C:$FB,75)</f>
        <v>895</v>
      </c>
      <c r="F90" s="91">
        <f>VLOOKUP($A90,'Data Vlaue (Cr)'!$C:$FB,77)</f>
        <v>7</v>
      </c>
      <c r="G90" s="92">
        <f>VLOOKUP(A90,'Data Vlaue (Cr)'!C85:CB296,78,0)</f>
        <v>7.7000000000000002E-3</v>
      </c>
      <c r="H90" s="91">
        <f>VLOOKUP($A90,'Data Vlaue (Cr)'!$C:$FB,91)</f>
        <v>234</v>
      </c>
      <c r="I90" s="91">
        <f>VLOOKUP($A90,'Data Vlaue (Cr)'!$C:$FB,93)</f>
        <v>35</v>
      </c>
      <c r="J90" s="92">
        <f>VLOOKUP($A90,'Data Vlaue (Cr)'!$C:$FB,94)</f>
        <v>0.17249999999999999</v>
      </c>
      <c r="K90" s="91">
        <f>VLOOKUP($A90,'Data Vlaue (Cr)'!$C:$FB,95)</f>
        <v>125</v>
      </c>
      <c r="L90" s="91">
        <f>VLOOKUP($A90,'Data Vlaue (Cr)'!$C:$FB,97)</f>
        <v>-1</v>
      </c>
      <c r="M90" s="92">
        <f>VLOOKUP($A90,'Data Vlaue (Cr)'!$C:$FB,98)</f>
        <v>-7.6E-3</v>
      </c>
      <c r="N90" s="91">
        <f>VLOOKUP($A90,'Data Vlaue (Cr)'!$C:$FB,79)</f>
        <v>891</v>
      </c>
      <c r="O90" s="92">
        <f>VLOOKUP($A90,'Data Vlaue (Cr)'!$C:$FB,82)</f>
        <v>7.6E-3</v>
      </c>
    </row>
    <row r="91" spans="1:15" x14ac:dyDescent="0.25">
      <c r="A91" s="97" t="str">
        <f>'Data Vlaue (Cr)'!C86</f>
        <v>ICICIPRULI</v>
      </c>
      <c r="B91" s="142">
        <f>VLOOKUP(A91,'Data Vlaue (Cr)'!C86:CW297,99,0)</f>
        <v>1352</v>
      </c>
      <c r="C91" s="90">
        <f>VLOOKUP(A91,'Data Vlaue (Cr)'!C86:CY297,101,0)</f>
        <v>10</v>
      </c>
      <c r="D91" s="139">
        <f>VLOOKUP(A91,'Data Vlaue (Cr)'!C86:CZ297,102,0)</f>
        <v>7.1999999999999998E-3</v>
      </c>
      <c r="E91" s="91">
        <f>VLOOKUP($A91,'Data Vlaue (Cr)'!$C:$FB,75)</f>
        <v>1005</v>
      </c>
      <c r="F91" s="91">
        <f>VLOOKUP($A91,'Data Vlaue (Cr)'!$C:$FB,77)</f>
        <v>-4</v>
      </c>
      <c r="G91" s="92">
        <f>VLOOKUP(A91,'Data Vlaue (Cr)'!C86:CB297,78,0)</f>
        <v>-3.7000000000000002E-3</v>
      </c>
      <c r="H91" s="91">
        <f>VLOOKUP($A91,'Data Vlaue (Cr)'!$C:$FB,91)</f>
        <v>205</v>
      </c>
      <c r="I91" s="91">
        <f>VLOOKUP($A91,'Data Vlaue (Cr)'!$C:$FB,93)</f>
        <v>12</v>
      </c>
      <c r="J91" s="92">
        <f>VLOOKUP($A91,'Data Vlaue (Cr)'!$C:$FB,94)</f>
        <v>6.3899999999999998E-2</v>
      </c>
      <c r="K91" s="91">
        <f>VLOOKUP($A91,'Data Vlaue (Cr)'!$C:$FB,95)</f>
        <v>142</v>
      </c>
      <c r="L91" s="91">
        <f>VLOOKUP($A91,'Data Vlaue (Cr)'!$C:$FB,97)</f>
        <v>1</v>
      </c>
      <c r="M91" s="92">
        <f>VLOOKUP($A91,'Data Vlaue (Cr)'!$C:$FB,98)</f>
        <v>7.7999999999999996E-3</v>
      </c>
      <c r="N91" s="91">
        <f>VLOOKUP($A91,'Data Vlaue (Cr)'!$C:$FB,79)</f>
        <v>999</v>
      </c>
      <c r="O91" s="92">
        <f>VLOOKUP($A91,'Data Vlaue (Cr)'!$C:$FB,82)</f>
        <v>-3.3999999999999998E-3</v>
      </c>
    </row>
    <row r="92" spans="1:15" x14ac:dyDescent="0.25">
      <c r="A92" s="97" t="str">
        <f>'Data Vlaue (Cr)'!C87</f>
        <v>IDEA</v>
      </c>
      <c r="B92" s="142">
        <f>VLOOKUP(A92,'Data Vlaue (Cr)'!C87:CW298,99,0)</f>
        <v>9719</v>
      </c>
      <c r="C92" s="90">
        <f>VLOOKUP(A92,'Data Vlaue (Cr)'!C87:CY298,101,0)</f>
        <v>47</v>
      </c>
      <c r="D92" s="139">
        <f>VLOOKUP(A92,'Data Vlaue (Cr)'!C87:CZ298,102,0)</f>
        <v>4.8999999999999998E-3</v>
      </c>
      <c r="E92" s="91">
        <f>VLOOKUP($A92,'Data Vlaue (Cr)'!$C:$FB,75)</f>
        <v>6854</v>
      </c>
      <c r="F92" s="91">
        <f>VLOOKUP($A92,'Data Vlaue (Cr)'!$C:$FB,77)</f>
        <v>-8</v>
      </c>
      <c r="G92" s="92">
        <f>VLOOKUP(A92,'Data Vlaue (Cr)'!C87:CB298,78,0)</f>
        <v>-1.1999999999999999E-3</v>
      </c>
      <c r="H92" s="91">
        <f>VLOOKUP($A92,'Data Vlaue (Cr)'!$C:$FB,91)</f>
        <v>1917</v>
      </c>
      <c r="I92" s="91">
        <f>VLOOKUP($A92,'Data Vlaue (Cr)'!$C:$FB,93)</f>
        <v>47</v>
      </c>
      <c r="J92" s="92">
        <f>VLOOKUP($A92,'Data Vlaue (Cr)'!$C:$FB,94)</f>
        <v>2.4899999999999999E-2</v>
      </c>
      <c r="K92" s="91">
        <f>VLOOKUP($A92,'Data Vlaue (Cr)'!$C:$FB,95)</f>
        <v>948</v>
      </c>
      <c r="L92" s="91">
        <f>VLOOKUP($A92,'Data Vlaue (Cr)'!$C:$FB,97)</f>
        <v>9</v>
      </c>
      <c r="M92" s="92">
        <f>VLOOKUP($A92,'Data Vlaue (Cr)'!$C:$FB,98)</f>
        <v>9.5999999999999992E-3</v>
      </c>
      <c r="N92" s="91">
        <f>VLOOKUP($A92,'Data Vlaue (Cr)'!$C:$FB,79)</f>
        <v>6354</v>
      </c>
      <c r="O92" s="92">
        <f>VLOOKUP($A92,'Data Vlaue (Cr)'!$C:$FB,82)</f>
        <v>-2.47E-2</v>
      </c>
    </row>
    <row r="93" spans="1:15" x14ac:dyDescent="0.25">
      <c r="A93" s="97" t="str">
        <f>'Data Vlaue (Cr)'!C88</f>
        <v>IDFCFIRSTB</v>
      </c>
      <c r="B93" s="142">
        <f>VLOOKUP(A93,'Data Vlaue (Cr)'!C88:CW299,99,0)</f>
        <v>6768</v>
      </c>
      <c r="C93" s="90">
        <f>VLOOKUP(A93,'Data Vlaue (Cr)'!C88:CY299,101,0)</f>
        <v>42</v>
      </c>
      <c r="D93" s="139">
        <f>VLOOKUP(A93,'Data Vlaue (Cr)'!C88:CZ299,102,0)</f>
        <v>6.1999999999999998E-3</v>
      </c>
      <c r="E93" s="91">
        <f>VLOOKUP($A93,'Data Vlaue (Cr)'!$C:$FB,75)</f>
        <v>3361</v>
      </c>
      <c r="F93" s="91">
        <f>VLOOKUP($A93,'Data Vlaue (Cr)'!$C:$FB,77)</f>
        <v>10</v>
      </c>
      <c r="G93" s="92">
        <f>VLOOKUP(A93,'Data Vlaue (Cr)'!C88:CB299,78,0)</f>
        <v>3.0000000000000001E-3</v>
      </c>
      <c r="H93" s="91">
        <f>VLOOKUP($A93,'Data Vlaue (Cr)'!$C:$FB,91)</f>
        <v>2164</v>
      </c>
      <c r="I93" s="91">
        <f>VLOOKUP($A93,'Data Vlaue (Cr)'!$C:$FB,93)</f>
        <v>27</v>
      </c>
      <c r="J93" s="92">
        <f>VLOOKUP($A93,'Data Vlaue (Cr)'!$C:$FB,94)</f>
        <v>1.24E-2</v>
      </c>
      <c r="K93" s="91">
        <f>VLOOKUP($A93,'Data Vlaue (Cr)'!$C:$FB,95)</f>
        <v>1243</v>
      </c>
      <c r="L93" s="91">
        <f>VLOOKUP($A93,'Data Vlaue (Cr)'!$C:$FB,97)</f>
        <v>5</v>
      </c>
      <c r="M93" s="92">
        <f>VLOOKUP($A93,'Data Vlaue (Cr)'!$C:$FB,98)</f>
        <v>4.4000000000000003E-3</v>
      </c>
      <c r="N93" s="91">
        <f>VLOOKUP($A93,'Data Vlaue (Cr)'!$C:$FB,79)</f>
        <v>3014</v>
      </c>
      <c r="O93" s="92">
        <f>VLOOKUP($A93,'Data Vlaue (Cr)'!$C:$FB,82)</f>
        <v>-4.1000000000000003E-3</v>
      </c>
    </row>
    <row r="94" spans="1:15" x14ac:dyDescent="0.25">
      <c r="A94" s="97" t="str">
        <f>'Data Vlaue (Cr)'!C89</f>
        <v>IEX</v>
      </c>
      <c r="B94" s="142">
        <f>VLOOKUP(A94,'Data Vlaue (Cr)'!C89:CW300,99,0)</f>
        <v>1821</v>
      </c>
      <c r="C94" s="90">
        <f>VLOOKUP(A94,'Data Vlaue (Cr)'!C89:CY300,101,0)</f>
        <v>16</v>
      </c>
      <c r="D94" s="139">
        <f>VLOOKUP(A94,'Data Vlaue (Cr)'!C89:CZ300,102,0)</f>
        <v>8.6999999999999994E-3</v>
      </c>
      <c r="E94" s="91">
        <f>VLOOKUP($A94,'Data Vlaue (Cr)'!$C:$FB,75)</f>
        <v>929</v>
      </c>
      <c r="F94" s="91">
        <f>VLOOKUP($A94,'Data Vlaue (Cr)'!$C:$FB,77)</f>
        <v>5</v>
      </c>
      <c r="G94" s="92">
        <f>VLOOKUP(A94,'Data Vlaue (Cr)'!C89:CB300,78,0)</f>
        <v>5.5999999999999999E-3</v>
      </c>
      <c r="H94" s="91">
        <f>VLOOKUP($A94,'Data Vlaue (Cr)'!$C:$FB,91)</f>
        <v>532</v>
      </c>
      <c r="I94" s="91">
        <f>VLOOKUP($A94,'Data Vlaue (Cr)'!$C:$FB,93)</f>
        <v>5</v>
      </c>
      <c r="J94" s="92">
        <f>VLOOKUP($A94,'Data Vlaue (Cr)'!$C:$FB,94)</f>
        <v>8.6E-3</v>
      </c>
      <c r="K94" s="91">
        <f>VLOOKUP($A94,'Data Vlaue (Cr)'!$C:$FB,95)</f>
        <v>360</v>
      </c>
      <c r="L94" s="91">
        <f>VLOOKUP($A94,'Data Vlaue (Cr)'!$C:$FB,97)</f>
        <v>6</v>
      </c>
      <c r="M94" s="92">
        <f>VLOOKUP($A94,'Data Vlaue (Cr)'!$C:$FB,98)</f>
        <v>1.6899999999999998E-2</v>
      </c>
      <c r="N94" s="91">
        <f>VLOOKUP($A94,'Data Vlaue (Cr)'!$C:$FB,79)</f>
        <v>805</v>
      </c>
      <c r="O94" s="92">
        <f>VLOOKUP($A94,'Data Vlaue (Cr)'!$C:$FB,82)</f>
        <v>-1.8E-3</v>
      </c>
    </row>
    <row r="95" spans="1:15" x14ac:dyDescent="0.25">
      <c r="A95" s="97" t="str">
        <f>'Data Vlaue (Cr)'!C90</f>
        <v>INDHOTEL</v>
      </c>
      <c r="B95" s="142">
        <f>VLOOKUP(A95,'Data Vlaue (Cr)'!C90:CW301,99,0)</f>
        <v>2266</v>
      </c>
      <c r="C95" s="90">
        <f>VLOOKUP(A95,'Data Vlaue (Cr)'!C90:CY301,101,0)</f>
        <v>-4</v>
      </c>
      <c r="D95" s="139">
        <f>VLOOKUP(A95,'Data Vlaue (Cr)'!C90:CZ301,102,0)</f>
        <v>-1.8E-3</v>
      </c>
      <c r="E95" s="91">
        <f>VLOOKUP($A95,'Data Vlaue (Cr)'!$C:$FB,75)</f>
        <v>1295</v>
      </c>
      <c r="F95" s="91">
        <f>VLOOKUP($A95,'Data Vlaue (Cr)'!$C:$FB,77)</f>
        <v>-54</v>
      </c>
      <c r="G95" s="92">
        <f>VLOOKUP(A95,'Data Vlaue (Cr)'!C90:CB301,78,0)</f>
        <v>-3.9699999999999999E-2</v>
      </c>
      <c r="H95" s="91">
        <f>VLOOKUP($A95,'Data Vlaue (Cr)'!$C:$FB,91)</f>
        <v>523</v>
      </c>
      <c r="I95" s="91">
        <f>VLOOKUP($A95,'Data Vlaue (Cr)'!$C:$FB,93)</f>
        <v>18</v>
      </c>
      <c r="J95" s="92">
        <f>VLOOKUP($A95,'Data Vlaue (Cr)'!$C:$FB,94)</f>
        <v>3.5400000000000001E-2</v>
      </c>
      <c r="K95" s="91">
        <f>VLOOKUP($A95,'Data Vlaue (Cr)'!$C:$FB,95)</f>
        <v>448</v>
      </c>
      <c r="L95" s="91">
        <f>VLOOKUP($A95,'Data Vlaue (Cr)'!$C:$FB,97)</f>
        <v>32</v>
      </c>
      <c r="M95" s="92">
        <f>VLOOKUP($A95,'Data Vlaue (Cr)'!$C:$FB,98)</f>
        <v>7.5800000000000006E-2</v>
      </c>
      <c r="N95" s="91">
        <f>VLOOKUP($A95,'Data Vlaue (Cr)'!$C:$FB,79)</f>
        <v>1239</v>
      </c>
      <c r="O95" s="92">
        <f>VLOOKUP($A95,'Data Vlaue (Cr)'!$C:$FB,82)</f>
        <v>-4.2099999999999999E-2</v>
      </c>
    </row>
    <row r="96" spans="1:15" x14ac:dyDescent="0.25">
      <c r="A96" s="97" t="str">
        <f>'Data Vlaue (Cr)'!C91</f>
        <v>INDIANB</v>
      </c>
      <c r="B96" s="142">
        <f>VLOOKUP(A96,'Data Vlaue (Cr)'!C91:CW302,99,0)</f>
        <v>1609</v>
      </c>
      <c r="C96" s="90">
        <f>VLOOKUP(A96,'Data Vlaue (Cr)'!C91:CY302,101,0)</f>
        <v>79</v>
      </c>
      <c r="D96" s="139">
        <f>VLOOKUP(A96,'Data Vlaue (Cr)'!C91:CZ302,102,0)</f>
        <v>5.1700000000000003E-2</v>
      </c>
      <c r="E96" s="91">
        <f>VLOOKUP($A96,'Data Vlaue (Cr)'!$C:$FB,75)</f>
        <v>758</v>
      </c>
      <c r="F96" s="91">
        <f>VLOOKUP($A96,'Data Vlaue (Cr)'!$C:$FB,77)</f>
        <v>18</v>
      </c>
      <c r="G96" s="92">
        <f>VLOOKUP(A96,'Data Vlaue (Cr)'!C91:CB302,78,0)</f>
        <v>2.4400000000000002E-2</v>
      </c>
      <c r="H96" s="91">
        <f>VLOOKUP($A96,'Data Vlaue (Cr)'!$C:$FB,91)</f>
        <v>511</v>
      </c>
      <c r="I96" s="91">
        <f>VLOOKUP($A96,'Data Vlaue (Cr)'!$C:$FB,93)</f>
        <v>54</v>
      </c>
      <c r="J96" s="92">
        <f>VLOOKUP($A96,'Data Vlaue (Cr)'!$C:$FB,94)</f>
        <v>0.1183</v>
      </c>
      <c r="K96" s="91">
        <f>VLOOKUP($A96,'Data Vlaue (Cr)'!$C:$FB,95)</f>
        <v>340</v>
      </c>
      <c r="L96" s="91">
        <f>VLOOKUP($A96,'Data Vlaue (Cr)'!$C:$FB,97)</f>
        <v>7</v>
      </c>
      <c r="M96" s="92">
        <f>VLOOKUP($A96,'Data Vlaue (Cr)'!$C:$FB,98)</f>
        <v>2.0799999999999999E-2</v>
      </c>
      <c r="N96" s="91">
        <f>VLOOKUP($A96,'Data Vlaue (Cr)'!$C:$FB,79)</f>
        <v>740</v>
      </c>
      <c r="O96" s="92">
        <f>VLOOKUP($A96,'Data Vlaue (Cr)'!$C:$FB,82)</f>
        <v>2.2100000000000002E-2</v>
      </c>
    </row>
    <row r="97" spans="1:15" x14ac:dyDescent="0.25">
      <c r="A97" s="97" t="str">
        <f>'Data Vlaue (Cr)'!C92</f>
        <v>INDIAVIX</v>
      </c>
      <c r="B97" s="142">
        <f>VLOOKUP(A97,'Data Vlaue (Cr)'!C92:CW303,99,0)</f>
        <v>0</v>
      </c>
      <c r="C97" s="90">
        <f>VLOOKUP(A97,'Data Vlaue (Cr)'!C92:CY303,101,0)</f>
        <v>0</v>
      </c>
      <c r="D97" s="139">
        <f>VLOOKUP(A97,'Data Vlaue (Cr)'!C92:CZ303,102,0)</f>
        <v>0</v>
      </c>
      <c r="E97" s="91">
        <f>VLOOKUP($A97,'Data Vlaue (Cr)'!$C:$FB,75)</f>
        <v>0</v>
      </c>
      <c r="F97" s="91">
        <f>VLOOKUP($A97,'Data Vlaue (Cr)'!$C:$FB,77)</f>
        <v>0</v>
      </c>
      <c r="G97" s="92">
        <f>VLOOKUP(A97,'Data Vlaue (Cr)'!C92:CB303,78,0)</f>
        <v>0</v>
      </c>
      <c r="H97" s="91">
        <f>VLOOKUP($A97,'Data Vlaue (Cr)'!$C:$FB,91)</f>
        <v>0</v>
      </c>
      <c r="I97" s="91">
        <f>VLOOKUP($A97,'Data Vlaue (Cr)'!$C:$FB,93)</f>
        <v>0</v>
      </c>
      <c r="J97" s="92">
        <f>VLOOKUP($A97,'Data Vlaue (Cr)'!$C:$FB,94)</f>
        <v>0</v>
      </c>
      <c r="K97" s="91">
        <f>VLOOKUP($A97,'Data Vlaue (Cr)'!$C:$FB,95)</f>
        <v>0</v>
      </c>
      <c r="L97" s="91">
        <f>VLOOKUP($A97,'Data Vlaue (Cr)'!$C:$FB,97)</f>
        <v>0</v>
      </c>
      <c r="M97" s="92">
        <f>VLOOKUP($A97,'Data Vlaue (Cr)'!$C:$FB,98)</f>
        <v>0</v>
      </c>
      <c r="N97" s="91">
        <f>VLOOKUP($A97,'Data Vlaue (Cr)'!$C:$FB,79)</f>
        <v>0</v>
      </c>
      <c r="O97" s="92">
        <f>VLOOKUP($A97,'Data Vlaue (Cr)'!$C:$FB,82)</f>
        <v>0</v>
      </c>
    </row>
    <row r="98" spans="1:15" x14ac:dyDescent="0.25">
      <c r="A98" s="97" t="str">
        <f>'Data Vlaue (Cr)'!C93</f>
        <v>INDIGO</v>
      </c>
      <c r="B98" s="142">
        <f>VLOOKUP(A98,'Data Vlaue (Cr)'!C93:CW304,99,0)</f>
        <v>9331</v>
      </c>
      <c r="C98" s="90">
        <f>VLOOKUP(A98,'Data Vlaue (Cr)'!C93:CY304,101,0)</f>
        <v>-10</v>
      </c>
      <c r="D98" s="139">
        <f>VLOOKUP(A98,'Data Vlaue (Cr)'!C93:CZ304,102,0)</f>
        <v>-1E-3</v>
      </c>
      <c r="E98" s="91">
        <f>VLOOKUP($A98,'Data Vlaue (Cr)'!$C:$FB,75)</f>
        <v>4119</v>
      </c>
      <c r="F98" s="91">
        <f>VLOOKUP($A98,'Data Vlaue (Cr)'!$C:$FB,77)</f>
        <v>-5</v>
      </c>
      <c r="G98" s="92">
        <f>VLOOKUP(A98,'Data Vlaue (Cr)'!C93:CB304,78,0)</f>
        <v>-1.2999999999999999E-3</v>
      </c>
      <c r="H98" s="91">
        <f>VLOOKUP($A98,'Data Vlaue (Cr)'!$C:$FB,91)</f>
        <v>3364</v>
      </c>
      <c r="I98" s="91">
        <f>VLOOKUP($A98,'Data Vlaue (Cr)'!$C:$FB,93)</f>
        <v>97</v>
      </c>
      <c r="J98" s="92">
        <f>VLOOKUP($A98,'Data Vlaue (Cr)'!$C:$FB,94)</f>
        <v>2.98E-2</v>
      </c>
      <c r="K98" s="91">
        <f>VLOOKUP($A98,'Data Vlaue (Cr)'!$C:$FB,95)</f>
        <v>1847</v>
      </c>
      <c r="L98" s="91">
        <f>VLOOKUP($A98,'Data Vlaue (Cr)'!$C:$FB,97)</f>
        <v>-102</v>
      </c>
      <c r="M98" s="92">
        <f>VLOOKUP($A98,'Data Vlaue (Cr)'!$C:$FB,98)</f>
        <v>-5.21E-2</v>
      </c>
      <c r="N98" s="91">
        <f>VLOOKUP($A98,'Data Vlaue (Cr)'!$C:$FB,79)</f>
        <v>3688</v>
      </c>
      <c r="O98" s="92">
        <f>VLOOKUP($A98,'Data Vlaue (Cr)'!$C:$FB,82)</f>
        <v>-3.5999999999999999E-3</v>
      </c>
    </row>
    <row r="99" spans="1:15" x14ac:dyDescent="0.25">
      <c r="A99" s="97" t="str">
        <f>'Data Vlaue (Cr)'!C94</f>
        <v>INDUSINDBK</v>
      </c>
      <c r="B99" s="142">
        <f>VLOOKUP(A99,'Data Vlaue (Cr)'!C94:CW305,99,0)</f>
        <v>4792</v>
      </c>
      <c r="C99" s="90">
        <f>VLOOKUP(A99,'Data Vlaue (Cr)'!C94:CY305,101,0)</f>
        <v>404</v>
      </c>
      <c r="D99" s="139">
        <f>VLOOKUP(A99,'Data Vlaue (Cr)'!C94:CZ305,102,0)</f>
        <v>9.2200000000000004E-2</v>
      </c>
      <c r="E99" s="91">
        <f>VLOOKUP($A99,'Data Vlaue (Cr)'!$C:$FB,75)</f>
        <v>3418</v>
      </c>
      <c r="F99" s="91">
        <f>VLOOKUP($A99,'Data Vlaue (Cr)'!$C:$FB,77)</f>
        <v>98</v>
      </c>
      <c r="G99" s="92">
        <f>VLOOKUP(A99,'Data Vlaue (Cr)'!C94:CB305,78,0)</f>
        <v>2.9399999999999999E-2</v>
      </c>
      <c r="H99" s="91">
        <f>VLOOKUP($A99,'Data Vlaue (Cr)'!$C:$FB,91)</f>
        <v>769</v>
      </c>
      <c r="I99" s="91">
        <f>VLOOKUP($A99,'Data Vlaue (Cr)'!$C:$FB,93)</f>
        <v>193</v>
      </c>
      <c r="J99" s="92">
        <f>VLOOKUP($A99,'Data Vlaue (Cr)'!$C:$FB,94)</f>
        <v>0.33529999999999999</v>
      </c>
      <c r="K99" s="91">
        <f>VLOOKUP($A99,'Data Vlaue (Cr)'!$C:$FB,95)</f>
        <v>605</v>
      </c>
      <c r="L99" s="91">
        <f>VLOOKUP($A99,'Data Vlaue (Cr)'!$C:$FB,97)</f>
        <v>114</v>
      </c>
      <c r="M99" s="92">
        <f>VLOOKUP($A99,'Data Vlaue (Cr)'!$C:$FB,98)</f>
        <v>0.23100000000000001</v>
      </c>
      <c r="N99" s="91">
        <f>VLOOKUP($A99,'Data Vlaue (Cr)'!$C:$FB,79)</f>
        <v>3022</v>
      </c>
      <c r="O99" s="92">
        <f>VLOOKUP($A99,'Data Vlaue (Cr)'!$C:$FB,82)</f>
        <v>2.9999999999999997E-4</v>
      </c>
    </row>
    <row r="100" spans="1:15" x14ac:dyDescent="0.25">
      <c r="A100" s="97" t="str">
        <f>'Data Vlaue (Cr)'!C95</f>
        <v>INDUSTOWER</v>
      </c>
      <c r="B100" s="142">
        <f>VLOOKUP(A100,'Data Vlaue (Cr)'!C95:CW306,99,0)</f>
        <v>4115</v>
      </c>
      <c r="C100" s="90">
        <f>VLOOKUP(A100,'Data Vlaue (Cr)'!C95:CY306,101,0)</f>
        <v>29</v>
      </c>
      <c r="D100" s="139">
        <f>VLOOKUP(A100,'Data Vlaue (Cr)'!C95:CZ306,102,0)</f>
        <v>7.0000000000000001E-3</v>
      </c>
      <c r="E100" s="91">
        <f>VLOOKUP($A100,'Data Vlaue (Cr)'!$C:$FB,75)</f>
        <v>3205</v>
      </c>
      <c r="F100" s="91">
        <f>VLOOKUP($A100,'Data Vlaue (Cr)'!$C:$FB,77)</f>
        <v>-18</v>
      </c>
      <c r="G100" s="92">
        <f>VLOOKUP(A100,'Data Vlaue (Cr)'!C95:CB306,78,0)</f>
        <v>-5.4999999999999997E-3</v>
      </c>
      <c r="H100" s="91">
        <f>VLOOKUP($A100,'Data Vlaue (Cr)'!$C:$FB,91)</f>
        <v>595</v>
      </c>
      <c r="I100" s="91">
        <f>VLOOKUP($A100,'Data Vlaue (Cr)'!$C:$FB,93)</f>
        <v>22</v>
      </c>
      <c r="J100" s="92">
        <f>VLOOKUP($A100,'Data Vlaue (Cr)'!$C:$FB,94)</f>
        <v>3.7499999999999999E-2</v>
      </c>
      <c r="K100" s="91">
        <f>VLOOKUP($A100,'Data Vlaue (Cr)'!$C:$FB,95)</f>
        <v>315</v>
      </c>
      <c r="L100" s="91">
        <f>VLOOKUP($A100,'Data Vlaue (Cr)'!$C:$FB,97)</f>
        <v>25</v>
      </c>
      <c r="M100" s="92">
        <f>VLOOKUP($A100,'Data Vlaue (Cr)'!$C:$FB,98)</f>
        <v>8.5000000000000006E-2</v>
      </c>
      <c r="N100" s="91">
        <f>VLOOKUP($A100,'Data Vlaue (Cr)'!$C:$FB,79)</f>
        <v>3137</v>
      </c>
      <c r="O100" s="92">
        <f>VLOOKUP($A100,'Data Vlaue (Cr)'!$C:$FB,82)</f>
        <v>-1.06E-2</v>
      </c>
    </row>
    <row r="101" spans="1:15" x14ac:dyDescent="0.25">
      <c r="A101" s="97" t="str">
        <f>'Data Vlaue (Cr)'!C96</f>
        <v>INFY</v>
      </c>
      <c r="B101" s="142">
        <f>VLOOKUP(A101,'Data Vlaue (Cr)'!C96:CW307,99,0)</f>
        <v>17688</v>
      </c>
      <c r="C101" s="90">
        <f>VLOOKUP(A101,'Data Vlaue (Cr)'!C96:CY307,101,0)</f>
        <v>-97</v>
      </c>
      <c r="D101" s="139">
        <f>VLOOKUP(A101,'Data Vlaue (Cr)'!C96:CZ307,102,0)</f>
        <v>-5.4999999999999997E-3</v>
      </c>
      <c r="E101" s="91">
        <f>VLOOKUP($A101,'Data Vlaue (Cr)'!$C:$FB,75)</f>
        <v>9941</v>
      </c>
      <c r="F101" s="91">
        <f>VLOOKUP($A101,'Data Vlaue (Cr)'!$C:$FB,77)</f>
        <v>-76</v>
      </c>
      <c r="G101" s="92">
        <f>VLOOKUP(A101,'Data Vlaue (Cr)'!C96:CB307,78,0)</f>
        <v>-7.6E-3</v>
      </c>
      <c r="H101" s="91">
        <f>VLOOKUP($A101,'Data Vlaue (Cr)'!$C:$FB,91)</f>
        <v>5287</v>
      </c>
      <c r="I101" s="91">
        <f>VLOOKUP($A101,'Data Vlaue (Cr)'!$C:$FB,93)</f>
        <v>-2</v>
      </c>
      <c r="J101" s="92">
        <f>VLOOKUP($A101,'Data Vlaue (Cr)'!$C:$FB,94)</f>
        <v>-2.9999999999999997E-4</v>
      </c>
      <c r="K101" s="91">
        <f>VLOOKUP($A101,'Data Vlaue (Cr)'!$C:$FB,95)</f>
        <v>2460</v>
      </c>
      <c r="L101" s="91">
        <f>VLOOKUP($A101,'Data Vlaue (Cr)'!$C:$FB,97)</f>
        <v>-20</v>
      </c>
      <c r="M101" s="92">
        <f>VLOOKUP($A101,'Data Vlaue (Cr)'!$C:$FB,98)</f>
        <v>-7.9000000000000008E-3</v>
      </c>
      <c r="N101" s="91">
        <f>VLOOKUP($A101,'Data Vlaue (Cr)'!$C:$FB,79)</f>
        <v>8920</v>
      </c>
      <c r="O101" s="92">
        <f>VLOOKUP($A101,'Data Vlaue (Cr)'!$C:$FB,82)</f>
        <v>-2.98E-2</v>
      </c>
    </row>
    <row r="102" spans="1:15" x14ac:dyDescent="0.25">
      <c r="A102" s="97" t="str">
        <f>'Data Vlaue (Cr)'!C97</f>
        <v>INOXWIND</v>
      </c>
      <c r="B102" s="142">
        <f>VLOOKUP(A102,'Data Vlaue (Cr)'!C97:CW308,99,0)</f>
        <v>1386</v>
      </c>
      <c r="C102" s="90">
        <f>VLOOKUP(A102,'Data Vlaue (Cr)'!C97:CY308,101,0)</f>
        <v>-8</v>
      </c>
      <c r="D102" s="139">
        <f>VLOOKUP(A102,'Data Vlaue (Cr)'!C97:CZ308,102,0)</f>
        <v>-6.1000000000000004E-3</v>
      </c>
      <c r="E102" s="91">
        <f>VLOOKUP($A102,'Data Vlaue (Cr)'!$C:$FB,75)</f>
        <v>862</v>
      </c>
      <c r="F102" s="91">
        <f>VLOOKUP($A102,'Data Vlaue (Cr)'!$C:$FB,77)</f>
        <v>2</v>
      </c>
      <c r="G102" s="92">
        <f>VLOOKUP(A102,'Data Vlaue (Cr)'!C97:CB308,78,0)</f>
        <v>2.0999999999999999E-3</v>
      </c>
      <c r="H102" s="91">
        <f>VLOOKUP($A102,'Data Vlaue (Cr)'!$C:$FB,91)</f>
        <v>311</v>
      </c>
      <c r="I102" s="91">
        <f>VLOOKUP($A102,'Data Vlaue (Cr)'!$C:$FB,93)</f>
        <v>-12</v>
      </c>
      <c r="J102" s="92">
        <f>VLOOKUP($A102,'Data Vlaue (Cr)'!$C:$FB,94)</f>
        <v>-3.7999999999999999E-2</v>
      </c>
      <c r="K102" s="91">
        <f>VLOOKUP($A102,'Data Vlaue (Cr)'!$C:$FB,95)</f>
        <v>212</v>
      </c>
      <c r="L102" s="91">
        <f>VLOOKUP($A102,'Data Vlaue (Cr)'!$C:$FB,97)</f>
        <v>2</v>
      </c>
      <c r="M102" s="92">
        <f>VLOOKUP($A102,'Data Vlaue (Cr)'!$C:$FB,98)</f>
        <v>9.5999999999999992E-3</v>
      </c>
      <c r="N102" s="91">
        <f>VLOOKUP($A102,'Data Vlaue (Cr)'!$C:$FB,79)</f>
        <v>810</v>
      </c>
      <c r="O102" s="92">
        <f>VLOOKUP($A102,'Data Vlaue (Cr)'!$C:$FB,82)</f>
        <v>-5.3E-3</v>
      </c>
    </row>
    <row r="103" spans="1:15" x14ac:dyDescent="0.25">
      <c r="A103" s="97" t="str">
        <f>'Data Vlaue (Cr)'!C98</f>
        <v>IOC</v>
      </c>
      <c r="B103" s="142">
        <f>VLOOKUP(A103,'Data Vlaue (Cr)'!C98:CW309,99,0)</f>
        <v>3735</v>
      </c>
      <c r="C103" s="90">
        <f>VLOOKUP(A103,'Data Vlaue (Cr)'!C98:CY309,101,0)</f>
        <v>82</v>
      </c>
      <c r="D103" s="139">
        <f>VLOOKUP(A103,'Data Vlaue (Cr)'!C98:CZ309,102,0)</f>
        <v>2.23E-2</v>
      </c>
      <c r="E103" s="91">
        <f>VLOOKUP($A103,'Data Vlaue (Cr)'!$C:$FB,75)</f>
        <v>1614</v>
      </c>
      <c r="F103" s="91">
        <f>VLOOKUP($A103,'Data Vlaue (Cr)'!$C:$FB,77)</f>
        <v>-12</v>
      </c>
      <c r="G103" s="92">
        <f>VLOOKUP(A103,'Data Vlaue (Cr)'!C98:CB309,78,0)</f>
        <v>-7.4000000000000003E-3</v>
      </c>
      <c r="H103" s="91">
        <f>VLOOKUP($A103,'Data Vlaue (Cr)'!$C:$FB,91)</f>
        <v>1124</v>
      </c>
      <c r="I103" s="91">
        <f>VLOOKUP($A103,'Data Vlaue (Cr)'!$C:$FB,93)</f>
        <v>73</v>
      </c>
      <c r="J103" s="92">
        <f>VLOOKUP($A103,'Data Vlaue (Cr)'!$C:$FB,94)</f>
        <v>6.9800000000000001E-2</v>
      </c>
      <c r="K103" s="91">
        <f>VLOOKUP($A103,'Data Vlaue (Cr)'!$C:$FB,95)</f>
        <v>998</v>
      </c>
      <c r="L103" s="91">
        <f>VLOOKUP($A103,'Data Vlaue (Cr)'!$C:$FB,97)</f>
        <v>20</v>
      </c>
      <c r="M103" s="92">
        <f>VLOOKUP($A103,'Data Vlaue (Cr)'!$C:$FB,98)</f>
        <v>2.0799999999999999E-2</v>
      </c>
      <c r="N103" s="91">
        <f>VLOOKUP($A103,'Data Vlaue (Cr)'!$C:$FB,79)</f>
        <v>1545</v>
      </c>
      <c r="O103" s="92">
        <f>VLOOKUP($A103,'Data Vlaue (Cr)'!$C:$FB,82)</f>
        <v>-1.01E-2</v>
      </c>
    </row>
    <row r="104" spans="1:15" x14ac:dyDescent="0.25">
      <c r="A104" s="97" t="str">
        <f>'Data Vlaue (Cr)'!C99</f>
        <v>IREDA</v>
      </c>
      <c r="B104" s="142">
        <f>VLOOKUP(A104,'Data Vlaue (Cr)'!C99:CW310,99,0)</f>
        <v>1330</v>
      </c>
      <c r="C104" s="90">
        <f>VLOOKUP(A104,'Data Vlaue (Cr)'!C99:CY310,101,0)</f>
        <v>-5</v>
      </c>
      <c r="D104" s="139">
        <f>VLOOKUP(A104,'Data Vlaue (Cr)'!C99:CZ310,102,0)</f>
        <v>-3.7000000000000002E-3</v>
      </c>
      <c r="E104" s="91">
        <f>VLOOKUP($A104,'Data Vlaue (Cr)'!$C:$FB,75)</f>
        <v>767</v>
      </c>
      <c r="F104" s="91">
        <f>VLOOKUP($A104,'Data Vlaue (Cr)'!$C:$FB,77)</f>
        <v>3</v>
      </c>
      <c r="G104" s="92">
        <f>VLOOKUP(A104,'Data Vlaue (Cr)'!C99:CB310,78,0)</f>
        <v>3.5000000000000001E-3</v>
      </c>
      <c r="H104" s="91">
        <f>VLOOKUP($A104,'Data Vlaue (Cr)'!$C:$FB,91)</f>
        <v>338</v>
      </c>
      <c r="I104" s="91">
        <f>VLOOKUP($A104,'Data Vlaue (Cr)'!$C:$FB,93)</f>
        <v>-3</v>
      </c>
      <c r="J104" s="92">
        <f>VLOOKUP($A104,'Data Vlaue (Cr)'!$C:$FB,94)</f>
        <v>-8.9999999999999993E-3</v>
      </c>
      <c r="K104" s="91">
        <f>VLOOKUP($A104,'Data Vlaue (Cr)'!$C:$FB,95)</f>
        <v>224</v>
      </c>
      <c r="L104" s="91">
        <f>VLOOKUP($A104,'Data Vlaue (Cr)'!$C:$FB,97)</f>
        <v>-5</v>
      </c>
      <c r="M104" s="92">
        <f>VLOOKUP($A104,'Data Vlaue (Cr)'!$C:$FB,98)</f>
        <v>-1.9699999999999999E-2</v>
      </c>
      <c r="N104" s="91">
        <f>VLOOKUP($A104,'Data Vlaue (Cr)'!$C:$FB,79)</f>
        <v>662</v>
      </c>
      <c r="O104" s="92">
        <f>VLOOKUP($A104,'Data Vlaue (Cr)'!$C:$FB,82)</f>
        <v>-3.5999999999999999E-3</v>
      </c>
    </row>
    <row r="105" spans="1:15" x14ac:dyDescent="0.25">
      <c r="A105" s="97" t="str">
        <f>'Data Vlaue (Cr)'!C100</f>
        <v>IRFC</v>
      </c>
      <c r="B105" s="142">
        <f>VLOOKUP(A105,'Data Vlaue (Cr)'!C100:CW311,99,0)</f>
        <v>2015</v>
      </c>
      <c r="C105" s="90">
        <f>VLOOKUP(A105,'Data Vlaue (Cr)'!C100:CY311,101,0)</f>
        <v>-6</v>
      </c>
      <c r="D105" s="139">
        <f>VLOOKUP(A105,'Data Vlaue (Cr)'!C100:CZ311,102,0)</f>
        <v>-3.0999999999999999E-3</v>
      </c>
      <c r="E105" s="91">
        <f>VLOOKUP($A105,'Data Vlaue (Cr)'!$C:$FB,75)</f>
        <v>729</v>
      </c>
      <c r="F105" s="91">
        <f>VLOOKUP($A105,'Data Vlaue (Cr)'!$C:$FB,77)</f>
        <v>-11</v>
      </c>
      <c r="G105" s="92">
        <f>VLOOKUP(A105,'Data Vlaue (Cr)'!C100:CB311,78,0)</f>
        <v>-1.43E-2</v>
      </c>
      <c r="H105" s="91">
        <f>VLOOKUP($A105,'Data Vlaue (Cr)'!$C:$FB,91)</f>
        <v>816</v>
      </c>
      <c r="I105" s="91">
        <f>VLOOKUP($A105,'Data Vlaue (Cr)'!$C:$FB,93)</f>
        <v>0</v>
      </c>
      <c r="J105" s="92">
        <f>VLOOKUP($A105,'Data Vlaue (Cr)'!$C:$FB,94)</f>
        <v>4.0000000000000002E-4</v>
      </c>
      <c r="K105" s="91">
        <f>VLOOKUP($A105,'Data Vlaue (Cr)'!$C:$FB,95)</f>
        <v>470</v>
      </c>
      <c r="L105" s="91">
        <f>VLOOKUP($A105,'Data Vlaue (Cr)'!$C:$FB,97)</f>
        <v>4</v>
      </c>
      <c r="M105" s="92">
        <f>VLOOKUP($A105,'Data Vlaue (Cr)'!$C:$FB,98)</f>
        <v>8.6999999999999994E-3</v>
      </c>
      <c r="N105" s="91">
        <f>VLOOKUP($A105,'Data Vlaue (Cr)'!$C:$FB,79)</f>
        <v>601</v>
      </c>
      <c r="O105" s="92">
        <f>VLOOKUP($A105,'Data Vlaue (Cr)'!$C:$FB,82)</f>
        <v>-2.4299999999999999E-2</v>
      </c>
    </row>
    <row r="106" spans="1:15" x14ac:dyDescent="0.25">
      <c r="A106" s="97" t="str">
        <f>'Data Vlaue (Cr)'!C101</f>
        <v>ITC</v>
      </c>
      <c r="B106" s="142">
        <f>VLOOKUP(A106,'Data Vlaue (Cr)'!C101:CW312,99,0)</f>
        <v>10529</v>
      </c>
      <c r="C106" s="90">
        <f>VLOOKUP(A106,'Data Vlaue (Cr)'!C101:CY312,101,0)</f>
        <v>92</v>
      </c>
      <c r="D106" s="139">
        <f>VLOOKUP(A106,'Data Vlaue (Cr)'!C101:CZ312,102,0)</f>
        <v>8.8000000000000005E-3</v>
      </c>
      <c r="E106" s="91">
        <f>VLOOKUP($A106,'Data Vlaue (Cr)'!$C:$FB,75)</f>
        <v>5142</v>
      </c>
      <c r="F106" s="91">
        <f>VLOOKUP($A106,'Data Vlaue (Cr)'!$C:$FB,77)</f>
        <v>-29</v>
      </c>
      <c r="G106" s="92">
        <f>VLOOKUP(A106,'Data Vlaue (Cr)'!C101:CB312,78,0)</f>
        <v>-5.5999999999999999E-3</v>
      </c>
      <c r="H106" s="91">
        <f>VLOOKUP($A106,'Data Vlaue (Cr)'!$C:$FB,91)</f>
        <v>3713</v>
      </c>
      <c r="I106" s="91">
        <f>VLOOKUP($A106,'Data Vlaue (Cr)'!$C:$FB,93)</f>
        <v>67</v>
      </c>
      <c r="J106" s="92">
        <f>VLOOKUP($A106,'Data Vlaue (Cr)'!$C:$FB,94)</f>
        <v>1.83E-2</v>
      </c>
      <c r="K106" s="91">
        <f>VLOOKUP($A106,'Data Vlaue (Cr)'!$C:$FB,95)</f>
        <v>1674</v>
      </c>
      <c r="L106" s="91">
        <f>VLOOKUP($A106,'Data Vlaue (Cr)'!$C:$FB,97)</f>
        <v>54</v>
      </c>
      <c r="M106" s="92">
        <f>VLOOKUP($A106,'Data Vlaue (Cr)'!$C:$FB,98)</f>
        <v>3.3599999999999998E-2</v>
      </c>
      <c r="N106" s="91">
        <f>VLOOKUP($A106,'Data Vlaue (Cr)'!$C:$FB,79)</f>
        <v>4707</v>
      </c>
      <c r="O106" s="92">
        <f>VLOOKUP($A106,'Data Vlaue (Cr)'!$C:$FB,82)</f>
        <v>-9.4999999999999998E-3</v>
      </c>
    </row>
    <row r="107" spans="1:15" x14ac:dyDescent="0.25">
      <c r="A107" s="97" t="str">
        <f>'Data Vlaue (Cr)'!C102</f>
        <v>JINDALSTEL</v>
      </c>
      <c r="B107" s="142">
        <f>VLOOKUP(A107,'Data Vlaue (Cr)'!C102:CW313,99,0)</f>
        <v>2106</v>
      </c>
      <c r="C107" s="90">
        <f>VLOOKUP(A107,'Data Vlaue (Cr)'!C102:CY313,101,0)</f>
        <v>-16</v>
      </c>
      <c r="D107" s="139">
        <f>VLOOKUP(A107,'Data Vlaue (Cr)'!C102:CZ313,102,0)</f>
        <v>-7.3000000000000001E-3</v>
      </c>
      <c r="E107" s="91">
        <f>VLOOKUP($A107,'Data Vlaue (Cr)'!$C:$FB,75)</f>
        <v>1254</v>
      </c>
      <c r="F107" s="91">
        <f>VLOOKUP($A107,'Data Vlaue (Cr)'!$C:$FB,77)</f>
        <v>-18</v>
      </c>
      <c r="G107" s="92">
        <f>VLOOKUP(A107,'Data Vlaue (Cr)'!C102:CB313,78,0)</f>
        <v>-1.38E-2</v>
      </c>
      <c r="H107" s="91">
        <f>VLOOKUP($A107,'Data Vlaue (Cr)'!$C:$FB,91)</f>
        <v>400</v>
      </c>
      <c r="I107" s="91">
        <f>VLOOKUP($A107,'Data Vlaue (Cr)'!$C:$FB,93)</f>
        <v>-19</v>
      </c>
      <c r="J107" s="92">
        <f>VLOOKUP($A107,'Data Vlaue (Cr)'!$C:$FB,94)</f>
        <v>-4.5199999999999997E-2</v>
      </c>
      <c r="K107" s="91">
        <f>VLOOKUP($A107,'Data Vlaue (Cr)'!$C:$FB,95)</f>
        <v>452</v>
      </c>
      <c r="L107" s="91">
        <f>VLOOKUP($A107,'Data Vlaue (Cr)'!$C:$FB,97)</f>
        <v>21</v>
      </c>
      <c r="M107" s="92">
        <f>VLOOKUP($A107,'Data Vlaue (Cr)'!$C:$FB,98)</f>
        <v>4.8599999999999997E-2</v>
      </c>
      <c r="N107" s="91">
        <f>VLOOKUP($A107,'Data Vlaue (Cr)'!$C:$FB,79)</f>
        <v>1229</v>
      </c>
      <c r="O107" s="92">
        <f>VLOOKUP($A107,'Data Vlaue (Cr)'!$C:$FB,82)</f>
        <v>-1.8200000000000001E-2</v>
      </c>
    </row>
    <row r="108" spans="1:15" x14ac:dyDescent="0.25">
      <c r="A108" s="97" t="str">
        <f>'Data Vlaue (Cr)'!C103</f>
        <v>JIOFIN</v>
      </c>
      <c r="B108" s="142">
        <f>VLOOKUP(A108,'Data Vlaue (Cr)'!C103:CW314,99,0)</f>
        <v>6537</v>
      </c>
      <c r="C108" s="90">
        <f>VLOOKUP(A108,'Data Vlaue (Cr)'!C103:CY314,101,0)</f>
        <v>-9</v>
      </c>
      <c r="D108" s="139">
        <f>VLOOKUP(A108,'Data Vlaue (Cr)'!C103:CZ314,102,0)</f>
        <v>-1.4E-3</v>
      </c>
      <c r="E108" s="91">
        <f>VLOOKUP($A108,'Data Vlaue (Cr)'!$C:$FB,75)</f>
        <v>4251</v>
      </c>
      <c r="F108" s="91">
        <f>VLOOKUP($A108,'Data Vlaue (Cr)'!$C:$FB,77)</f>
        <v>-31</v>
      </c>
      <c r="G108" s="92">
        <f>VLOOKUP(A108,'Data Vlaue (Cr)'!C103:CB314,78,0)</f>
        <v>-7.3000000000000001E-3</v>
      </c>
      <c r="H108" s="91">
        <f>VLOOKUP($A108,'Data Vlaue (Cr)'!$C:$FB,91)</f>
        <v>1263</v>
      </c>
      <c r="I108" s="91">
        <f>VLOOKUP($A108,'Data Vlaue (Cr)'!$C:$FB,93)</f>
        <v>3</v>
      </c>
      <c r="J108" s="92">
        <f>VLOOKUP($A108,'Data Vlaue (Cr)'!$C:$FB,94)</f>
        <v>2.7000000000000001E-3</v>
      </c>
      <c r="K108" s="91">
        <f>VLOOKUP($A108,'Data Vlaue (Cr)'!$C:$FB,95)</f>
        <v>1023</v>
      </c>
      <c r="L108" s="91">
        <f>VLOOKUP($A108,'Data Vlaue (Cr)'!$C:$FB,97)</f>
        <v>19</v>
      </c>
      <c r="M108" s="92">
        <f>VLOOKUP($A108,'Data Vlaue (Cr)'!$C:$FB,98)</f>
        <v>1.89E-2</v>
      </c>
      <c r="N108" s="91">
        <f>VLOOKUP($A108,'Data Vlaue (Cr)'!$C:$FB,79)</f>
        <v>3856</v>
      </c>
      <c r="O108" s="92">
        <f>VLOOKUP($A108,'Data Vlaue (Cr)'!$C:$FB,82)</f>
        <v>-1.21E-2</v>
      </c>
    </row>
    <row r="109" spans="1:15" x14ac:dyDescent="0.25">
      <c r="A109" s="97" t="str">
        <f>'Data Vlaue (Cr)'!C104</f>
        <v>JSWENERGY</v>
      </c>
      <c r="B109" s="142">
        <f>VLOOKUP(A109,'Data Vlaue (Cr)'!C104:CW315,99,0)</f>
        <v>2087</v>
      </c>
      <c r="C109" s="90">
        <f>VLOOKUP(A109,'Data Vlaue (Cr)'!C104:CY315,101,0)</f>
        <v>50</v>
      </c>
      <c r="D109" s="139">
        <f>VLOOKUP(A109,'Data Vlaue (Cr)'!C104:CZ315,102,0)</f>
        <v>2.46E-2</v>
      </c>
      <c r="E109" s="91">
        <f>VLOOKUP($A109,'Data Vlaue (Cr)'!$C:$FB,75)</f>
        <v>1421</v>
      </c>
      <c r="F109" s="91">
        <f>VLOOKUP($A109,'Data Vlaue (Cr)'!$C:$FB,77)</f>
        <v>-61</v>
      </c>
      <c r="G109" s="92">
        <f>VLOOKUP(A109,'Data Vlaue (Cr)'!C104:CB315,78,0)</f>
        <v>-4.1000000000000002E-2</v>
      </c>
      <c r="H109" s="91">
        <f>VLOOKUP($A109,'Data Vlaue (Cr)'!$C:$FB,91)</f>
        <v>369</v>
      </c>
      <c r="I109" s="91">
        <f>VLOOKUP($A109,'Data Vlaue (Cr)'!$C:$FB,93)</f>
        <v>51</v>
      </c>
      <c r="J109" s="92">
        <f>VLOOKUP($A109,'Data Vlaue (Cr)'!$C:$FB,94)</f>
        <v>0.16009999999999999</v>
      </c>
      <c r="K109" s="91">
        <f>VLOOKUP($A109,'Data Vlaue (Cr)'!$C:$FB,95)</f>
        <v>298</v>
      </c>
      <c r="L109" s="91">
        <f>VLOOKUP($A109,'Data Vlaue (Cr)'!$C:$FB,97)</f>
        <v>60</v>
      </c>
      <c r="M109" s="92">
        <f>VLOOKUP($A109,'Data Vlaue (Cr)'!$C:$FB,98)</f>
        <v>0.25259999999999999</v>
      </c>
      <c r="N109" s="91">
        <f>VLOOKUP($A109,'Data Vlaue (Cr)'!$C:$FB,79)</f>
        <v>1358</v>
      </c>
      <c r="O109" s="92">
        <f>VLOOKUP($A109,'Data Vlaue (Cr)'!$C:$FB,82)</f>
        <v>-4.2799999999999998E-2</v>
      </c>
    </row>
    <row r="110" spans="1:15" x14ac:dyDescent="0.25">
      <c r="A110" s="97" t="str">
        <f>'Data Vlaue (Cr)'!C105</f>
        <v>JSWSTEEL</v>
      </c>
      <c r="B110" s="142">
        <f>VLOOKUP(A110,'Data Vlaue (Cr)'!C105:CW316,99,0)</f>
        <v>7425</v>
      </c>
      <c r="C110" s="90">
        <f>VLOOKUP(A110,'Data Vlaue (Cr)'!C105:CY316,101,0)</f>
        <v>49</v>
      </c>
      <c r="D110" s="139">
        <f>VLOOKUP(A110,'Data Vlaue (Cr)'!C105:CZ316,102,0)</f>
        <v>6.7000000000000002E-3</v>
      </c>
      <c r="E110" s="91">
        <f>VLOOKUP($A110,'Data Vlaue (Cr)'!$C:$FB,75)</f>
        <v>6143</v>
      </c>
      <c r="F110" s="91">
        <f>VLOOKUP($A110,'Data Vlaue (Cr)'!$C:$FB,77)</f>
        <v>1</v>
      </c>
      <c r="G110" s="92">
        <f>VLOOKUP(A110,'Data Vlaue (Cr)'!C105:CB316,78,0)</f>
        <v>1E-4</v>
      </c>
      <c r="H110" s="91">
        <f>VLOOKUP($A110,'Data Vlaue (Cr)'!$C:$FB,91)</f>
        <v>845</v>
      </c>
      <c r="I110" s="91">
        <f>VLOOKUP($A110,'Data Vlaue (Cr)'!$C:$FB,93)</f>
        <v>31</v>
      </c>
      <c r="J110" s="92">
        <f>VLOOKUP($A110,'Data Vlaue (Cr)'!$C:$FB,94)</f>
        <v>3.8100000000000002E-2</v>
      </c>
      <c r="K110" s="91">
        <f>VLOOKUP($A110,'Data Vlaue (Cr)'!$C:$FB,95)</f>
        <v>437</v>
      </c>
      <c r="L110" s="91">
        <f>VLOOKUP($A110,'Data Vlaue (Cr)'!$C:$FB,97)</f>
        <v>17</v>
      </c>
      <c r="M110" s="92">
        <f>VLOOKUP($A110,'Data Vlaue (Cr)'!$C:$FB,98)</f>
        <v>4.1200000000000001E-2</v>
      </c>
      <c r="N110" s="91">
        <f>VLOOKUP($A110,'Data Vlaue (Cr)'!$C:$FB,79)</f>
        <v>5367</v>
      </c>
      <c r="O110" s="92">
        <f>VLOOKUP($A110,'Data Vlaue (Cr)'!$C:$FB,82)</f>
        <v>-1.61E-2</v>
      </c>
    </row>
    <row r="111" spans="1:15" x14ac:dyDescent="0.25">
      <c r="A111" s="97" t="str">
        <f>'Data Vlaue (Cr)'!C106</f>
        <v>JUBLFOOD</v>
      </c>
      <c r="B111" s="142">
        <f>VLOOKUP(A111,'Data Vlaue (Cr)'!C106:CW317,99,0)</f>
        <v>2082</v>
      </c>
      <c r="C111" s="90">
        <f>VLOOKUP(A111,'Data Vlaue (Cr)'!C106:CY317,101,0)</f>
        <v>123</v>
      </c>
      <c r="D111" s="139">
        <f>VLOOKUP(A111,'Data Vlaue (Cr)'!C106:CZ317,102,0)</f>
        <v>6.2700000000000006E-2</v>
      </c>
      <c r="E111" s="91">
        <f>VLOOKUP($A111,'Data Vlaue (Cr)'!$C:$FB,75)</f>
        <v>1340</v>
      </c>
      <c r="F111" s="91">
        <f>VLOOKUP($A111,'Data Vlaue (Cr)'!$C:$FB,77)</f>
        <v>59</v>
      </c>
      <c r="G111" s="92">
        <f>VLOOKUP(A111,'Data Vlaue (Cr)'!C106:CB317,78,0)</f>
        <v>4.58E-2</v>
      </c>
      <c r="H111" s="91">
        <f>VLOOKUP($A111,'Data Vlaue (Cr)'!$C:$FB,91)</f>
        <v>428</v>
      </c>
      <c r="I111" s="91">
        <f>VLOOKUP($A111,'Data Vlaue (Cr)'!$C:$FB,93)</f>
        <v>35</v>
      </c>
      <c r="J111" s="92">
        <f>VLOOKUP($A111,'Data Vlaue (Cr)'!$C:$FB,94)</f>
        <v>8.7900000000000006E-2</v>
      </c>
      <c r="K111" s="91">
        <f>VLOOKUP($A111,'Data Vlaue (Cr)'!$C:$FB,95)</f>
        <v>313</v>
      </c>
      <c r="L111" s="91">
        <f>VLOOKUP($A111,'Data Vlaue (Cr)'!$C:$FB,97)</f>
        <v>30</v>
      </c>
      <c r="M111" s="92">
        <f>VLOOKUP($A111,'Data Vlaue (Cr)'!$C:$FB,98)</f>
        <v>0.1041</v>
      </c>
      <c r="N111" s="91">
        <f>VLOOKUP($A111,'Data Vlaue (Cr)'!$C:$FB,79)</f>
        <v>1197</v>
      </c>
      <c r="O111" s="92">
        <f>VLOOKUP($A111,'Data Vlaue (Cr)'!$C:$FB,82)</f>
        <v>3.61E-2</v>
      </c>
    </row>
    <row r="112" spans="1:15" x14ac:dyDescent="0.25">
      <c r="A112" s="97" t="str">
        <f>'Data Vlaue (Cr)'!C107</f>
        <v>KALYANKJIL</v>
      </c>
      <c r="B112" s="142">
        <f>VLOOKUP(A112,'Data Vlaue (Cr)'!C107:CW318,99,0)</f>
        <v>1521</v>
      </c>
      <c r="C112" s="90">
        <f>VLOOKUP(A112,'Data Vlaue (Cr)'!C107:CY318,101,0)</f>
        <v>-10</v>
      </c>
      <c r="D112" s="139">
        <f>VLOOKUP(A112,'Data Vlaue (Cr)'!C107:CZ318,102,0)</f>
        <v>-6.6E-3</v>
      </c>
      <c r="E112" s="91">
        <f>VLOOKUP($A112,'Data Vlaue (Cr)'!$C:$FB,75)</f>
        <v>962</v>
      </c>
      <c r="F112" s="91">
        <f>VLOOKUP($A112,'Data Vlaue (Cr)'!$C:$FB,77)</f>
        <v>-21</v>
      </c>
      <c r="G112" s="92">
        <f>VLOOKUP(A112,'Data Vlaue (Cr)'!C107:CB318,78,0)</f>
        <v>-2.1100000000000001E-2</v>
      </c>
      <c r="H112" s="91">
        <f>VLOOKUP($A112,'Data Vlaue (Cr)'!$C:$FB,91)</f>
        <v>352</v>
      </c>
      <c r="I112" s="91">
        <f>VLOOKUP($A112,'Data Vlaue (Cr)'!$C:$FB,93)</f>
        <v>6</v>
      </c>
      <c r="J112" s="92">
        <f>VLOOKUP($A112,'Data Vlaue (Cr)'!$C:$FB,94)</f>
        <v>1.78E-2</v>
      </c>
      <c r="K112" s="91">
        <f>VLOOKUP($A112,'Data Vlaue (Cr)'!$C:$FB,95)</f>
        <v>207</v>
      </c>
      <c r="L112" s="91">
        <f>VLOOKUP($A112,'Data Vlaue (Cr)'!$C:$FB,97)</f>
        <v>5</v>
      </c>
      <c r="M112" s="92">
        <f>VLOOKUP($A112,'Data Vlaue (Cr)'!$C:$FB,98)</f>
        <v>2.2499999999999999E-2</v>
      </c>
      <c r="N112" s="91">
        <f>VLOOKUP($A112,'Data Vlaue (Cr)'!$C:$FB,79)</f>
        <v>927</v>
      </c>
      <c r="O112" s="92">
        <f>VLOOKUP($A112,'Data Vlaue (Cr)'!$C:$FB,82)</f>
        <v>-2.63E-2</v>
      </c>
    </row>
    <row r="113" spans="1:15" x14ac:dyDescent="0.25">
      <c r="A113" s="97" t="str">
        <f>'Data Vlaue (Cr)'!C108</f>
        <v>KAYNES</v>
      </c>
      <c r="B113" s="142">
        <f>VLOOKUP(A113,'Data Vlaue (Cr)'!C108:CW319,99,0)</f>
        <v>2611</v>
      </c>
      <c r="C113" s="90">
        <f>VLOOKUP(A113,'Data Vlaue (Cr)'!C108:CY319,101,0)</f>
        <v>85</v>
      </c>
      <c r="D113" s="139">
        <f>VLOOKUP(A113,'Data Vlaue (Cr)'!C108:CZ319,102,0)</f>
        <v>3.3799999999999997E-2</v>
      </c>
      <c r="E113" s="91">
        <f>VLOOKUP($A113,'Data Vlaue (Cr)'!$C:$FB,75)</f>
        <v>1455</v>
      </c>
      <c r="F113" s="91">
        <f>VLOOKUP($A113,'Data Vlaue (Cr)'!$C:$FB,77)</f>
        <v>36</v>
      </c>
      <c r="G113" s="92">
        <f>VLOOKUP(A113,'Data Vlaue (Cr)'!C108:CB319,78,0)</f>
        <v>2.52E-2</v>
      </c>
      <c r="H113" s="91">
        <f>VLOOKUP($A113,'Data Vlaue (Cr)'!$C:$FB,91)</f>
        <v>655</v>
      </c>
      <c r="I113" s="91">
        <f>VLOOKUP($A113,'Data Vlaue (Cr)'!$C:$FB,93)</f>
        <v>49</v>
      </c>
      <c r="J113" s="92">
        <f>VLOOKUP($A113,'Data Vlaue (Cr)'!$C:$FB,94)</f>
        <v>8.0100000000000005E-2</v>
      </c>
      <c r="K113" s="91">
        <f>VLOOKUP($A113,'Data Vlaue (Cr)'!$C:$FB,95)</f>
        <v>501</v>
      </c>
      <c r="L113" s="91">
        <f>VLOOKUP($A113,'Data Vlaue (Cr)'!$C:$FB,97)</f>
        <v>1</v>
      </c>
      <c r="M113" s="92">
        <f>VLOOKUP($A113,'Data Vlaue (Cr)'!$C:$FB,98)</f>
        <v>2.2000000000000001E-3</v>
      </c>
      <c r="N113" s="91">
        <f>VLOOKUP($A113,'Data Vlaue (Cr)'!$C:$FB,79)</f>
        <v>1372</v>
      </c>
      <c r="O113" s="92">
        <f>VLOOKUP($A113,'Data Vlaue (Cr)'!$C:$FB,82)</f>
        <v>2.1299999999999999E-2</v>
      </c>
    </row>
    <row r="114" spans="1:15" x14ac:dyDescent="0.25">
      <c r="A114" s="97" t="str">
        <f>'Data Vlaue (Cr)'!C109</f>
        <v>KEI</v>
      </c>
      <c r="B114" s="142">
        <f>VLOOKUP(A114,'Data Vlaue (Cr)'!C109:CW320,99,0)</f>
        <v>1611</v>
      </c>
      <c r="C114" s="90">
        <f>VLOOKUP(A114,'Data Vlaue (Cr)'!C109:CY320,101,0)</f>
        <v>15</v>
      </c>
      <c r="D114" s="139">
        <f>VLOOKUP(A114,'Data Vlaue (Cr)'!C109:CZ320,102,0)</f>
        <v>9.4999999999999998E-3</v>
      </c>
      <c r="E114" s="91">
        <f>VLOOKUP($A114,'Data Vlaue (Cr)'!$C:$FB,75)</f>
        <v>853</v>
      </c>
      <c r="F114" s="91">
        <f>VLOOKUP($A114,'Data Vlaue (Cr)'!$C:$FB,77)</f>
        <v>16</v>
      </c>
      <c r="G114" s="92">
        <f>VLOOKUP(A114,'Data Vlaue (Cr)'!C109:CB320,78,0)</f>
        <v>1.9199999999999998E-2</v>
      </c>
      <c r="H114" s="91">
        <f>VLOOKUP($A114,'Data Vlaue (Cr)'!$C:$FB,91)</f>
        <v>424</v>
      </c>
      <c r="I114" s="91">
        <f>VLOOKUP($A114,'Data Vlaue (Cr)'!$C:$FB,93)</f>
        <v>10</v>
      </c>
      <c r="J114" s="92">
        <f>VLOOKUP($A114,'Data Vlaue (Cr)'!$C:$FB,94)</f>
        <v>2.46E-2</v>
      </c>
      <c r="K114" s="91">
        <f>VLOOKUP($A114,'Data Vlaue (Cr)'!$C:$FB,95)</f>
        <v>334</v>
      </c>
      <c r="L114" s="91">
        <f>VLOOKUP($A114,'Data Vlaue (Cr)'!$C:$FB,97)</f>
        <v>-11</v>
      </c>
      <c r="M114" s="92">
        <f>VLOOKUP($A114,'Data Vlaue (Cr)'!$C:$FB,98)</f>
        <v>-3.2300000000000002E-2</v>
      </c>
      <c r="N114" s="91">
        <f>VLOOKUP($A114,'Data Vlaue (Cr)'!$C:$FB,79)</f>
        <v>743</v>
      </c>
      <c r="O114" s="92">
        <f>VLOOKUP($A114,'Data Vlaue (Cr)'!$C:$FB,82)</f>
        <v>1.4800000000000001E-2</v>
      </c>
    </row>
    <row r="115" spans="1:15" x14ac:dyDescent="0.25">
      <c r="A115" s="97" t="str">
        <f>'Data Vlaue (Cr)'!C110</f>
        <v>KFINTECH</v>
      </c>
      <c r="B115" s="142">
        <f>VLOOKUP(A115,'Data Vlaue (Cr)'!C110:CW321,99,0)</f>
        <v>495</v>
      </c>
      <c r="C115" s="90">
        <f>VLOOKUP(A115,'Data Vlaue (Cr)'!C110:CY321,101,0)</f>
        <v>-6</v>
      </c>
      <c r="D115" s="139">
        <f>VLOOKUP(A115,'Data Vlaue (Cr)'!C110:CZ321,102,0)</f>
        <v>-1.24E-2</v>
      </c>
      <c r="E115" s="91">
        <f>VLOOKUP($A115,'Data Vlaue (Cr)'!$C:$FB,75)</f>
        <v>221</v>
      </c>
      <c r="F115" s="91">
        <f>VLOOKUP($A115,'Data Vlaue (Cr)'!$C:$FB,77)</f>
        <v>-2</v>
      </c>
      <c r="G115" s="92">
        <f>VLOOKUP(A115,'Data Vlaue (Cr)'!C110:CB321,78,0)</f>
        <v>-7.4000000000000003E-3</v>
      </c>
      <c r="H115" s="91">
        <f>VLOOKUP($A115,'Data Vlaue (Cr)'!$C:$FB,91)</f>
        <v>171</v>
      </c>
      <c r="I115" s="91">
        <f>VLOOKUP($A115,'Data Vlaue (Cr)'!$C:$FB,93)</f>
        <v>-6</v>
      </c>
      <c r="J115" s="92">
        <f>VLOOKUP($A115,'Data Vlaue (Cr)'!$C:$FB,94)</f>
        <v>-3.3500000000000002E-2</v>
      </c>
      <c r="K115" s="91">
        <f>VLOOKUP($A115,'Data Vlaue (Cr)'!$C:$FB,95)</f>
        <v>103</v>
      </c>
      <c r="L115" s="91">
        <f>VLOOKUP($A115,'Data Vlaue (Cr)'!$C:$FB,97)</f>
        <v>1</v>
      </c>
      <c r="M115" s="92">
        <f>VLOOKUP($A115,'Data Vlaue (Cr)'!$C:$FB,98)</f>
        <v>1.34E-2</v>
      </c>
      <c r="N115" s="91">
        <f>VLOOKUP($A115,'Data Vlaue (Cr)'!$C:$FB,79)</f>
        <v>197</v>
      </c>
      <c r="O115" s="92">
        <f>VLOOKUP($A115,'Data Vlaue (Cr)'!$C:$FB,82)</f>
        <v>-8.0000000000000002E-3</v>
      </c>
    </row>
    <row r="116" spans="1:15" x14ac:dyDescent="0.25">
      <c r="A116" s="97" t="str">
        <f>'Data Vlaue (Cr)'!C111</f>
        <v>KOTAKBANK</v>
      </c>
      <c r="B116" s="142">
        <f>VLOOKUP(A116,'Data Vlaue (Cr)'!C111:CW322,99,0)</f>
        <v>10923</v>
      </c>
      <c r="C116" s="90">
        <f>VLOOKUP(A116,'Data Vlaue (Cr)'!C111:CY322,101,0)</f>
        <v>332</v>
      </c>
      <c r="D116" s="139">
        <f>VLOOKUP(A116,'Data Vlaue (Cr)'!C111:CZ322,102,0)</f>
        <v>3.1399999999999997E-2</v>
      </c>
      <c r="E116" s="91">
        <f>VLOOKUP($A116,'Data Vlaue (Cr)'!$C:$FB,75)</f>
        <v>8527</v>
      </c>
      <c r="F116" s="91">
        <f>VLOOKUP($A116,'Data Vlaue (Cr)'!$C:$FB,77)</f>
        <v>229</v>
      </c>
      <c r="G116" s="92">
        <f>VLOOKUP(A116,'Data Vlaue (Cr)'!C111:CB322,78,0)</f>
        <v>2.76E-2</v>
      </c>
      <c r="H116" s="91">
        <f>VLOOKUP($A116,'Data Vlaue (Cr)'!$C:$FB,91)</f>
        <v>1458</v>
      </c>
      <c r="I116" s="91">
        <f>VLOOKUP($A116,'Data Vlaue (Cr)'!$C:$FB,93)</f>
        <v>82</v>
      </c>
      <c r="J116" s="92">
        <f>VLOOKUP($A116,'Data Vlaue (Cr)'!$C:$FB,94)</f>
        <v>5.9499999999999997E-2</v>
      </c>
      <c r="K116" s="91">
        <f>VLOOKUP($A116,'Data Vlaue (Cr)'!$C:$FB,95)</f>
        <v>938</v>
      </c>
      <c r="L116" s="91">
        <f>VLOOKUP($A116,'Data Vlaue (Cr)'!$C:$FB,97)</f>
        <v>21</v>
      </c>
      <c r="M116" s="92">
        <f>VLOOKUP($A116,'Data Vlaue (Cr)'!$C:$FB,98)</f>
        <v>2.3199999999999998E-2</v>
      </c>
      <c r="N116" s="91">
        <f>VLOOKUP($A116,'Data Vlaue (Cr)'!$C:$FB,79)</f>
        <v>8200</v>
      </c>
      <c r="O116" s="92">
        <f>VLOOKUP($A116,'Data Vlaue (Cr)'!$C:$FB,82)</f>
        <v>1.9599999999999999E-2</v>
      </c>
    </row>
    <row r="117" spans="1:15" x14ac:dyDescent="0.25">
      <c r="A117" s="97" t="str">
        <f>'Data Vlaue (Cr)'!C112</f>
        <v>KPITTECH</v>
      </c>
      <c r="B117" s="142">
        <f>VLOOKUP(A117,'Data Vlaue (Cr)'!C112:CW323,99,0)</f>
        <v>1138</v>
      </c>
      <c r="C117" s="90">
        <f>VLOOKUP(A117,'Data Vlaue (Cr)'!C112:CY323,101,0)</f>
        <v>51</v>
      </c>
      <c r="D117" s="139">
        <f>VLOOKUP(A117,'Data Vlaue (Cr)'!C112:CZ323,102,0)</f>
        <v>4.7E-2</v>
      </c>
      <c r="E117" s="91">
        <f>VLOOKUP($A117,'Data Vlaue (Cr)'!$C:$FB,75)</f>
        <v>534</v>
      </c>
      <c r="F117" s="91">
        <f>VLOOKUP($A117,'Data Vlaue (Cr)'!$C:$FB,77)</f>
        <v>9</v>
      </c>
      <c r="G117" s="92">
        <f>VLOOKUP(A117,'Data Vlaue (Cr)'!C112:CB323,78,0)</f>
        <v>1.6799999999999999E-2</v>
      </c>
      <c r="H117" s="91">
        <f>VLOOKUP($A117,'Data Vlaue (Cr)'!$C:$FB,91)</f>
        <v>402</v>
      </c>
      <c r="I117" s="91">
        <f>VLOOKUP($A117,'Data Vlaue (Cr)'!$C:$FB,93)</f>
        <v>41</v>
      </c>
      <c r="J117" s="92">
        <f>VLOOKUP($A117,'Data Vlaue (Cr)'!$C:$FB,94)</f>
        <v>0.11260000000000001</v>
      </c>
      <c r="K117" s="91">
        <f>VLOOKUP($A117,'Data Vlaue (Cr)'!$C:$FB,95)</f>
        <v>201</v>
      </c>
      <c r="L117" s="91">
        <f>VLOOKUP($A117,'Data Vlaue (Cr)'!$C:$FB,97)</f>
        <v>2</v>
      </c>
      <c r="M117" s="92">
        <f>VLOOKUP($A117,'Data Vlaue (Cr)'!$C:$FB,98)</f>
        <v>7.7000000000000002E-3</v>
      </c>
      <c r="N117" s="91">
        <f>VLOOKUP($A117,'Data Vlaue (Cr)'!$C:$FB,79)</f>
        <v>491</v>
      </c>
      <c r="O117" s="92">
        <f>VLOOKUP($A117,'Data Vlaue (Cr)'!$C:$FB,82)</f>
        <v>1.3899999999999999E-2</v>
      </c>
    </row>
    <row r="118" spans="1:15" x14ac:dyDescent="0.25">
      <c r="A118" s="97" t="str">
        <f>'Data Vlaue (Cr)'!C113</f>
        <v>LAURUSLABS</v>
      </c>
      <c r="B118" s="142">
        <f>VLOOKUP(A118,'Data Vlaue (Cr)'!C113:CW324,99,0)</f>
        <v>3578</v>
      </c>
      <c r="C118" s="90">
        <f>VLOOKUP(A118,'Data Vlaue (Cr)'!C113:CY324,101,0)</f>
        <v>49</v>
      </c>
      <c r="D118" s="139">
        <f>VLOOKUP(A118,'Data Vlaue (Cr)'!C113:CZ324,102,0)</f>
        <v>1.38E-2</v>
      </c>
      <c r="E118" s="91">
        <f>VLOOKUP($A118,'Data Vlaue (Cr)'!$C:$FB,75)</f>
        <v>2141</v>
      </c>
      <c r="F118" s="91">
        <f>VLOOKUP($A118,'Data Vlaue (Cr)'!$C:$FB,77)</f>
        <v>1</v>
      </c>
      <c r="G118" s="92">
        <f>VLOOKUP(A118,'Data Vlaue (Cr)'!C113:CB324,78,0)</f>
        <v>5.9999999999999995E-4</v>
      </c>
      <c r="H118" s="91">
        <f>VLOOKUP($A118,'Data Vlaue (Cr)'!$C:$FB,91)</f>
        <v>942</v>
      </c>
      <c r="I118" s="91">
        <f>VLOOKUP($A118,'Data Vlaue (Cr)'!$C:$FB,93)</f>
        <v>20</v>
      </c>
      <c r="J118" s="92">
        <f>VLOOKUP($A118,'Data Vlaue (Cr)'!$C:$FB,94)</f>
        <v>2.1700000000000001E-2</v>
      </c>
      <c r="K118" s="91">
        <f>VLOOKUP($A118,'Data Vlaue (Cr)'!$C:$FB,95)</f>
        <v>496</v>
      </c>
      <c r="L118" s="91">
        <f>VLOOKUP($A118,'Data Vlaue (Cr)'!$C:$FB,97)</f>
        <v>27</v>
      </c>
      <c r="M118" s="92">
        <f>VLOOKUP($A118,'Data Vlaue (Cr)'!$C:$FB,98)</f>
        <v>5.8599999999999999E-2</v>
      </c>
      <c r="N118" s="91">
        <f>VLOOKUP($A118,'Data Vlaue (Cr)'!$C:$FB,79)</f>
        <v>1984</v>
      </c>
      <c r="O118" s="92">
        <f>VLOOKUP($A118,'Data Vlaue (Cr)'!$C:$FB,82)</f>
        <v>-7.4000000000000003E-3</v>
      </c>
    </row>
    <row r="119" spans="1:15" x14ac:dyDescent="0.25">
      <c r="A119" s="97" t="str">
        <f>'Data Vlaue (Cr)'!C114</f>
        <v>LICHSGFIN</v>
      </c>
      <c r="B119" s="142">
        <f>VLOOKUP(A119,'Data Vlaue (Cr)'!C114:CW325,99,0)</f>
        <v>2344</v>
      </c>
      <c r="C119" s="90">
        <f>VLOOKUP(A119,'Data Vlaue (Cr)'!C114:CY325,101,0)</f>
        <v>72</v>
      </c>
      <c r="D119" s="139">
        <f>VLOOKUP(A119,'Data Vlaue (Cr)'!C114:CZ325,102,0)</f>
        <v>3.1899999999999998E-2</v>
      </c>
      <c r="E119" s="91">
        <f>VLOOKUP($A119,'Data Vlaue (Cr)'!$C:$FB,75)</f>
        <v>1677</v>
      </c>
      <c r="F119" s="91">
        <f>VLOOKUP($A119,'Data Vlaue (Cr)'!$C:$FB,77)</f>
        <v>41</v>
      </c>
      <c r="G119" s="92">
        <f>VLOOKUP(A119,'Data Vlaue (Cr)'!C114:CB325,78,0)</f>
        <v>2.53E-2</v>
      </c>
      <c r="H119" s="91">
        <f>VLOOKUP($A119,'Data Vlaue (Cr)'!$C:$FB,91)</f>
        <v>339</v>
      </c>
      <c r="I119" s="91">
        <f>VLOOKUP($A119,'Data Vlaue (Cr)'!$C:$FB,93)</f>
        <v>5</v>
      </c>
      <c r="J119" s="92">
        <f>VLOOKUP($A119,'Data Vlaue (Cr)'!$C:$FB,94)</f>
        <v>1.5299999999999999E-2</v>
      </c>
      <c r="K119" s="91">
        <f>VLOOKUP($A119,'Data Vlaue (Cr)'!$C:$FB,95)</f>
        <v>329</v>
      </c>
      <c r="L119" s="91">
        <f>VLOOKUP($A119,'Data Vlaue (Cr)'!$C:$FB,97)</f>
        <v>26</v>
      </c>
      <c r="M119" s="92">
        <f>VLOOKUP($A119,'Data Vlaue (Cr)'!$C:$FB,98)</f>
        <v>8.6199999999999999E-2</v>
      </c>
      <c r="N119" s="91">
        <f>VLOOKUP($A119,'Data Vlaue (Cr)'!$C:$FB,79)</f>
        <v>1391</v>
      </c>
      <c r="O119" s="92">
        <f>VLOOKUP($A119,'Data Vlaue (Cr)'!$C:$FB,82)</f>
        <v>2.35E-2</v>
      </c>
    </row>
    <row r="120" spans="1:15" x14ac:dyDescent="0.25">
      <c r="A120" s="97" t="str">
        <f>'Data Vlaue (Cr)'!C115</f>
        <v>LICI</v>
      </c>
      <c r="B120" s="142">
        <f>VLOOKUP(A120,'Data Vlaue (Cr)'!C115:CW326,99,0)</f>
        <v>1528</v>
      </c>
      <c r="C120" s="90">
        <f>VLOOKUP(A120,'Data Vlaue (Cr)'!C115:CY326,101,0)</f>
        <v>44</v>
      </c>
      <c r="D120" s="139">
        <f>VLOOKUP(A120,'Data Vlaue (Cr)'!C115:CZ326,102,0)</f>
        <v>2.9399999999999999E-2</v>
      </c>
      <c r="E120" s="91">
        <f>VLOOKUP($A120,'Data Vlaue (Cr)'!$C:$FB,75)</f>
        <v>797</v>
      </c>
      <c r="F120" s="91">
        <f>VLOOKUP($A120,'Data Vlaue (Cr)'!$C:$FB,77)</f>
        <v>11</v>
      </c>
      <c r="G120" s="92">
        <f>VLOOKUP(A120,'Data Vlaue (Cr)'!C115:CB326,78,0)</f>
        <v>1.3599999999999999E-2</v>
      </c>
      <c r="H120" s="91">
        <f>VLOOKUP($A120,'Data Vlaue (Cr)'!$C:$FB,91)</f>
        <v>491</v>
      </c>
      <c r="I120" s="91">
        <f>VLOOKUP($A120,'Data Vlaue (Cr)'!$C:$FB,93)</f>
        <v>21</v>
      </c>
      <c r="J120" s="92">
        <f>VLOOKUP($A120,'Data Vlaue (Cr)'!$C:$FB,94)</f>
        <v>4.4600000000000001E-2</v>
      </c>
      <c r="K120" s="91">
        <f>VLOOKUP($A120,'Data Vlaue (Cr)'!$C:$FB,95)</f>
        <v>240</v>
      </c>
      <c r="L120" s="91">
        <f>VLOOKUP($A120,'Data Vlaue (Cr)'!$C:$FB,97)</f>
        <v>12</v>
      </c>
      <c r="M120" s="92">
        <f>VLOOKUP($A120,'Data Vlaue (Cr)'!$C:$FB,98)</f>
        <v>5.28E-2</v>
      </c>
      <c r="N120" s="91">
        <f>VLOOKUP($A120,'Data Vlaue (Cr)'!$C:$FB,79)</f>
        <v>707</v>
      </c>
      <c r="O120" s="92">
        <f>VLOOKUP($A120,'Data Vlaue (Cr)'!$C:$FB,82)</f>
        <v>1.04E-2</v>
      </c>
    </row>
    <row r="121" spans="1:15" x14ac:dyDescent="0.25">
      <c r="A121" s="97" t="str">
        <f>'Data Vlaue (Cr)'!C116</f>
        <v>LODHA</v>
      </c>
      <c r="B121" s="142">
        <f>VLOOKUP(A121,'Data Vlaue (Cr)'!C116:CW327,99,0)</f>
        <v>1323</v>
      </c>
      <c r="C121" s="90">
        <f>VLOOKUP(A121,'Data Vlaue (Cr)'!C116:CY327,101,0)</f>
        <v>50</v>
      </c>
      <c r="D121" s="139">
        <f>VLOOKUP(A121,'Data Vlaue (Cr)'!C116:CZ327,102,0)</f>
        <v>3.9199999999999999E-2</v>
      </c>
      <c r="E121" s="91">
        <f>VLOOKUP($A121,'Data Vlaue (Cr)'!$C:$FB,75)</f>
        <v>854</v>
      </c>
      <c r="F121" s="91">
        <f>VLOOKUP($A121,'Data Vlaue (Cr)'!$C:$FB,77)</f>
        <v>7</v>
      </c>
      <c r="G121" s="92">
        <f>VLOOKUP(A121,'Data Vlaue (Cr)'!C116:CB327,78,0)</f>
        <v>8.3000000000000001E-3</v>
      </c>
      <c r="H121" s="91">
        <f>VLOOKUP($A121,'Data Vlaue (Cr)'!$C:$FB,91)</f>
        <v>249</v>
      </c>
      <c r="I121" s="91">
        <f>VLOOKUP($A121,'Data Vlaue (Cr)'!$C:$FB,93)</f>
        <v>30</v>
      </c>
      <c r="J121" s="92">
        <f>VLOOKUP($A121,'Data Vlaue (Cr)'!$C:$FB,94)</f>
        <v>0.1366</v>
      </c>
      <c r="K121" s="91">
        <f>VLOOKUP($A121,'Data Vlaue (Cr)'!$C:$FB,95)</f>
        <v>221</v>
      </c>
      <c r="L121" s="91">
        <f>VLOOKUP($A121,'Data Vlaue (Cr)'!$C:$FB,97)</f>
        <v>13</v>
      </c>
      <c r="M121" s="92">
        <f>VLOOKUP($A121,'Data Vlaue (Cr)'!$C:$FB,98)</f>
        <v>6.25E-2</v>
      </c>
      <c r="N121" s="91">
        <f>VLOOKUP($A121,'Data Vlaue (Cr)'!$C:$FB,79)</f>
        <v>829</v>
      </c>
      <c r="O121" s="92">
        <f>VLOOKUP($A121,'Data Vlaue (Cr)'!$C:$FB,82)</f>
        <v>7.6E-3</v>
      </c>
    </row>
    <row r="122" spans="1:15" x14ac:dyDescent="0.25">
      <c r="A122" s="97" t="str">
        <f>'Data Vlaue (Cr)'!C117</f>
        <v>LT</v>
      </c>
      <c r="B122" s="142">
        <f>VLOOKUP(A122,'Data Vlaue (Cr)'!C117:CW328,99,0)</f>
        <v>12494</v>
      </c>
      <c r="C122" s="90">
        <f>VLOOKUP(A122,'Data Vlaue (Cr)'!C117:CY328,101,0)</f>
        <v>799</v>
      </c>
      <c r="D122" s="139">
        <f>VLOOKUP(A122,'Data Vlaue (Cr)'!C117:CZ328,102,0)</f>
        <v>6.83E-2</v>
      </c>
      <c r="E122" s="91">
        <f>VLOOKUP($A122,'Data Vlaue (Cr)'!$C:$FB,75)</f>
        <v>5446</v>
      </c>
      <c r="F122" s="91">
        <f>VLOOKUP($A122,'Data Vlaue (Cr)'!$C:$FB,77)</f>
        <v>239</v>
      </c>
      <c r="G122" s="92">
        <f>VLOOKUP(A122,'Data Vlaue (Cr)'!C117:CB328,78,0)</f>
        <v>4.5999999999999999E-2</v>
      </c>
      <c r="H122" s="91">
        <f>VLOOKUP($A122,'Data Vlaue (Cr)'!$C:$FB,91)</f>
        <v>4629</v>
      </c>
      <c r="I122" s="91">
        <f>VLOOKUP($A122,'Data Vlaue (Cr)'!$C:$FB,93)</f>
        <v>357</v>
      </c>
      <c r="J122" s="92">
        <f>VLOOKUP($A122,'Data Vlaue (Cr)'!$C:$FB,94)</f>
        <v>8.3599999999999994E-2</v>
      </c>
      <c r="K122" s="91">
        <f>VLOOKUP($A122,'Data Vlaue (Cr)'!$C:$FB,95)</f>
        <v>2419</v>
      </c>
      <c r="L122" s="91">
        <f>VLOOKUP($A122,'Data Vlaue (Cr)'!$C:$FB,97)</f>
        <v>202</v>
      </c>
      <c r="M122" s="92">
        <f>VLOOKUP($A122,'Data Vlaue (Cr)'!$C:$FB,98)</f>
        <v>9.1200000000000003E-2</v>
      </c>
      <c r="N122" s="91">
        <f>VLOOKUP($A122,'Data Vlaue (Cr)'!$C:$FB,79)</f>
        <v>5080</v>
      </c>
      <c r="O122" s="92">
        <f>VLOOKUP($A122,'Data Vlaue (Cr)'!$C:$FB,82)</f>
        <v>3.6999999999999998E-2</v>
      </c>
    </row>
    <row r="123" spans="1:15" x14ac:dyDescent="0.25">
      <c r="A123" s="97" t="str">
        <f>'Data Vlaue (Cr)'!C118</f>
        <v>LTF</v>
      </c>
      <c r="B123" s="142">
        <f>VLOOKUP(A123,'Data Vlaue (Cr)'!C118:CW329,99,0)</f>
        <v>3199</v>
      </c>
      <c r="C123" s="90">
        <f>VLOOKUP(A123,'Data Vlaue (Cr)'!C118:CY329,101,0)</f>
        <v>-32</v>
      </c>
      <c r="D123" s="139">
        <f>VLOOKUP(A123,'Data Vlaue (Cr)'!C118:CZ329,102,0)</f>
        <v>-0.01</v>
      </c>
      <c r="E123" s="91">
        <f>VLOOKUP($A123,'Data Vlaue (Cr)'!$C:$FB,75)</f>
        <v>1608</v>
      </c>
      <c r="F123" s="91">
        <f>VLOOKUP($A123,'Data Vlaue (Cr)'!$C:$FB,77)</f>
        <v>-29</v>
      </c>
      <c r="G123" s="92">
        <f>VLOOKUP(A123,'Data Vlaue (Cr)'!C118:CB329,78,0)</f>
        <v>-1.78E-2</v>
      </c>
      <c r="H123" s="91">
        <f>VLOOKUP($A123,'Data Vlaue (Cr)'!$C:$FB,91)</f>
        <v>1056</v>
      </c>
      <c r="I123" s="91">
        <f>VLOOKUP($A123,'Data Vlaue (Cr)'!$C:$FB,93)</f>
        <v>-7</v>
      </c>
      <c r="J123" s="92">
        <f>VLOOKUP($A123,'Data Vlaue (Cr)'!$C:$FB,94)</f>
        <v>-6.1999999999999998E-3</v>
      </c>
      <c r="K123" s="91">
        <f>VLOOKUP($A123,'Data Vlaue (Cr)'!$C:$FB,95)</f>
        <v>536</v>
      </c>
      <c r="L123" s="91">
        <f>VLOOKUP($A123,'Data Vlaue (Cr)'!$C:$FB,97)</f>
        <v>3</v>
      </c>
      <c r="M123" s="92">
        <f>VLOOKUP($A123,'Data Vlaue (Cr)'!$C:$FB,98)</f>
        <v>6.3E-3</v>
      </c>
      <c r="N123" s="91">
        <f>VLOOKUP($A123,'Data Vlaue (Cr)'!$C:$FB,79)</f>
        <v>1481</v>
      </c>
      <c r="O123" s="92">
        <f>VLOOKUP($A123,'Data Vlaue (Cr)'!$C:$FB,82)</f>
        <v>-1.77E-2</v>
      </c>
    </row>
    <row r="124" spans="1:15" x14ac:dyDescent="0.25">
      <c r="A124" s="97" t="str">
        <f>'Data Vlaue (Cr)'!C119</f>
        <v>LTM</v>
      </c>
      <c r="B124" s="142">
        <f>VLOOKUP(A124,'Data Vlaue (Cr)'!C119:CW330,99,0)</f>
        <v>2483</v>
      </c>
      <c r="C124" s="90">
        <f>VLOOKUP(A124,'Data Vlaue (Cr)'!C119:CY330,101,0)</f>
        <v>44</v>
      </c>
      <c r="D124" s="139">
        <f>VLOOKUP(A124,'Data Vlaue (Cr)'!C119:CZ330,102,0)</f>
        <v>1.8200000000000001E-2</v>
      </c>
      <c r="E124" s="91">
        <f>VLOOKUP($A124,'Data Vlaue (Cr)'!$C:$FB,75)</f>
        <v>1513</v>
      </c>
      <c r="F124" s="91">
        <f>VLOOKUP($A124,'Data Vlaue (Cr)'!$C:$FB,77)</f>
        <v>62</v>
      </c>
      <c r="G124" s="92">
        <f>VLOOKUP(A124,'Data Vlaue (Cr)'!C119:CB330,78,0)</f>
        <v>4.2900000000000001E-2</v>
      </c>
      <c r="H124" s="91">
        <f>VLOOKUP($A124,'Data Vlaue (Cr)'!$C:$FB,91)</f>
        <v>585</v>
      </c>
      <c r="I124" s="91">
        <f>VLOOKUP($A124,'Data Vlaue (Cr)'!$C:$FB,93)</f>
        <v>-26</v>
      </c>
      <c r="J124" s="92">
        <f>VLOOKUP($A124,'Data Vlaue (Cr)'!$C:$FB,94)</f>
        <v>-4.2000000000000003E-2</v>
      </c>
      <c r="K124" s="91">
        <f>VLOOKUP($A124,'Data Vlaue (Cr)'!$C:$FB,95)</f>
        <v>385</v>
      </c>
      <c r="L124" s="91">
        <f>VLOOKUP($A124,'Data Vlaue (Cr)'!$C:$FB,97)</f>
        <v>8</v>
      </c>
      <c r="M124" s="92">
        <f>VLOOKUP($A124,'Data Vlaue (Cr)'!$C:$FB,98)</f>
        <v>2.0500000000000001E-2</v>
      </c>
      <c r="N124" s="91">
        <f>VLOOKUP($A124,'Data Vlaue (Cr)'!$C:$FB,79)</f>
        <v>1427</v>
      </c>
      <c r="O124" s="92">
        <f>VLOOKUP($A124,'Data Vlaue (Cr)'!$C:$FB,82)</f>
        <v>1.89E-2</v>
      </c>
    </row>
    <row r="125" spans="1:15" x14ac:dyDescent="0.25">
      <c r="A125" s="97" t="str">
        <f>'Data Vlaue (Cr)'!C120</f>
        <v>LUPIN</v>
      </c>
      <c r="B125" s="142">
        <f>VLOOKUP(A125,'Data Vlaue (Cr)'!C120:CW331,99,0)</f>
        <v>3122</v>
      </c>
      <c r="C125" s="90">
        <f>VLOOKUP(A125,'Data Vlaue (Cr)'!C120:CY331,101,0)</f>
        <v>80</v>
      </c>
      <c r="D125" s="139">
        <f>VLOOKUP(A125,'Data Vlaue (Cr)'!C120:CZ331,102,0)</f>
        <v>2.6100000000000002E-2</v>
      </c>
      <c r="E125" s="91">
        <f>VLOOKUP($A125,'Data Vlaue (Cr)'!$C:$FB,75)</f>
        <v>1767</v>
      </c>
      <c r="F125" s="91">
        <f>VLOOKUP($A125,'Data Vlaue (Cr)'!$C:$FB,77)</f>
        <v>44</v>
      </c>
      <c r="G125" s="92">
        <f>VLOOKUP(A125,'Data Vlaue (Cr)'!C120:CB331,78,0)</f>
        <v>2.5700000000000001E-2</v>
      </c>
      <c r="H125" s="91">
        <f>VLOOKUP($A125,'Data Vlaue (Cr)'!$C:$FB,91)</f>
        <v>849</v>
      </c>
      <c r="I125" s="91">
        <f>VLOOKUP($A125,'Data Vlaue (Cr)'!$C:$FB,93)</f>
        <v>7</v>
      </c>
      <c r="J125" s="92">
        <f>VLOOKUP($A125,'Data Vlaue (Cr)'!$C:$FB,94)</f>
        <v>8.0000000000000002E-3</v>
      </c>
      <c r="K125" s="91">
        <f>VLOOKUP($A125,'Data Vlaue (Cr)'!$C:$FB,95)</f>
        <v>506</v>
      </c>
      <c r="L125" s="91">
        <f>VLOOKUP($A125,'Data Vlaue (Cr)'!$C:$FB,97)</f>
        <v>28</v>
      </c>
      <c r="M125" s="92">
        <f>VLOOKUP($A125,'Data Vlaue (Cr)'!$C:$FB,98)</f>
        <v>5.96E-2</v>
      </c>
      <c r="N125" s="91">
        <f>VLOOKUP($A125,'Data Vlaue (Cr)'!$C:$FB,79)</f>
        <v>1712</v>
      </c>
      <c r="O125" s="92">
        <f>VLOOKUP($A125,'Data Vlaue (Cr)'!$C:$FB,82)</f>
        <v>2.47E-2</v>
      </c>
    </row>
    <row r="126" spans="1:15" x14ac:dyDescent="0.25">
      <c r="A126" s="97" t="str">
        <f>'Data Vlaue (Cr)'!C121</f>
        <v>M&amp;M</v>
      </c>
      <c r="B126" s="142">
        <f>VLOOKUP(A126,'Data Vlaue (Cr)'!C121:CW332,99,0)</f>
        <v>8806</v>
      </c>
      <c r="C126" s="90">
        <f>VLOOKUP(A126,'Data Vlaue (Cr)'!C121:CY332,101,0)</f>
        <v>614</v>
      </c>
      <c r="D126" s="139">
        <f>VLOOKUP(A126,'Data Vlaue (Cr)'!C121:CZ332,102,0)</f>
        <v>7.4999999999999997E-2</v>
      </c>
      <c r="E126" s="91">
        <f>VLOOKUP($A126,'Data Vlaue (Cr)'!$C:$FB,75)</f>
        <v>5674</v>
      </c>
      <c r="F126" s="91">
        <f>VLOOKUP($A126,'Data Vlaue (Cr)'!$C:$FB,77)</f>
        <v>242</v>
      </c>
      <c r="G126" s="92">
        <f>VLOOKUP(A126,'Data Vlaue (Cr)'!C121:CB332,78,0)</f>
        <v>4.4600000000000001E-2</v>
      </c>
      <c r="H126" s="91">
        <f>VLOOKUP($A126,'Data Vlaue (Cr)'!$C:$FB,91)</f>
        <v>1992</v>
      </c>
      <c r="I126" s="91">
        <f>VLOOKUP($A126,'Data Vlaue (Cr)'!$C:$FB,93)</f>
        <v>296</v>
      </c>
      <c r="J126" s="92">
        <f>VLOOKUP($A126,'Data Vlaue (Cr)'!$C:$FB,94)</f>
        <v>0.17460000000000001</v>
      </c>
      <c r="K126" s="91">
        <f>VLOOKUP($A126,'Data Vlaue (Cr)'!$C:$FB,95)</f>
        <v>1140</v>
      </c>
      <c r="L126" s="91">
        <f>VLOOKUP($A126,'Data Vlaue (Cr)'!$C:$FB,97)</f>
        <v>76</v>
      </c>
      <c r="M126" s="92">
        <f>VLOOKUP($A126,'Data Vlaue (Cr)'!$C:$FB,98)</f>
        <v>7.17E-2</v>
      </c>
      <c r="N126" s="91">
        <f>VLOOKUP($A126,'Data Vlaue (Cr)'!$C:$FB,79)</f>
        <v>5435</v>
      </c>
      <c r="O126" s="92">
        <f>VLOOKUP($A126,'Data Vlaue (Cr)'!$C:$FB,82)</f>
        <v>3.2300000000000002E-2</v>
      </c>
    </row>
    <row r="127" spans="1:15" x14ac:dyDescent="0.25">
      <c r="A127" s="97" t="str">
        <f>'Data Vlaue (Cr)'!C122</f>
        <v>MANAPPURAM</v>
      </c>
      <c r="B127" s="142">
        <f>VLOOKUP(A127,'Data Vlaue (Cr)'!C122:CW333,99,0)</f>
        <v>2621</v>
      </c>
      <c r="C127" s="90">
        <f>VLOOKUP(A127,'Data Vlaue (Cr)'!C122:CY333,101,0)</f>
        <v>82</v>
      </c>
      <c r="D127" s="139">
        <f>VLOOKUP(A127,'Data Vlaue (Cr)'!C122:CZ333,102,0)</f>
        <v>3.2399999999999998E-2</v>
      </c>
      <c r="E127" s="91">
        <f>VLOOKUP($A127,'Data Vlaue (Cr)'!$C:$FB,75)</f>
        <v>1477</v>
      </c>
      <c r="F127" s="91">
        <f>VLOOKUP($A127,'Data Vlaue (Cr)'!$C:$FB,77)</f>
        <v>47</v>
      </c>
      <c r="G127" s="92">
        <f>VLOOKUP(A127,'Data Vlaue (Cr)'!C122:CB333,78,0)</f>
        <v>3.2599999999999997E-2</v>
      </c>
      <c r="H127" s="91">
        <f>VLOOKUP($A127,'Data Vlaue (Cr)'!$C:$FB,91)</f>
        <v>613</v>
      </c>
      <c r="I127" s="91">
        <f>VLOOKUP($A127,'Data Vlaue (Cr)'!$C:$FB,93)</f>
        <v>27</v>
      </c>
      <c r="J127" s="92">
        <f>VLOOKUP($A127,'Data Vlaue (Cr)'!$C:$FB,94)</f>
        <v>4.6199999999999998E-2</v>
      </c>
      <c r="K127" s="91">
        <f>VLOOKUP($A127,'Data Vlaue (Cr)'!$C:$FB,95)</f>
        <v>532</v>
      </c>
      <c r="L127" s="91">
        <f>VLOOKUP($A127,'Data Vlaue (Cr)'!$C:$FB,97)</f>
        <v>8</v>
      </c>
      <c r="M127" s="92">
        <f>VLOOKUP($A127,'Data Vlaue (Cr)'!$C:$FB,98)</f>
        <v>1.6199999999999999E-2</v>
      </c>
      <c r="N127" s="91">
        <f>VLOOKUP($A127,'Data Vlaue (Cr)'!$C:$FB,79)</f>
        <v>1427</v>
      </c>
      <c r="O127" s="92">
        <f>VLOOKUP($A127,'Data Vlaue (Cr)'!$C:$FB,82)</f>
        <v>3.3399999999999999E-2</v>
      </c>
    </row>
    <row r="128" spans="1:15" x14ac:dyDescent="0.25">
      <c r="A128" s="97" t="str">
        <f>'Data Vlaue (Cr)'!C123</f>
        <v>MANKIND</v>
      </c>
      <c r="B128" s="142">
        <f>VLOOKUP(A128,'Data Vlaue (Cr)'!C123:CW334,99,0)</f>
        <v>976</v>
      </c>
      <c r="C128" s="90">
        <f>VLOOKUP(A128,'Data Vlaue (Cr)'!C123:CY334,101,0)</f>
        <v>0</v>
      </c>
      <c r="D128" s="139">
        <f>VLOOKUP(A128,'Data Vlaue (Cr)'!C123:CZ334,102,0)</f>
        <v>1E-4</v>
      </c>
      <c r="E128" s="91">
        <f>VLOOKUP($A128,'Data Vlaue (Cr)'!$C:$FB,75)</f>
        <v>593</v>
      </c>
      <c r="F128" s="91">
        <f>VLOOKUP($A128,'Data Vlaue (Cr)'!$C:$FB,77)</f>
        <v>2</v>
      </c>
      <c r="G128" s="92">
        <f>VLOOKUP(A128,'Data Vlaue (Cr)'!C123:CB334,78,0)</f>
        <v>3.3999999999999998E-3</v>
      </c>
      <c r="H128" s="91">
        <f>VLOOKUP($A128,'Data Vlaue (Cr)'!$C:$FB,91)</f>
        <v>257</v>
      </c>
      <c r="I128" s="91">
        <f>VLOOKUP($A128,'Data Vlaue (Cr)'!$C:$FB,93)</f>
        <v>4</v>
      </c>
      <c r="J128" s="92">
        <f>VLOOKUP($A128,'Data Vlaue (Cr)'!$C:$FB,94)</f>
        <v>1.7000000000000001E-2</v>
      </c>
      <c r="K128" s="91">
        <f>VLOOKUP($A128,'Data Vlaue (Cr)'!$C:$FB,95)</f>
        <v>126</v>
      </c>
      <c r="L128" s="91">
        <f>VLOOKUP($A128,'Data Vlaue (Cr)'!$C:$FB,97)</f>
        <v>-6</v>
      </c>
      <c r="M128" s="92">
        <f>VLOOKUP($A128,'Data Vlaue (Cr)'!$C:$FB,98)</f>
        <v>-4.6800000000000001E-2</v>
      </c>
      <c r="N128" s="91">
        <f>VLOOKUP($A128,'Data Vlaue (Cr)'!$C:$FB,79)</f>
        <v>577</v>
      </c>
      <c r="O128" s="92">
        <f>VLOOKUP($A128,'Data Vlaue (Cr)'!$C:$FB,82)</f>
        <v>4.1000000000000003E-3</v>
      </c>
    </row>
    <row r="129" spans="1:15" x14ac:dyDescent="0.25">
      <c r="A129" s="97" t="str">
        <f>'Data Vlaue (Cr)'!C124</f>
        <v>MARICO</v>
      </c>
      <c r="B129" s="142">
        <f>VLOOKUP(A129,'Data Vlaue (Cr)'!C124:CW335,99,0)</f>
        <v>2614</v>
      </c>
      <c r="C129" s="90">
        <f>VLOOKUP(A129,'Data Vlaue (Cr)'!C124:CY335,101,0)</f>
        <v>23</v>
      </c>
      <c r="D129" s="139">
        <f>VLOOKUP(A129,'Data Vlaue (Cr)'!C124:CZ335,102,0)</f>
        <v>8.6999999999999994E-3</v>
      </c>
      <c r="E129" s="91">
        <f>VLOOKUP($A129,'Data Vlaue (Cr)'!$C:$FB,75)</f>
        <v>1913</v>
      </c>
      <c r="F129" s="91">
        <f>VLOOKUP($A129,'Data Vlaue (Cr)'!$C:$FB,77)</f>
        <v>-45</v>
      </c>
      <c r="G129" s="92">
        <f>VLOOKUP(A129,'Data Vlaue (Cr)'!C124:CB335,78,0)</f>
        <v>-2.3099999999999999E-2</v>
      </c>
      <c r="H129" s="91">
        <f>VLOOKUP($A129,'Data Vlaue (Cr)'!$C:$FB,91)</f>
        <v>441</v>
      </c>
      <c r="I129" s="91">
        <f>VLOOKUP($A129,'Data Vlaue (Cr)'!$C:$FB,93)</f>
        <v>40</v>
      </c>
      <c r="J129" s="92">
        <f>VLOOKUP($A129,'Data Vlaue (Cr)'!$C:$FB,94)</f>
        <v>9.9900000000000003E-2</v>
      </c>
      <c r="K129" s="91">
        <f>VLOOKUP($A129,'Data Vlaue (Cr)'!$C:$FB,95)</f>
        <v>259</v>
      </c>
      <c r="L129" s="91">
        <f>VLOOKUP($A129,'Data Vlaue (Cr)'!$C:$FB,97)</f>
        <v>28</v>
      </c>
      <c r="M129" s="92">
        <f>VLOOKUP($A129,'Data Vlaue (Cr)'!$C:$FB,98)</f>
        <v>0.1201</v>
      </c>
      <c r="N129" s="91">
        <f>VLOOKUP($A129,'Data Vlaue (Cr)'!$C:$FB,79)</f>
        <v>1900</v>
      </c>
      <c r="O129" s="92">
        <f>VLOOKUP($A129,'Data Vlaue (Cr)'!$C:$FB,82)</f>
        <v>-2.63E-2</v>
      </c>
    </row>
    <row r="130" spans="1:15" x14ac:dyDescent="0.25">
      <c r="A130" s="97" t="str">
        <f>'Data Vlaue (Cr)'!C125</f>
        <v>MARUTI</v>
      </c>
      <c r="B130" s="142">
        <f>VLOOKUP(A130,'Data Vlaue (Cr)'!C125:CW336,99,0)</f>
        <v>8696</v>
      </c>
      <c r="C130" s="90">
        <f>VLOOKUP(A130,'Data Vlaue (Cr)'!C125:CY336,101,0)</f>
        <v>652</v>
      </c>
      <c r="D130" s="139">
        <f>VLOOKUP(A130,'Data Vlaue (Cr)'!C125:CZ336,102,0)</f>
        <v>8.1100000000000005E-2</v>
      </c>
      <c r="E130" s="91">
        <f>VLOOKUP($A130,'Data Vlaue (Cr)'!$C:$FB,75)</f>
        <v>3725</v>
      </c>
      <c r="F130" s="91">
        <f>VLOOKUP($A130,'Data Vlaue (Cr)'!$C:$FB,77)</f>
        <v>90</v>
      </c>
      <c r="G130" s="92">
        <f>VLOOKUP(A130,'Data Vlaue (Cr)'!C125:CB336,78,0)</f>
        <v>2.4899999999999999E-2</v>
      </c>
      <c r="H130" s="91">
        <f>VLOOKUP($A130,'Data Vlaue (Cr)'!$C:$FB,91)</f>
        <v>3567</v>
      </c>
      <c r="I130" s="91">
        <f>VLOOKUP($A130,'Data Vlaue (Cr)'!$C:$FB,93)</f>
        <v>462</v>
      </c>
      <c r="J130" s="92">
        <f>VLOOKUP($A130,'Data Vlaue (Cr)'!$C:$FB,94)</f>
        <v>0.1489</v>
      </c>
      <c r="K130" s="91">
        <f>VLOOKUP($A130,'Data Vlaue (Cr)'!$C:$FB,95)</f>
        <v>1404</v>
      </c>
      <c r="L130" s="91">
        <f>VLOOKUP($A130,'Data Vlaue (Cr)'!$C:$FB,97)</f>
        <v>99</v>
      </c>
      <c r="M130" s="92">
        <f>VLOOKUP($A130,'Data Vlaue (Cr)'!$C:$FB,98)</f>
        <v>7.6200000000000004E-2</v>
      </c>
      <c r="N130" s="91">
        <f>VLOOKUP($A130,'Data Vlaue (Cr)'!$C:$FB,79)</f>
        <v>3600</v>
      </c>
      <c r="O130" s="92">
        <f>VLOOKUP($A130,'Data Vlaue (Cr)'!$C:$FB,82)</f>
        <v>1.9300000000000001E-2</v>
      </c>
    </row>
    <row r="131" spans="1:15" x14ac:dyDescent="0.25">
      <c r="A131" s="97" t="str">
        <f>'Data Vlaue (Cr)'!C126</f>
        <v>MAXHEALTH</v>
      </c>
      <c r="B131" s="142">
        <f>VLOOKUP(A131,'Data Vlaue (Cr)'!C126:CW337,99,0)</f>
        <v>1886</v>
      </c>
      <c r="C131" s="90">
        <f>VLOOKUP(A131,'Data Vlaue (Cr)'!C126:CY337,101,0)</f>
        <v>5</v>
      </c>
      <c r="D131" s="139">
        <f>VLOOKUP(A131,'Data Vlaue (Cr)'!C126:CZ337,102,0)</f>
        <v>2.3999999999999998E-3</v>
      </c>
      <c r="E131" s="91">
        <f>VLOOKUP($A131,'Data Vlaue (Cr)'!$C:$FB,75)</f>
        <v>1380</v>
      </c>
      <c r="F131" s="91">
        <f>VLOOKUP($A131,'Data Vlaue (Cr)'!$C:$FB,77)</f>
        <v>-14</v>
      </c>
      <c r="G131" s="92">
        <f>VLOOKUP(A131,'Data Vlaue (Cr)'!C126:CB337,78,0)</f>
        <v>-9.9000000000000008E-3</v>
      </c>
      <c r="H131" s="91">
        <f>VLOOKUP($A131,'Data Vlaue (Cr)'!$C:$FB,91)</f>
        <v>272</v>
      </c>
      <c r="I131" s="91">
        <f>VLOOKUP($A131,'Data Vlaue (Cr)'!$C:$FB,93)</f>
        <v>11</v>
      </c>
      <c r="J131" s="92">
        <f>VLOOKUP($A131,'Data Vlaue (Cr)'!$C:$FB,94)</f>
        <v>4.3200000000000002E-2</v>
      </c>
      <c r="K131" s="91">
        <f>VLOOKUP($A131,'Data Vlaue (Cr)'!$C:$FB,95)</f>
        <v>234</v>
      </c>
      <c r="L131" s="91">
        <f>VLOOKUP($A131,'Data Vlaue (Cr)'!$C:$FB,97)</f>
        <v>7</v>
      </c>
      <c r="M131" s="92">
        <f>VLOOKUP($A131,'Data Vlaue (Cr)'!$C:$FB,98)</f>
        <v>3.1E-2</v>
      </c>
      <c r="N131" s="91">
        <f>VLOOKUP($A131,'Data Vlaue (Cr)'!$C:$FB,79)</f>
        <v>1357</v>
      </c>
      <c r="O131" s="92">
        <f>VLOOKUP($A131,'Data Vlaue (Cr)'!$C:$FB,82)</f>
        <v>-1.17E-2</v>
      </c>
    </row>
    <row r="132" spans="1:15" x14ac:dyDescent="0.25">
      <c r="A132" s="97" t="str">
        <f>'Data Vlaue (Cr)'!C127</f>
        <v>MAZDOCK</v>
      </c>
      <c r="B132" s="142">
        <f>VLOOKUP(A132,'Data Vlaue (Cr)'!C127:CW338,99,0)</f>
        <v>3091</v>
      </c>
      <c r="C132" s="90">
        <f>VLOOKUP(A132,'Data Vlaue (Cr)'!C127:CY338,101,0)</f>
        <v>87</v>
      </c>
      <c r="D132" s="139">
        <f>VLOOKUP(A132,'Data Vlaue (Cr)'!C127:CZ338,102,0)</f>
        <v>2.8899999999999999E-2</v>
      </c>
      <c r="E132" s="91">
        <f>VLOOKUP($A132,'Data Vlaue (Cr)'!$C:$FB,75)</f>
        <v>1266</v>
      </c>
      <c r="F132" s="91">
        <f>VLOOKUP($A132,'Data Vlaue (Cr)'!$C:$FB,77)</f>
        <v>99</v>
      </c>
      <c r="G132" s="92">
        <f>VLOOKUP(A132,'Data Vlaue (Cr)'!C127:CB338,78,0)</f>
        <v>8.5000000000000006E-2</v>
      </c>
      <c r="H132" s="91">
        <f>VLOOKUP($A132,'Data Vlaue (Cr)'!$C:$FB,91)</f>
        <v>1134</v>
      </c>
      <c r="I132" s="91">
        <f>VLOOKUP($A132,'Data Vlaue (Cr)'!$C:$FB,93)</f>
        <v>-38</v>
      </c>
      <c r="J132" s="92">
        <f>VLOOKUP($A132,'Data Vlaue (Cr)'!$C:$FB,94)</f>
        <v>-3.2500000000000001E-2</v>
      </c>
      <c r="K132" s="91">
        <f>VLOOKUP($A132,'Data Vlaue (Cr)'!$C:$FB,95)</f>
        <v>692</v>
      </c>
      <c r="L132" s="91">
        <f>VLOOKUP($A132,'Data Vlaue (Cr)'!$C:$FB,97)</f>
        <v>26</v>
      </c>
      <c r="M132" s="92">
        <f>VLOOKUP($A132,'Data Vlaue (Cr)'!$C:$FB,98)</f>
        <v>3.9E-2</v>
      </c>
      <c r="N132" s="91">
        <f>VLOOKUP($A132,'Data Vlaue (Cr)'!$C:$FB,79)</f>
        <v>1058</v>
      </c>
      <c r="O132" s="92">
        <f>VLOOKUP($A132,'Data Vlaue (Cr)'!$C:$FB,82)</f>
        <v>7.6600000000000001E-2</v>
      </c>
    </row>
    <row r="133" spans="1:15" x14ac:dyDescent="0.25">
      <c r="A133" s="97" t="str">
        <f>'Data Vlaue (Cr)'!C128</f>
        <v>MCX</v>
      </c>
      <c r="B133" s="142">
        <f>VLOOKUP(A133,'Data Vlaue (Cr)'!C128:CW339,99,0)</f>
        <v>6919</v>
      </c>
      <c r="C133" s="90">
        <f>VLOOKUP(A133,'Data Vlaue (Cr)'!C128:CY339,101,0)</f>
        <v>1</v>
      </c>
      <c r="D133" s="139">
        <f>VLOOKUP(A133,'Data Vlaue (Cr)'!C128:CZ339,102,0)</f>
        <v>1E-4</v>
      </c>
      <c r="E133" s="91">
        <f>VLOOKUP($A133,'Data Vlaue (Cr)'!$C:$FB,75)</f>
        <v>3382</v>
      </c>
      <c r="F133" s="91">
        <f>VLOOKUP($A133,'Data Vlaue (Cr)'!$C:$FB,77)</f>
        <v>22</v>
      </c>
      <c r="G133" s="92">
        <f>VLOOKUP(A133,'Data Vlaue (Cr)'!C128:CB339,78,0)</f>
        <v>6.4999999999999997E-3</v>
      </c>
      <c r="H133" s="91">
        <f>VLOOKUP($A133,'Data Vlaue (Cr)'!$C:$FB,91)</f>
        <v>2042</v>
      </c>
      <c r="I133" s="91">
        <f>VLOOKUP($A133,'Data Vlaue (Cr)'!$C:$FB,93)</f>
        <v>-3</v>
      </c>
      <c r="J133" s="92">
        <f>VLOOKUP($A133,'Data Vlaue (Cr)'!$C:$FB,94)</f>
        <v>-1.1999999999999999E-3</v>
      </c>
      <c r="K133" s="91">
        <f>VLOOKUP($A133,'Data Vlaue (Cr)'!$C:$FB,95)</f>
        <v>1495</v>
      </c>
      <c r="L133" s="91">
        <f>VLOOKUP($A133,'Data Vlaue (Cr)'!$C:$FB,97)</f>
        <v>-19</v>
      </c>
      <c r="M133" s="92">
        <f>VLOOKUP($A133,'Data Vlaue (Cr)'!$C:$FB,98)</f>
        <v>-1.2200000000000001E-2</v>
      </c>
      <c r="N133" s="91">
        <f>VLOOKUP($A133,'Data Vlaue (Cr)'!$C:$FB,79)</f>
        <v>3178</v>
      </c>
      <c r="O133" s="92">
        <f>VLOOKUP($A133,'Data Vlaue (Cr)'!$C:$FB,82)</f>
        <v>6.3E-3</v>
      </c>
    </row>
    <row r="134" spans="1:15" x14ac:dyDescent="0.25">
      <c r="A134" s="97" t="str">
        <f>'Data Vlaue (Cr)'!C129</f>
        <v>MFSL</v>
      </c>
      <c r="B134" s="142">
        <f>VLOOKUP(A134,'Data Vlaue (Cr)'!C129:CW340,99,0)</f>
        <v>1898</v>
      </c>
      <c r="C134" s="90">
        <f>VLOOKUP(A134,'Data Vlaue (Cr)'!C129:CY340,101,0)</f>
        <v>23</v>
      </c>
      <c r="D134" s="139">
        <f>VLOOKUP(A134,'Data Vlaue (Cr)'!C129:CZ340,102,0)</f>
        <v>1.24E-2</v>
      </c>
      <c r="E134" s="91">
        <f>VLOOKUP($A134,'Data Vlaue (Cr)'!$C:$FB,75)</f>
        <v>1595</v>
      </c>
      <c r="F134" s="91">
        <f>VLOOKUP($A134,'Data Vlaue (Cr)'!$C:$FB,77)</f>
        <v>17</v>
      </c>
      <c r="G134" s="92">
        <f>VLOOKUP(A134,'Data Vlaue (Cr)'!C129:CB340,78,0)</f>
        <v>1.0999999999999999E-2</v>
      </c>
      <c r="H134" s="91">
        <f>VLOOKUP($A134,'Data Vlaue (Cr)'!$C:$FB,91)</f>
        <v>158</v>
      </c>
      <c r="I134" s="91">
        <f>VLOOKUP($A134,'Data Vlaue (Cr)'!$C:$FB,93)</f>
        <v>-2</v>
      </c>
      <c r="J134" s="92">
        <f>VLOOKUP($A134,'Data Vlaue (Cr)'!$C:$FB,94)</f>
        <v>-1.4E-2</v>
      </c>
      <c r="K134" s="91">
        <f>VLOOKUP($A134,'Data Vlaue (Cr)'!$C:$FB,95)</f>
        <v>145</v>
      </c>
      <c r="L134" s="91">
        <f>VLOOKUP($A134,'Data Vlaue (Cr)'!$C:$FB,97)</f>
        <v>8</v>
      </c>
      <c r="M134" s="92">
        <f>VLOOKUP($A134,'Data Vlaue (Cr)'!$C:$FB,98)</f>
        <v>5.8999999999999997E-2</v>
      </c>
      <c r="N134" s="91">
        <f>VLOOKUP($A134,'Data Vlaue (Cr)'!$C:$FB,79)</f>
        <v>1591</v>
      </c>
      <c r="O134" s="92">
        <f>VLOOKUP($A134,'Data Vlaue (Cr)'!$C:$FB,82)</f>
        <v>1.09E-2</v>
      </c>
    </row>
    <row r="135" spans="1:15" x14ac:dyDescent="0.25">
      <c r="A135" s="97" t="str">
        <f>'Data Vlaue (Cr)'!C130</f>
        <v>MIDCPNIFTY</v>
      </c>
      <c r="B135" s="142">
        <f>VLOOKUP(A135,'Data Vlaue (Cr)'!C130:CW341,99,0)</f>
        <v>20274</v>
      </c>
      <c r="C135" s="90">
        <f>VLOOKUP(A135,'Data Vlaue (Cr)'!C130:CY341,101,0)</f>
        <v>458</v>
      </c>
      <c r="D135" s="139">
        <f>VLOOKUP(A135,'Data Vlaue (Cr)'!C130:CZ341,102,0)</f>
        <v>2.3099999999999999E-2</v>
      </c>
      <c r="E135" s="91">
        <f>VLOOKUP($A135,'Data Vlaue (Cr)'!$C:$FB,75)</f>
        <v>3851</v>
      </c>
      <c r="F135" s="91">
        <f>VLOOKUP($A135,'Data Vlaue (Cr)'!$C:$FB,77)</f>
        <v>25</v>
      </c>
      <c r="G135" s="92">
        <f>VLOOKUP(A135,'Data Vlaue (Cr)'!C130:CB341,78,0)</f>
        <v>6.4000000000000003E-3</v>
      </c>
      <c r="H135" s="91">
        <f>VLOOKUP($A135,'Data Vlaue (Cr)'!$C:$FB,91)</f>
        <v>8412</v>
      </c>
      <c r="I135" s="91">
        <f>VLOOKUP($A135,'Data Vlaue (Cr)'!$C:$FB,93)</f>
        <v>141</v>
      </c>
      <c r="J135" s="92">
        <f>VLOOKUP($A135,'Data Vlaue (Cr)'!$C:$FB,94)</f>
        <v>1.7000000000000001E-2</v>
      </c>
      <c r="K135" s="91">
        <f>VLOOKUP($A135,'Data Vlaue (Cr)'!$C:$FB,95)</f>
        <v>8011</v>
      </c>
      <c r="L135" s="91">
        <f>VLOOKUP($A135,'Data Vlaue (Cr)'!$C:$FB,97)</f>
        <v>293</v>
      </c>
      <c r="M135" s="92">
        <f>VLOOKUP($A135,'Data Vlaue (Cr)'!$C:$FB,98)</f>
        <v>3.7999999999999999E-2</v>
      </c>
      <c r="N135" s="91">
        <f>VLOOKUP($A135,'Data Vlaue (Cr)'!$C:$FB,79)</f>
        <v>3662</v>
      </c>
      <c r="O135" s="92">
        <f>VLOOKUP($A135,'Data Vlaue (Cr)'!$C:$FB,82)</f>
        <v>-5.9999999999999995E-4</v>
      </c>
    </row>
    <row r="136" spans="1:15" x14ac:dyDescent="0.25">
      <c r="A136" s="97" t="str">
        <f>'Data Vlaue (Cr)'!C131</f>
        <v>MOTHERSON</v>
      </c>
      <c r="B136" s="142">
        <f>VLOOKUP(A136,'Data Vlaue (Cr)'!C131:CW342,99,0)</f>
        <v>2511</v>
      </c>
      <c r="C136" s="90">
        <f>VLOOKUP(A136,'Data Vlaue (Cr)'!C131:CY342,101,0)</f>
        <v>13</v>
      </c>
      <c r="D136" s="139">
        <f>VLOOKUP(A136,'Data Vlaue (Cr)'!C131:CZ342,102,0)</f>
        <v>5.0000000000000001E-3</v>
      </c>
      <c r="E136" s="91">
        <f>VLOOKUP($A136,'Data Vlaue (Cr)'!$C:$FB,75)</f>
        <v>1515</v>
      </c>
      <c r="F136" s="91">
        <f>VLOOKUP($A136,'Data Vlaue (Cr)'!$C:$FB,77)</f>
        <v>-55</v>
      </c>
      <c r="G136" s="92">
        <f>VLOOKUP(A136,'Data Vlaue (Cr)'!C131:CB342,78,0)</f>
        <v>-3.4700000000000002E-2</v>
      </c>
      <c r="H136" s="91">
        <f>VLOOKUP($A136,'Data Vlaue (Cr)'!$C:$FB,91)</f>
        <v>596</v>
      </c>
      <c r="I136" s="91">
        <f>VLOOKUP($A136,'Data Vlaue (Cr)'!$C:$FB,93)</f>
        <v>55</v>
      </c>
      <c r="J136" s="92">
        <f>VLOOKUP($A136,'Data Vlaue (Cr)'!$C:$FB,94)</f>
        <v>0.1023</v>
      </c>
      <c r="K136" s="91">
        <f>VLOOKUP($A136,'Data Vlaue (Cr)'!$C:$FB,95)</f>
        <v>400</v>
      </c>
      <c r="L136" s="91">
        <f>VLOOKUP($A136,'Data Vlaue (Cr)'!$C:$FB,97)</f>
        <v>12</v>
      </c>
      <c r="M136" s="92">
        <f>VLOOKUP($A136,'Data Vlaue (Cr)'!$C:$FB,98)</f>
        <v>3.0300000000000001E-2</v>
      </c>
      <c r="N136" s="91">
        <f>VLOOKUP($A136,'Data Vlaue (Cr)'!$C:$FB,79)</f>
        <v>1464</v>
      </c>
      <c r="O136" s="92">
        <f>VLOOKUP($A136,'Data Vlaue (Cr)'!$C:$FB,82)</f>
        <v>-4.2900000000000001E-2</v>
      </c>
    </row>
    <row r="137" spans="1:15" x14ac:dyDescent="0.25">
      <c r="A137" s="97" t="str">
        <f>'Data Vlaue (Cr)'!C132</f>
        <v>MPHASIS</v>
      </c>
      <c r="B137" s="142">
        <f>VLOOKUP(A137,'Data Vlaue (Cr)'!C132:CW343,99,0)</f>
        <v>1698</v>
      </c>
      <c r="C137" s="90">
        <f>VLOOKUP(A137,'Data Vlaue (Cr)'!C132:CY343,101,0)</f>
        <v>25</v>
      </c>
      <c r="D137" s="139">
        <f>VLOOKUP(A137,'Data Vlaue (Cr)'!C132:CZ343,102,0)</f>
        <v>1.47E-2</v>
      </c>
      <c r="E137" s="91">
        <f>VLOOKUP($A137,'Data Vlaue (Cr)'!$C:$FB,75)</f>
        <v>1204</v>
      </c>
      <c r="F137" s="91">
        <f>VLOOKUP($A137,'Data Vlaue (Cr)'!$C:$FB,77)</f>
        <v>-1</v>
      </c>
      <c r="G137" s="92">
        <f>VLOOKUP(A137,'Data Vlaue (Cr)'!C132:CB343,78,0)</f>
        <v>-1.1999999999999999E-3</v>
      </c>
      <c r="H137" s="91">
        <f>VLOOKUP($A137,'Data Vlaue (Cr)'!$C:$FB,91)</f>
        <v>319</v>
      </c>
      <c r="I137" s="91">
        <f>VLOOKUP($A137,'Data Vlaue (Cr)'!$C:$FB,93)</f>
        <v>32</v>
      </c>
      <c r="J137" s="92">
        <f>VLOOKUP($A137,'Data Vlaue (Cr)'!$C:$FB,94)</f>
        <v>0.1114</v>
      </c>
      <c r="K137" s="91">
        <f>VLOOKUP($A137,'Data Vlaue (Cr)'!$C:$FB,95)</f>
        <v>175</v>
      </c>
      <c r="L137" s="91">
        <f>VLOOKUP($A137,'Data Vlaue (Cr)'!$C:$FB,97)</f>
        <v>-6</v>
      </c>
      <c r="M137" s="92">
        <f>VLOOKUP($A137,'Data Vlaue (Cr)'!$C:$FB,98)</f>
        <v>-3.3000000000000002E-2</v>
      </c>
      <c r="N137" s="91">
        <f>VLOOKUP($A137,'Data Vlaue (Cr)'!$C:$FB,79)</f>
        <v>1173</v>
      </c>
      <c r="O137" s="92">
        <f>VLOOKUP($A137,'Data Vlaue (Cr)'!$C:$FB,82)</f>
        <v>-1E-3</v>
      </c>
    </row>
    <row r="138" spans="1:15" x14ac:dyDescent="0.25">
      <c r="A138" s="97" t="str">
        <f>'Data Vlaue (Cr)'!C133</f>
        <v>MUTHOOTFIN</v>
      </c>
      <c r="B138" s="142">
        <f>VLOOKUP(A138,'Data Vlaue (Cr)'!C133:CW344,99,0)</f>
        <v>3183</v>
      </c>
      <c r="C138" s="90">
        <f>VLOOKUP(A138,'Data Vlaue (Cr)'!C133:CY344,101,0)</f>
        <v>-22</v>
      </c>
      <c r="D138" s="139">
        <f>VLOOKUP(A138,'Data Vlaue (Cr)'!C133:CZ344,102,0)</f>
        <v>-6.8999999999999999E-3</v>
      </c>
      <c r="E138" s="91">
        <f>VLOOKUP($A138,'Data Vlaue (Cr)'!$C:$FB,75)</f>
        <v>1283</v>
      </c>
      <c r="F138" s="91">
        <f>VLOOKUP($A138,'Data Vlaue (Cr)'!$C:$FB,77)</f>
        <v>0</v>
      </c>
      <c r="G138" s="92">
        <f>VLOOKUP(A138,'Data Vlaue (Cr)'!C133:CB344,78,0)</f>
        <v>0</v>
      </c>
      <c r="H138" s="91">
        <f>VLOOKUP($A138,'Data Vlaue (Cr)'!$C:$FB,91)</f>
        <v>1331</v>
      </c>
      <c r="I138" s="91">
        <f>VLOOKUP($A138,'Data Vlaue (Cr)'!$C:$FB,93)</f>
        <v>-34</v>
      </c>
      <c r="J138" s="92">
        <f>VLOOKUP($A138,'Data Vlaue (Cr)'!$C:$FB,94)</f>
        <v>-2.4799999999999999E-2</v>
      </c>
      <c r="K138" s="91">
        <f>VLOOKUP($A138,'Data Vlaue (Cr)'!$C:$FB,95)</f>
        <v>569</v>
      </c>
      <c r="L138" s="91">
        <f>VLOOKUP($A138,'Data Vlaue (Cr)'!$C:$FB,97)</f>
        <v>12</v>
      </c>
      <c r="M138" s="92">
        <f>VLOOKUP($A138,'Data Vlaue (Cr)'!$C:$FB,98)</f>
        <v>2.1000000000000001E-2</v>
      </c>
      <c r="N138" s="91">
        <f>VLOOKUP($A138,'Data Vlaue (Cr)'!$C:$FB,79)</f>
        <v>1208</v>
      </c>
      <c r="O138" s="92">
        <f>VLOOKUP($A138,'Data Vlaue (Cr)'!$C:$FB,82)</f>
        <v>-3.0000000000000001E-3</v>
      </c>
    </row>
    <row r="139" spans="1:15" x14ac:dyDescent="0.25">
      <c r="A139" s="97" t="str">
        <f>'Data Vlaue (Cr)'!C134</f>
        <v>NATIONALUM</v>
      </c>
      <c r="B139" s="142">
        <f>VLOOKUP(A139,'Data Vlaue (Cr)'!C134:CW345,99,0)</f>
        <v>5368</v>
      </c>
      <c r="C139" s="90">
        <f>VLOOKUP(A139,'Data Vlaue (Cr)'!C134:CY345,101,0)</f>
        <v>64</v>
      </c>
      <c r="D139" s="139">
        <f>VLOOKUP(A139,'Data Vlaue (Cr)'!C134:CZ345,102,0)</f>
        <v>1.21E-2</v>
      </c>
      <c r="E139" s="91">
        <f>VLOOKUP($A139,'Data Vlaue (Cr)'!$C:$FB,75)</f>
        <v>2435</v>
      </c>
      <c r="F139" s="91">
        <f>VLOOKUP($A139,'Data Vlaue (Cr)'!$C:$FB,77)</f>
        <v>7</v>
      </c>
      <c r="G139" s="92">
        <f>VLOOKUP(A139,'Data Vlaue (Cr)'!C134:CB345,78,0)</f>
        <v>2.8999999999999998E-3</v>
      </c>
      <c r="H139" s="91">
        <f>VLOOKUP($A139,'Data Vlaue (Cr)'!$C:$FB,91)</f>
        <v>1558</v>
      </c>
      <c r="I139" s="91">
        <f>VLOOKUP($A139,'Data Vlaue (Cr)'!$C:$FB,93)</f>
        <v>-43</v>
      </c>
      <c r="J139" s="92">
        <f>VLOOKUP($A139,'Data Vlaue (Cr)'!$C:$FB,94)</f>
        <v>-2.6800000000000001E-2</v>
      </c>
      <c r="K139" s="91">
        <f>VLOOKUP($A139,'Data Vlaue (Cr)'!$C:$FB,95)</f>
        <v>1375</v>
      </c>
      <c r="L139" s="91">
        <f>VLOOKUP($A139,'Data Vlaue (Cr)'!$C:$FB,97)</f>
        <v>100</v>
      </c>
      <c r="M139" s="92">
        <f>VLOOKUP($A139,'Data Vlaue (Cr)'!$C:$FB,98)</f>
        <v>7.8399999999999997E-2</v>
      </c>
      <c r="N139" s="91">
        <f>VLOOKUP($A139,'Data Vlaue (Cr)'!$C:$FB,79)</f>
        <v>1898</v>
      </c>
      <c r="O139" s="92">
        <f>VLOOKUP($A139,'Data Vlaue (Cr)'!$C:$FB,82)</f>
        <v>-6.6E-3</v>
      </c>
    </row>
    <row r="140" spans="1:15" x14ac:dyDescent="0.25">
      <c r="A140" s="97" t="str">
        <f>'Data Vlaue (Cr)'!C135</f>
        <v>NAUKRI</v>
      </c>
      <c r="B140" s="142">
        <f>VLOOKUP(A140,'Data Vlaue (Cr)'!C135:CW346,99,0)</f>
        <v>1617</v>
      </c>
      <c r="C140" s="90">
        <f>VLOOKUP(A140,'Data Vlaue (Cr)'!C135:CY346,101,0)</f>
        <v>23</v>
      </c>
      <c r="D140" s="139">
        <f>VLOOKUP(A140,'Data Vlaue (Cr)'!C135:CZ346,102,0)</f>
        <v>1.44E-2</v>
      </c>
      <c r="E140" s="91">
        <f>VLOOKUP($A140,'Data Vlaue (Cr)'!$C:$FB,75)</f>
        <v>1070</v>
      </c>
      <c r="F140" s="91">
        <f>VLOOKUP($A140,'Data Vlaue (Cr)'!$C:$FB,77)</f>
        <v>7</v>
      </c>
      <c r="G140" s="92">
        <f>VLOOKUP(A140,'Data Vlaue (Cr)'!C135:CB346,78,0)</f>
        <v>6.3E-3</v>
      </c>
      <c r="H140" s="91">
        <f>VLOOKUP($A140,'Data Vlaue (Cr)'!$C:$FB,91)</f>
        <v>368</v>
      </c>
      <c r="I140" s="91">
        <f>VLOOKUP($A140,'Data Vlaue (Cr)'!$C:$FB,93)</f>
        <v>15</v>
      </c>
      <c r="J140" s="92">
        <f>VLOOKUP($A140,'Data Vlaue (Cr)'!$C:$FB,94)</f>
        <v>4.1799999999999997E-2</v>
      </c>
      <c r="K140" s="91">
        <f>VLOOKUP($A140,'Data Vlaue (Cr)'!$C:$FB,95)</f>
        <v>178</v>
      </c>
      <c r="L140" s="91">
        <f>VLOOKUP($A140,'Data Vlaue (Cr)'!$C:$FB,97)</f>
        <v>1</v>
      </c>
      <c r="M140" s="92">
        <f>VLOOKUP($A140,'Data Vlaue (Cr)'!$C:$FB,98)</f>
        <v>8.3000000000000001E-3</v>
      </c>
      <c r="N140" s="91">
        <f>VLOOKUP($A140,'Data Vlaue (Cr)'!$C:$FB,79)</f>
        <v>1041</v>
      </c>
      <c r="O140" s="92">
        <f>VLOOKUP($A140,'Data Vlaue (Cr)'!$C:$FB,82)</f>
        <v>4.8999999999999998E-3</v>
      </c>
    </row>
    <row r="141" spans="1:15" x14ac:dyDescent="0.25">
      <c r="A141" s="97" t="str">
        <f>'Data Vlaue (Cr)'!C136</f>
        <v>NBCC</v>
      </c>
      <c r="B141" s="142">
        <f>VLOOKUP(A141,'Data Vlaue (Cr)'!C136:CW347,99,0)</f>
        <v>1229</v>
      </c>
      <c r="C141" s="90">
        <f>VLOOKUP(A141,'Data Vlaue (Cr)'!C136:CY347,101,0)</f>
        <v>14</v>
      </c>
      <c r="D141" s="139">
        <f>VLOOKUP(A141,'Data Vlaue (Cr)'!C136:CZ347,102,0)</f>
        <v>1.1299999999999999E-2</v>
      </c>
      <c r="E141" s="91">
        <f>VLOOKUP($A141,'Data Vlaue (Cr)'!$C:$FB,75)</f>
        <v>754</v>
      </c>
      <c r="F141" s="91">
        <f>VLOOKUP($A141,'Data Vlaue (Cr)'!$C:$FB,77)</f>
        <v>6</v>
      </c>
      <c r="G141" s="92">
        <f>VLOOKUP(A141,'Data Vlaue (Cr)'!C136:CB347,78,0)</f>
        <v>8.6999999999999994E-3</v>
      </c>
      <c r="H141" s="91">
        <f>VLOOKUP($A141,'Data Vlaue (Cr)'!$C:$FB,91)</f>
        <v>288</v>
      </c>
      <c r="I141" s="91">
        <f>VLOOKUP($A141,'Data Vlaue (Cr)'!$C:$FB,93)</f>
        <v>5</v>
      </c>
      <c r="J141" s="92">
        <f>VLOOKUP($A141,'Data Vlaue (Cr)'!$C:$FB,94)</f>
        <v>1.72E-2</v>
      </c>
      <c r="K141" s="91">
        <f>VLOOKUP($A141,'Data Vlaue (Cr)'!$C:$FB,95)</f>
        <v>187</v>
      </c>
      <c r="L141" s="91">
        <f>VLOOKUP($A141,'Data Vlaue (Cr)'!$C:$FB,97)</f>
        <v>2</v>
      </c>
      <c r="M141" s="92">
        <f>VLOOKUP($A141,'Data Vlaue (Cr)'!$C:$FB,98)</f>
        <v>1.2800000000000001E-2</v>
      </c>
      <c r="N141" s="91">
        <f>VLOOKUP($A141,'Data Vlaue (Cr)'!$C:$FB,79)</f>
        <v>722</v>
      </c>
      <c r="O141" s="92">
        <f>VLOOKUP($A141,'Data Vlaue (Cr)'!$C:$FB,82)</f>
        <v>6.7000000000000002E-3</v>
      </c>
    </row>
    <row r="142" spans="1:15" x14ac:dyDescent="0.25">
      <c r="A142" s="97" t="str">
        <f>'Data Vlaue (Cr)'!C137</f>
        <v>NESTLEIND</v>
      </c>
      <c r="B142" s="142">
        <f>VLOOKUP(A142,'Data Vlaue (Cr)'!C137:CW348,99,0)</f>
        <v>2675</v>
      </c>
      <c r="C142" s="90">
        <f>VLOOKUP(A142,'Data Vlaue (Cr)'!C137:CY348,101,0)</f>
        <v>6</v>
      </c>
      <c r="D142" s="139">
        <f>VLOOKUP(A142,'Data Vlaue (Cr)'!C137:CZ348,102,0)</f>
        <v>2.3999999999999998E-3</v>
      </c>
      <c r="E142" s="91">
        <f>VLOOKUP($A142,'Data Vlaue (Cr)'!$C:$FB,75)</f>
        <v>2010</v>
      </c>
      <c r="F142" s="91">
        <f>VLOOKUP($A142,'Data Vlaue (Cr)'!$C:$FB,77)</f>
        <v>-14</v>
      </c>
      <c r="G142" s="92">
        <f>VLOOKUP(A142,'Data Vlaue (Cr)'!C137:CB348,78,0)</f>
        <v>-6.8999999999999999E-3</v>
      </c>
      <c r="H142" s="91">
        <f>VLOOKUP($A142,'Data Vlaue (Cr)'!$C:$FB,91)</f>
        <v>453</v>
      </c>
      <c r="I142" s="91">
        <f>VLOOKUP($A142,'Data Vlaue (Cr)'!$C:$FB,93)</f>
        <v>2</v>
      </c>
      <c r="J142" s="92">
        <f>VLOOKUP($A142,'Data Vlaue (Cr)'!$C:$FB,94)</f>
        <v>5.3E-3</v>
      </c>
      <c r="K142" s="91">
        <f>VLOOKUP($A142,'Data Vlaue (Cr)'!$C:$FB,95)</f>
        <v>212</v>
      </c>
      <c r="L142" s="91">
        <f>VLOOKUP($A142,'Data Vlaue (Cr)'!$C:$FB,97)</f>
        <v>18</v>
      </c>
      <c r="M142" s="92">
        <f>VLOOKUP($A142,'Data Vlaue (Cr)'!$C:$FB,98)</f>
        <v>9.35E-2</v>
      </c>
      <c r="N142" s="91">
        <f>VLOOKUP($A142,'Data Vlaue (Cr)'!$C:$FB,79)</f>
        <v>1925</v>
      </c>
      <c r="O142" s="92">
        <f>VLOOKUP($A142,'Data Vlaue (Cr)'!$C:$FB,82)</f>
        <v>-8.0000000000000002E-3</v>
      </c>
    </row>
    <row r="143" spans="1:15" x14ac:dyDescent="0.25">
      <c r="A143" s="97" t="str">
        <f>'Data Vlaue (Cr)'!C138</f>
        <v>NHPC</v>
      </c>
      <c r="B143" s="142">
        <f>VLOOKUP(A143,'Data Vlaue (Cr)'!C138:CW349,99,0)</f>
        <v>1016</v>
      </c>
      <c r="C143" s="90">
        <f>VLOOKUP(A143,'Data Vlaue (Cr)'!C138:CY349,101,0)</f>
        <v>-28</v>
      </c>
      <c r="D143" s="139">
        <f>VLOOKUP(A143,'Data Vlaue (Cr)'!C138:CZ349,102,0)</f>
        <v>-2.7E-2</v>
      </c>
      <c r="E143" s="91">
        <f>VLOOKUP($A143,'Data Vlaue (Cr)'!$C:$FB,75)</f>
        <v>576</v>
      </c>
      <c r="F143" s="91">
        <f>VLOOKUP($A143,'Data Vlaue (Cr)'!$C:$FB,77)</f>
        <v>9</v>
      </c>
      <c r="G143" s="92">
        <f>VLOOKUP(A143,'Data Vlaue (Cr)'!C138:CB349,78,0)</f>
        <v>1.5100000000000001E-2</v>
      </c>
      <c r="H143" s="91">
        <f>VLOOKUP($A143,'Data Vlaue (Cr)'!$C:$FB,91)</f>
        <v>285</v>
      </c>
      <c r="I143" s="91">
        <f>VLOOKUP($A143,'Data Vlaue (Cr)'!$C:$FB,93)</f>
        <v>-34</v>
      </c>
      <c r="J143" s="92">
        <f>VLOOKUP($A143,'Data Vlaue (Cr)'!$C:$FB,94)</f>
        <v>-0.1055</v>
      </c>
      <c r="K143" s="91">
        <f>VLOOKUP($A143,'Data Vlaue (Cr)'!$C:$FB,95)</f>
        <v>155</v>
      </c>
      <c r="L143" s="91">
        <f>VLOOKUP($A143,'Data Vlaue (Cr)'!$C:$FB,97)</f>
        <v>-3</v>
      </c>
      <c r="M143" s="92">
        <f>VLOOKUP($A143,'Data Vlaue (Cr)'!$C:$FB,98)</f>
        <v>-1.9400000000000001E-2</v>
      </c>
      <c r="N143" s="91">
        <f>VLOOKUP($A143,'Data Vlaue (Cr)'!$C:$FB,79)</f>
        <v>541</v>
      </c>
      <c r="O143" s="92">
        <f>VLOOKUP($A143,'Data Vlaue (Cr)'!$C:$FB,82)</f>
        <v>8.6E-3</v>
      </c>
    </row>
    <row r="144" spans="1:15" x14ac:dyDescent="0.25">
      <c r="A144" s="97" t="str">
        <f>'Data Vlaue (Cr)'!C139</f>
        <v>NIFTY</v>
      </c>
      <c r="B144" s="142">
        <f>VLOOKUP(A144,'Data Vlaue (Cr)'!C139:CW350,99,0)</f>
        <v>1113725</v>
      </c>
      <c r="C144" s="90">
        <f>VLOOKUP(A144,'Data Vlaue (Cr)'!C139:CY350,101,0)</f>
        <v>91796</v>
      </c>
      <c r="D144" s="139">
        <f>VLOOKUP(A144,'Data Vlaue (Cr)'!C139:CZ350,102,0)</f>
        <v>8.9800000000000005E-2</v>
      </c>
      <c r="E144" s="91">
        <f>VLOOKUP($A144,'Data Vlaue (Cr)'!$C:$FB,75)</f>
        <v>51596</v>
      </c>
      <c r="F144" s="91">
        <f>VLOOKUP($A144,'Data Vlaue (Cr)'!$C:$FB,77)</f>
        <v>834</v>
      </c>
      <c r="G144" s="92">
        <f>VLOOKUP(A144,'Data Vlaue (Cr)'!C139:CB350,78,0)</f>
        <v>1.6400000000000001E-2</v>
      </c>
      <c r="H144" s="91">
        <f>VLOOKUP($A144,'Data Vlaue (Cr)'!$C:$FB,91)</f>
        <v>571527</v>
      </c>
      <c r="I144" s="91">
        <f>VLOOKUP($A144,'Data Vlaue (Cr)'!$C:$FB,93)</f>
        <v>42118</v>
      </c>
      <c r="J144" s="92">
        <f>VLOOKUP($A144,'Data Vlaue (Cr)'!$C:$FB,94)</f>
        <v>7.9600000000000004E-2</v>
      </c>
      <c r="K144" s="91">
        <f>VLOOKUP($A144,'Data Vlaue (Cr)'!$C:$FB,95)</f>
        <v>490603</v>
      </c>
      <c r="L144" s="91">
        <f>VLOOKUP($A144,'Data Vlaue (Cr)'!$C:$FB,97)</f>
        <v>48844</v>
      </c>
      <c r="M144" s="92">
        <f>VLOOKUP($A144,'Data Vlaue (Cr)'!$C:$FB,98)</f>
        <v>0.1106</v>
      </c>
      <c r="N144" s="91">
        <f>VLOOKUP($A144,'Data Vlaue (Cr)'!$C:$FB,79)</f>
        <v>43378</v>
      </c>
      <c r="O144" s="92">
        <f>VLOOKUP($A144,'Data Vlaue (Cr)'!$C:$FB,82)</f>
        <v>1.1299999999999999E-2</v>
      </c>
    </row>
    <row r="145" spans="1:15" x14ac:dyDescent="0.25">
      <c r="A145" s="97" t="str">
        <f>'Data Vlaue (Cr)'!C140</f>
        <v>NIFTYNXT50</v>
      </c>
      <c r="B145" s="142">
        <f>VLOOKUP(A145,'Data Vlaue (Cr)'!C140:CW351,99,0)</f>
        <v>233</v>
      </c>
      <c r="C145" s="90">
        <f>VLOOKUP(A145,'Data Vlaue (Cr)'!C140:CY351,101,0)</f>
        <v>11</v>
      </c>
      <c r="D145" s="139">
        <f>VLOOKUP(A145,'Data Vlaue (Cr)'!C140:CZ351,102,0)</f>
        <v>4.7899999999999998E-2</v>
      </c>
      <c r="E145" s="91">
        <f>VLOOKUP($A145,'Data Vlaue (Cr)'!$C:$FB,75)</f>
        <v>122</v>
      </c>
      <c r="F145" s="91">
        <f>VLOOKUP($A145,'Data Vlaue (Cr)'!$C:$FB,77)</f>
        <v>2</v>
      </c>
      <c r="G145" s="92">
        <f>VLOOKUP(A145,'Data Vlaue (Cr)'!C140:CB351,78,0)</f>
        <v>1.95E-2</v>
      </c>
      <c r="H145" s="91">
        <f>VLOOKUP($A145,'Data Vlaue (Cr)'!$C:$FB,91)</f>
        <v>78</v>
      </c>
      <c r="I145" s="91">
        <f>VLOOKUP($A145,'Data Vlaue (Cr)'!$C:$FB,93)</f>
        <v>6</v>
      </c>
      <c r="J145" s="92">
        <f>VLOOKUP($A145,'Data Vlaue (Cr)'!$C:$FB,94)</f>
        <v>8.2900000000000001E-2</v>
      </c>
      <c r="K145" s="91">
        <f>VLOOKUP($A145,'Data Vlaue (Cr)'!$C:$FB,95)</f>
        <v>33</v>
      </c>
      <c r="L145" s="91">
        <f>VLOOKUP($A145,'Data Vlaue (Cr)'!$C:$FB,97)</f>
        <v>2</v>
      </c>
      <c r="M145" s="92">
        <f>VLOOKUP($A145,'Data Vlaue (Cr)'!$C:$FB,98)</f>
        <v>7.6499999999999999E-2</v>
      </c>
      <c r="N145" s="91">
        <f>VLOOKUP($A145,'Data Vlaue (Cr)'!$C:$FB,79)</f>
        <v>106</v>
      </c>
      <c r="O145" s="92">
        <f>VLOOKUP($A145,'Data Vlaue (Cr)'!$C:$FB,82)</f>
        <v>1.11E-2</v>
      </c>
    </row>
    <row r="146" spans="1:15" x14ac:dyDescent="0.25">
      <c r="A146" s="97" t="str">
        <f>'Data Vlaue (Cr)'!C141</f>
        <v>NMDC</v>
      </c>
      <c r="B146" s="142">
        <f>VLOOKUP(A146,'Data Vlaue (Cr)'!C141:CW352,99,0)</f>
        <v>3839</v>
      </c>
      <c r="C146" s="90">
        <f>VLOOKUP(A146,'Data Vlaue (Cr)'!C141:CY352,101,0)</f>
        <v>18</v>
      </c>
      <c r="D146" s="139">
        <f>VLOOKUP(A146,'Data Vlaue (Cr)'!C141:CZ352,102,0)</f>
        <v>4.7000000000000002E-3</v>
      </c>
      <c r="E146" s="91">
        <f>VLOOKUP($A146,'Data Vlaue (Cr)'!$C:$FB,75)</f>
        <v>2751</v>
      </c>
      <c r="F146" s="91">
        <f>VLOOKUP($A146,'Data Vlaue (Cr)'!$C:$FB,77)</f>
        <v>-25</v>
      </c>
      <c r="G146" s="92">
        <f>VLOOKUP(A146,'Data Vlaue (Cr)'!C141:CB352,78,0)</f>
        <v>-8.8999999999999999E-3</v>
      </c>
      <c r="H146" s="91">
        <f>VLOOKUP($A146,'Data Vlaue (Cr)'!$C:$FB,91)</f>
        <v>699</v>
      </c>
      <c r="I146" s="91">
        <f>VLOOKUP($A146,'Data Vlaue (Cr)'!$C:$FB,93)</f>
        <v>34</v>
      </c>
      <c r="J146" s="92">
        <f>VLOOKUP($A146,'Data Vlaue (Cr)'!$C:$FB,94)</f>
        <v>5.04E-2</v>
      </c>
      <c r="K146" s="91">
        <f>VLOOKUP($A146,'Data Vlaue (Cr)'!$C:$FB,95)</f>
        <v>388</v>
      </c>
      <c r="L146" s="91">
        <f>VLOOKUP($A146,'Data Vlaue (Cr)'!$C:$FB,97)</f>
        <v>9</v>
      </c>
      <c r="M146" s="92">
        <f>VLOOKUP($A146,'Data Vlaue (Cr)'!$C:$FB,98)</f>
        <v>2.3699999999999999E-2</v>
      </c>
      <c r="N146" s="91">
        <f>VLOOKUP($A146,'Data Vlaue (Cr)'!$C:$FB,79)</f>
        <v>2627</v>
      </c>
      <c r="O146" s="92">
        <f>VLOOKUP($A146,'Data Vlaue (Cr)'!$C:$FB,82)</f>
        <v>-1.5299999999999999E-2</v>
      </c>
    </row>
    <row r="147" spans="1:15" x14ac:dyDescent="0.25">
      <c r="A147" s="97" t="str">
        <f>'Data Vlaue (Cr)'!C142</f>
        <v>NTPC</v>
      </c>
      <c r="B147" s="142">
        <f>VLOOKUP(A147,'Data Vlaue (Cr)'!C142:CW353,99,0)</f>
        <v>8925</v>
      </c>
      <c r="C147" s="90">
        <f>VLOOKUP(A147,'Data Vlaue (Cr)'!C142:CY353,101,0)</f>
        <v>1183</v>
      </c>
      <c r="D147" s="139">
        <f>VLOOKUP(A147,'Data Vlaue (Cr)'!C142:CZ353,102,0)</f>
        <v>0.1527</v>
      </c>
      <c r="E147" s="91">
        <f>VLOOKUP($A147,'Data Vlaue (Cr)'!$C:$FB,75)</f>
        <v>4203</v>
      </c>
      <c r="F147" s="91">
        <f>VLOOKUP($A147,'Data Vlaue (Cr)'!$C:$FB,77)</f>
        <v>261</v>
      </c>
      <c r="G147" s="92">
        <f>VLOOKUP(A147,'Data Vlaue (Cr)'!C142:CB353,78,0)</f>
        <v>6.6299999999999998E-2</v>
      </c>
      <c r="H147" s="91">
        <f>VLOOKUP($A147,'Data Vlaue (Cr)'!$C:$FB,91)</f>
        <v>3282</v>
      </c>
      <c r="I147" s="91">
        <f>VLOOKUP($A147,'Data Vlaue (Cr)'!$C:$FB,93)</f>
        <v>542</v>
      </c>
      <c r="J147" s="92">
        <f>VLOOKUP($A147,'Data Vlaue (Cr)'!$C:$FB,94)</f>
        <v>0.1978</v>
      </c>
      <c r="K147" s="91">
        <f>VLOOKUP($A147,'Data Vlaue (Cr)'!$C:$FB,95)</f>
        <v>1440</v>
      </c>
      <c r="L147" s="91">
        <f>VLOOKUP($A147,'Data Vlaue (Cr)'!$C:$FB,97)</f>
        <v>379</v>
      </c>
      <c r="M147" s="92">
        <f>VLOOKUP($A147,'Data Vlaue (Cr)'!$C:$FB,98)</f>
        <v>0.35730000000000001</v>
      </c>
      <c r="N147" s="91">
        <f>VLOOKUP($A147,'Data Vlaue (Cr)'!$C:$FB,79)</f>
        <v>4102</v>
      </c>
      <c r="O147" s="92">
        <f>VLOOKUP($A147,'Data Vlaue (Cr)'!$C:$FB,82)</f>
        <v>6.2199999999999998E-2</v>
      </c>
    </row>
    <row r="148" spans="1:15" x14ac:dyDescent="0.25">
      <c r="A148" s="97" t="str">
        <f>'Data Vlaue (Cr)'!C143</f>
        <v>NUVAMA</v>
      </c>
      <c r="B148" s="142">
        <f>VLOOKUP(A148,'Data Vlaue (Cr)'!C143:CW354,99,0)</f>
        <v>435</v>
      </c>
      <c r="C148" s="90">
        <f>VLOOKUP(A148,'Data Vlaue (Cr)'!C143:CY354,101,0)</f>
        <v>2</v>
      </c>
      <c r="D148" s="139">
        <f>VLOOKUP(A148,'Data Vlaue (Cr)'!C143:CZ354,102,0)</f>
        <v>5.5999999999999999E-3</v>
      </c>
      <c r="E148" s="91">
        <f>VLOOKUP($A148,'Data Vlaue (Cr)'!$C:$FB,75)</f>
        <v>267</v>
      </c>
      <c r="F148" s="91">
        <f>VLOOKUP($A148,'Data Vlaue (Cr)'!$C:$FB,77)</f>
        <v>4</v>
      </c>
      <c r="G148" s="92">
        <f>VLOOKUP(A148,'Data Vlaue (Cr)'!C143:CB354,78,0)</f>
        <v>1.47E-2</v>
      </c>
      <c r="H148" s="91">
        <f>VLOOKUP($A148,'Data Vlaue (Cr)'!$C:$FB,91)</f>
        <v>102</v>
      </c>
      <c r="I148" s="91">
        <f>VLOOKUP($A148,'Data Vlaue (Cr)'!$C:$FB,93)</f>
        <v>0</v>
      </c>
      <c r="J148" s="92">
        <f>VLOOKUP($A148,'Data Vlaue (Cr)'!$C:$FB,94)</f>
        <v>0</v>
      </c>
      <c r="K148" s="91">
        <f>VLOOKUP($A148,'Data Vlaue (Cr)'!$C:$FB,95)</f>
        <v>67</v>
      </c>
      <c r="L148" s="91">
        <f>VLOOKUP($A148,'Data Vlaue (Cr)'!$C:$FB,97)</f>
        <v>-1</v>
      </c>
      <c r="M148" s="92">
        <f>VLOOKUP($A148,'Data Vlaue (Cr)'!$C:$FB,98)</f>
        <v>-2.0899999999999998E-2</v>
      </c>
      <c r="N148" s="91">
        <f>VLOOKUP($A148,'Data Vlaue (Cr)'!$C:$FB,79)</f>
        <v>244</v>
      </c>
      <c r="O148" s="92">
        <f>VLOOKUP($A148,'Data Vlaue (Cr)'!$C:$FB,82)</f>
        <v>1.3100000000000001E-2</v>
      </c>
    </row>
    <row r="149" spans="1:15" x14ac:dyDescent="0.25">
      <c r="A149" s="97" t="str">
        <f>'Data Vlaue (Cr)'!C144</f>
        <v>NYKAA</v>
      </c>
      <c r="B149" s="142">
        <f>VLOOKUP(A149,'Data Vlaue (Cr)'!C144:CW355,99,0)</f>
        <v>1403</v>
      </c>
      <c r="C149" s="90">
        <f>VLOOKUP(A149,'Data Vlaue (Cr)'!C144:CY355,101,0)</f>
        <v>7</v>
      </c>
      <c r="D149" s="139">
        <f>VLOOKUP(A149,'Data Vlaue (Cr)'!C144:CZ355,102,0)</f>
        <v>5.3E-3</v>
      </c>
      <c r="E149" s="91">
        <f>VLOOKUP($A149,'Data Vlaue (Cr)'!$C:$FB,75)</f>
        <v>1078</v>
      </c>
      <c r="F149" s="91">
        <f>VLOOKUP($A149,'Data Vlaue (Cr)'!$C:$FB,77)</f>
        <v>-3</v>
      </c>
      <c r="G149" s="92">
        <f>VLOOKUP(A149,'Data Vlaue (Cr)'!C144:CB355,78,0)</f>
        <v>-2.8999999999999998E-3</v>
      </c>
      <c r="H149" s="91">
        <f>VLOOKUP($A149,'Data Vlaue (Cr)'!$C:$FB,91)</f>
        <v>215</v>
      </c>
      <c r="I149" s="91">
        <f>VLOOKUP($A149,'Data Vlaue (Cr)'!$C:$FB,93)</f>
        <v>13</v>
      </c>
      <c r="J149" s="92">
        <f>VLOOKUP($A149,'Data Vlaue (Cr)'!$C:$FB,94)</f>
        <v>6.6799999999999998E-2</v>
      </c>
      <c r="K149" s="91">
        <f>VLOOKUP($A149,'Data Vlaue (Cr)'!$C:$FB,95)</f>
        <v>111</v>
      </c>
      <c r="L149" s="91">
        <f>VLOOKUP($A149,'Data Vlaue (Cr)'!$C:$FB,97)</f>
        <v>-3</v>
      </c>
      <c r="M149" s="92">
        <f>VLOOKUP($A149,'Data Vlaue (Cr)'!$C:$FB,98)</f>
        <v>-2.5100000000000001E-2</v>
      </c>
      <c r="N149" s="91">
        <f>VLOOKUP($A149,'Data Vlaue (Cr)'!$C:$FB,79)</f>
        <v>1054</v>
      </c>
      <c r="O149" s="92">
        <f>VLOOKUP($A149,'Data Vlaue (Cr)'!$C:$FB,82)</f>
        <v>-3.7000000000000002E-3</v>
      </c>
    </row>
    <row r="150" spans="1:15" x14ac:dyDescent="0.25">
      <c r="A150" s="97" t="str">
        <f>'Data Vlaue (Cr)'!C145</f>
        <v>OBEROIRLTY</v>
      </c>
      <c r="B150" s="142">
        <f>VLOOKUP(A150,'Data Vlaue (Cr)'!C145:CW356,99,0)</f>
        <v>1438</v>
      </c>
      <c r="C150" s="90">
        <f>VLOOKUP(A150,'Data Vlaue (Cr)'!C145:CY356,101,0)</f>
        <v>-3</v>
      </c>
      <c r="D150" s="139">
        <f>VLOOKUP(A150,'Data Vlaue (Cr)'!C145:CZ356,102,0)</f>
        <v>-1.8E-3</v>
      </c>
      <c r="E150" s="91">
        <f>VLOOKUP($A150,'Data Vlaue (Cr)'!$C:$FB,75)</f>
        <v>1058</v>
      </c>
      <c r="F150" s="91">
        <f>VLOOKUP($A150,'Data Vlaue (Cr)'!$C:$FB,77)</f>
        <v>10</v>
      </c>
      <c r="G150" s="92">
        <f>VLOOKUP(A150,'Data Vlaue (Cr)'!C145:CB356,78,0)</f>
        <v>9.1000000000000004E-3</v>
      </c>
      <c r="H150" s="91">
        <f>VLOOKUP($A150,'Data Vlaue (Cr)'!$C:$FB,91)</f>
        <v>197</v>
      </c>
      <c r="I150" s="91">
        <f>VLOOKUP($A150,'Data Vlaue (Cr)'!$C:$FB,93)</f>
        <v>-9</v>
      </c>
      <c r="J150" s="92">
        <f>VLOOKUP($A150,'Data Vlaue (Cr)'!$C:$FB,94)</f>
        <v>-4.4499999999999998E-2</v>
      </c>
      <c r="K150" s="91">
        <f>VLOOKUP($A150,'Data Vlaue (Cr)'!$C:$FB,95)</f>
        <v>183</v>
      </c>
      <c r="L150" s="91">
        <f>VLOOKUP($A150,'Data Vlaue (Cr)'!$C:$FB,97)</f>
        <v>-3</v>
      </c>
      <c r="M150" s="92">
        <f>VLOOKUP($A150,'Data Vlaue (Cr)'!$C:$FB,98)</f>
        <v>-1.5900000000000001E-2</v>
      </c>
      <c r="N150" s="91">
        <f>VLOOKUP($A150,'Data Vlaue (Cr)'!$C:$FB,79)</f>
        <v>1010</v>
      </c>
      <c r="O150" s="92">
        <f>VLOOKUP($A150,'Data Vlaue (Cr)'!$C:$FB,82)</f>
        <v>7.0000000000000001E-3</v>
      </c>
    </row>
    <row r="151" spans="1:15" x14ac:dyDescent="0.25">
      <c r="A151" s="97" t="str">
        <f>'Data Vlaue (Cr)'!C146</f>
        <v>OFSS</v>
      </c>
      <c r="B151" s="142">
        <f>VLOOKUP(A151,'Data Vlaue (Cr)'!C146:CW357,99,0)</f>
        <v>1640</v>
      </c>
      <c r="C151" s="90">
        <f>VLOOKUP(A151,'Data Vlaue (Cr)'!C146:CY357,101,0)</f>
        <v>-7</v>
      </c>
      <c r="D151" s="139">
        <f>VLOOKUP(A151,'Data Vlaue (Cr)'!C146:CZ357,102,0)</f>
        <v>-4.1000000000000003E-3</v>
      </c>
      <c r="E151" s="91">
        <f>VLOOKUP($A151,'Data Vlaue (Cr)'!$C:$FB,75)</f>
        <v>1047</v>
      </c>
      <c r="F151" s="91">
        <f>VLOOKUP($A151,'Data Vlaue (Cr)'!$C:$FB,77)</f>
        <v>3</v>
      </c>
      <c r="G151" s="92">
        <f>VLOOKUP(A151,'Data Vlaue (Cr)'!C146:CB357,78,0)</f>
        <v>2.7000000000000001E-3</v>
      </c>
      <c r="H151" s="91">
        <f>VLOOKUP($A151,'Data Vlaue (Cr)'!$C:$FB,91)</f>
        <v>367</v>
      </c>
      <c r="I151" s="91">
        <f>VLOOKUP($A151,'Data Vlaue (Cr)'!$C:$FB,93)</f>
        <v>-23</v>
      </c>
      <c r="J151" s="92">
        <f>VLOOKUP($A151,'Data Vlaue (Cr)'!$C:$FB,94)</f>
        <v>-5.8599999999999999E-2</v>
      </c>
      <c r="K151" s="91">
        <f>VLOOKUP($A151,'Data Vlaue (Cr)'!$C:$FB,95)</f>
        <v>226</v>
      </c>
      <c r="L151" s="91">
        <f>VLOOKUP($A151,'Data Vlaue (Cr)'!$C:$FB,97)</f>
        <v>13</v>
      </c>
      <c r="M151" s="92">
        <f>VLOOKUP($A151,'Data Vlaue (Cr)'!$C:$FB,98)</f>
        <v>6.1800000000000001E-2</v>
      </c>
      <c r="N151" s="91">
        <f>VLOOKUP($A151,'Data Vlaue (Cr)'!$C:$FB,79)</f>
        <v>1001</v>
      </c>
      <c r="O151" s="92">
        <f>VLOOKUP($A151,'Data Vlaue (Cr)'!$C:$FB,82)</f>
        <v>-2.9999999999999997E-4</v>
      </c>
    </row>
    <row r="152" spans="1:15" x14ac:dyDescent="0.25">
      <c r="A152" s="97" t="str">
        <f>'Data Vlaue (Cr)'!C147</f>
        <v>OIL</v>
      </c>
      <c r="B152" s="142">
        <f>VLOOKUP(A152,'Data Vlaue (Cr)'!C147:CW358,99,0)</f>
        <v>2632</v>
      </c>
      <c r="C152" s="90">
        <f>VLOOKUP(A152,'Data Vlaue (Cr)'!C147:CY358,101,0)</f>
        <v>-18</v>
      </c>
      <c r="D152" s="139">
        <f>VLOOKUP(A152,'Data Vlaue (Cr)'!C147:CZ358,102,0)</f>
        <v>-6.7000000000000002E-3</v>
      </c>
      <c r="E152" s="91">
        <f>VLOOKUP($A152,'Data Vlaue (Cr)'!$C:$FB,75)</f>
        <v>1170</v>
      </c>
      <c r="F152" s="91">
        <f>VLOOKUP($A152,'Data Vlaue (Cr)'!$C:$FB,77)</f>
        <v>36</v>
      </c>
      <c r="G152" s="92">
        <f>VLOOKUP(A152,'Data Vlaue (Cr)'!C147:CB358,78,0)</f>
        <v>3.1300000000000001E-2</v>
      </c>
      <c r="H152" s="91">
        <f>VLOOKUP($A152,'Data Vlaue (Cr)'!$C:$FB,91)</f>
        <v>944</v>
      </c>
      <c r="I152" s="91">
        <f>VLOOKUP($A152,'Data Vlaue (Cr)'!$C:$FB,93)</f>
        <v>-52</v>
      </c>
      <c r="J152" s="92">
        <f>VLOOKUP($A152,'Data Vlaue (Cr)'!$C:$FB,94)</f>
        <v>-5.2299999999999999E-2</v>
      </c>
      <c r="K152" s="91">
        <f>VLOOKUP($A152,'Data Vlaue (Cr)'!$C:$FB,95)</f>
        <v>518</v>
      </c>
      <c r="L152" s="91">
        <f>VLOOKUP($A152,'Data Vlaue (Cr)'!$C:$FB,97)</f>
        <v>-1</v>
      </c>
      <c r="M152" s="92">
        <f>VLOOKUP($A152,'Data Vlaue (Cr)'!$C:$FB,98)</f>
        <v>-2.5999999999999999E-3</v>
      </c>
      <c r="N152" s="91">
        <f>VLOOKUP($A152,'Data Vlaue (Cr)'!$C:$FB,79)</f>
        <v>1103</v>
      </c>
      <c r="O152" s="92">
        <f>VLOOKUP($A152,'Data Vlaue (Cr)'!$C:$FB,82)</f>
        <v>2.46E-2</v>
      </c>
    </row>
    <row r="153" spans="1:15" x14ac:dyDescent="0.25">
      <c r="A153" s="97" t="str">
        <f>'Data Vlaue (Cr)'!C148</f>
        <v>ONGC</v>
      </c>
      <c r="B153" s="142">
        <f>VLOOKUP(A153,'Data Vlaue (Cr)'!C148:CW359,99,0)</f>
        <v>7010</v>
      </c>
      <c r="C153" s="90">
        <f>VLOOKUP(A153,'Data Vlaue (Cr)'!C148:CY359,101,0)</f>
        <v>86</v>
      </c>
      <c r="D153" s="139">
        <f>VLOOKUP(A153,'Data Vlaue (Cr)'!C148:CZ359,102,0)</f>
        <v>1.2500000000000001E-2</v>
      </c>
      <c r="E153" s="91">
        <f>VLOOKUP($A153,'Data Vlaue (Cr)'!$C:$FB,75)</f>
        <v>3403</v>
      </c>
      <c r="F153" s="91">
        <f>VLOOKUP($A153,'Data Vlaue (Cr)'!$C:$FB,77)</f>
        <v>-6</v>
      </c>
      <c r="G153" s="92">
        <f>VLOOKUP(A153,'Data Vlaue (Cr)'!C148:CB359,78,0)</f>
        <v>-1.6999999999999999E-3</v>
      </c>
      <c r="H153" s="91">
        <f>VLOOKUP($A153,'Data Vlaue (Cr)'!$C:$FB,91)</f>
        <v>2475</v>
      </c>
      <c r="I153" s="91">
        <f>VLOOKUP($A153,'Data Vlaue (Cr)'!$C:$FB,93)</f>
        <v>27</v>
      </c>
      <c r="J153" s="92">
        <f>VLOOKUP($A153,'Data Vlaue (Cr)'!$C:$FB,94)</f>
        <v>1.12E-2</v>
      </c>
      <c r="K153" s="91">
        <f>VLOOKUP($A153,'Data Vlaue (Cr)'!$C:$FB,95)</f>
        <v>1131</v>
      </c>
      <c r="L153" s="91">
        <f>VLOOKUP($A153,'Data Vlaue (Cr)'!$C:$FB,97)</f>
        <v>65</v>
      </c>
      <c r="M153" s="92">
        <f>VLOOKUP($A153,'Data Vlaue (Cr)'!$C:$FB,98)</f>
        <v>6.0900000000000003E-2</v>
      </c>
      <c r="N153" s="91">
        <f>VLOOKUP($A153,'Data Vlaue (Cr)'!$C:$FB,79)</f>
        <v>3292</v>
      </c>
      <c r="O153" s="92">
        <f>VLOOKUP($A153,'Data Vlaue (Cr)'!$C:$FB,82)</f>
        <v>-3.5000000000000001E-3</v>
      </c>
    </row>
    <row r="154" spans="1:15" x14ac:dyDescent="0.25">
      <c r="A154" s="97" t="str">
        <f>'Data Vlaue (Cr)'!C149</f>
        <v>PAGEIND</v>
      </c>
      <c r="B154" s="142">
        <f>VLOOKUP(A154,'Data Vlaue (Cr)'!C149:CW360,99,0)</f>
        <v>1308</v>
      </c>
      <c r="C154" s="90">
        <f>VLOOKUP(A154,'Data Vlaue (Cr)'!C149:CY360,101,0)</f>
        <v>92</v>
      </c>
      <c r="D154" s="139">
        <f>VLOOKUP(A154,'Data Vlaue (Cr)'!C149:CZ360,102,0)</f>
        <v>7.5399999999999995E-2</v>
      </c>
      <c r="E154" s="91">
        <f>VLOOKUP($A154,'Data Vlaue (Cr)'!$C:$FB,75)</f>
        <v>751</v>
      </c>
      <c r="F154" s="91">
        <f>VLOOKUP($A154,'Data Vlaue (Cr)'!$C:$FB,77)</f>
        <v>13</v>
      </c>
      <c r="G154" s="92">
        <f>VLOOKUP(A154,'Data Vlaue (Cr)'!C149:CB360,78,0)</f>
        <v>1.7000000000000001E-2</v>
      </c>
      <c r="H154" s="91">
        <f>VLOOKUP($A154,'Data Vlaue (Cr)'!$C:$FB,91)</f>
        <v>393</v>
      </c>
      <c r="I154" s="91">
        <f>VLOOKUP($A154,'Data Vlaue (Cr)'!$C:$FB,93)</f>
        <v>82</v>
      </c>
      <c r="J154" s="92">
        <f>VLOOKUP($A154,'Data Vlaue (Cr)'!$C:$FB,94)</f>
        <v>0.26419999999999999</v>
      </c>
      <c r="K154" s="91">
        <f>VLOOKUP($A154,'Data Vlaue (Cr)'!$C:$FB,95)</f>
        <v>164</v>
      </c>
      <c r="L154" s="91">
        <f>VLOOKUP($A154,'Data Vlaue (Cr)'!$C:$FB,97)</f>
        <v>-3</v>
      </c>
      <c r="M154" s="92">
        <f>VLOOKUP($A154,'Data Vlaue (Cr)'!$C:$FB,98)</f>
        <v>-1.83E-2</v>
      </c>
      <c r="N154" s="91">
        <f>VLOOKUP($A154,'Data Vlaue (Cr)'!$C:$FB,79)</f>
        <v>708</v>
      </c>
      <c r="O154" s="92">
        <f>VLOOKUP($A154,'Data Vlaue (Cr)'!$C:$FB,82)</f>
        <v>1.23E-2</v>
      </c>
    </row>
    <row r="155" spans="1:15" x14ac:dyDescent="0.25">
      <c r="A155" s="97" t="str">
        <f>'Data Vlaue (Cr)'!C150</f>
        <v>PATANJALI</v>
      </c>
      <c r="B155" s="142">
        <f>VLOOKUP(A155,'Data Vlaue (Cr)'!C150:CW361,99,0)</f>
        <v>2158</v>
      </c>
      <c r="C155" s="90">
        <f>VLOOKUP(A155,'Data Vlaue (Cr)'!C150:CY361,101,0)</f>
        <v>62</v>
      </c>
      <c r="D155" s="139">
        <f>VLOOKUP(A155,'Data Vlaue (Cr)'!C150:CZ361,102,0)</f>
        <v>2.9399999999999999E-2</v>
      </c>
      <c r="E155" s="91">
        <f>VLOOKUP($A155,'Data Vlaue (Cr)'!$C:$FB,75)</f>
        <v>1865</v>
      </c>
      <c r="F155" s="91">
        <f>VLOOKUP($A155,'Data Vlaue (Cr)'!$C:$FB,77)</f>
        <v>23</v>
      </c>
      <c r="G155" s="92">
        <f>VLOOKUP(A155,'Data Vlaue (Cr)'!C150:CB361,78,0)</f>
        <v>1.24E-2</v>
      </c>
      <c r="H155" s="91">
        <f>VLOOKUP($A155,'Data Vlaue (Cr)'!$C:$FB,91)</f>
        <v>155</v>
      </c>
      <c r="I155" s="91">
        <f>VLOOKUP($A155,'Data Vlaue (Cr)'!$C:$FB,93)</f>
        <v>9</v>
      </c>
      <c r="J155" s="92">
        <f>VLOOKUP($A155,'Data Vlaue (Cr)'!$C:$FB,94)</f>
        <v>5.96E-2</v>
      </c>
      <c r="K155" s="91">
        <f>VLOOKUP($A155,'Data Vlaue (Cr)'!$C:$FB,95)</f>
        <v>137</v>
      </c>
      <c r="L155" s="91">
        <f>VLOOKUP($A155,'Data Vlaue (Cr)'!$C:$FB,97)</f>
        <v>30</v>
      </c>
      <c r="M155" s="92">
        <f>VLOOKUP($A155,'Data Vlaue (Cr)'!$C:$FB,98)</f>
        <v>0.28179999999999999</v>
      </c>
      <c r="N155" s="91">
        <f>VLOOKUP($A155,'Data Vlaue (Cr)'!$C:$FB,79)</f>
        <v>1837</v>
      </c>
      <c r="O155" s="92">
        <f>VLOOKUP($A155,'Data Vlaue (Cr)'!$C:$FB,82)</f>
        <v>1.8E-3</v>
      </c>
    </row>
    <row r="156" spans="1:15" x14ac:dyDescent="0.25">
      <c r="A156" s="97" t="str">
        <f>'Data Vlaue (Cr)'!C151</f>
        <v>PAYTM</v>
      </c>
      <c r="B156" s="142">
        <f>VLOOKUP(A156,'Data Vlaue (Cr)'!C151:CW362,99,0)</f>
        <v>3709</v>
      </c>
      <c r="C156" s="90">
        <f>VLOOKUP(A156,'Data Vlaue (Cr)'!C151:CY362,101,0)</f>
        <v>28</v>
      </c>
      <c r="D156" s="139">
        <f>VLOOKUP(A156,'Data Vlaue (Cr)'!C151:CZ362,102,0)</f>
        <v>7.6E-3</v>
      </c>
      <c r="E156" s="91">
        <f>VLOOKUP($A156,'Data Vlaue (Cr)'!$C:$FB,75)</f>
        <v>2263</v>
      </c>
      <c r="F156" s="91">
        <f>VLOOKUP($A156,'Data Vlaue (Cr)'!$C:$FB,77)</f>
        <v>5</v>
      </c>
      <c r="G156" s="92">
        <f>VLOOKUP(A156,'Data Vlaue (Cr)'!C151:CB362,78,0)</f>
        <v>2.3999999999999998E-3</v>
      </c>
      <c r="H156" s="91">
        <f>VLOOKUP($A156,'Data Vlaue (Cr)'!$C:$FB,91)</f>
        <v>865</v>
      </c>
      <c r="I156" s="91">
        <f>VLOOKUP($A156,'Data Vlaue (Cr)'!$C:$FB,93)</f>
        <v>15</v>
      </c>
      <c r="J156" s="92">
        <f>VLOOKUP($A156,'Data Vlaue (Cr)'!$C:$FB,94)</f>
        <v>1.7600000000000001E-2</v>
      </c>
      <c r="K156" s="91">
        <f>VLOOKUP($A156,'Data Vlaue (Cr)'!$C:$FB,95)</f>
        <v>580</v>
      </c>
      <c r="L156" s="91">
        <f>VLOOKUP($A156,'Data Vlaue (Cr)'!$C:$FB,97)</f>
        <v>7</v>
      </c>
      <c r="M156" s="92">
        <f>VLOOKUP($A156,'Data Vlaue (Cr)'!$C:$FB,98)</f>
        <v>1.3100000000000001E-2</v>
      </c>
      <c r="N156" s="91">
        <f>VLOOKUP($A156,'Data Vlaue (Cr)'!$C:$FB,79)</f>
        <v>2138</v>
      </c>
      <c r="O156" s="92">
        <f>VLOOKUP($A156,'Data Vlaue (Cr)'!$C:$FB,82)</f>
        <v>0</v>
      </c>
    </row>
    <row r="157" spans="1:15" x14ac:dyDescent="0.25">
      <c r="A157" s="97" t="str">
        <f>'Data Vlaue (Cr)'!C152</f>
        <v>PERSISTENT</v>
      </c>
      <c r="B157" s="142">
        <f>VLOOKUP(A157,'Data Vlaue (Cr)'!C152:CW363,99,0)</f>
        <v>3462</v>
      </c>
      <c r="C157" s="90">
        <f>VLOOKUP(A157,'Data Vlaue (Cr)'!C152:CY363,101,0)</f>
        <v>56</v>
      </c>
      <c r="D157" s="139">
        <f>VLOOKUP(A157,'Data Vlaue (Cr)'!C152:CZ363,102,0)</f>
        <v>1.6400000000000001E-2</v>
      </c>
      <c r="E157" s="91">
        <f>VLOOKUP($A157,'Data Vlaue (Cr)'!$C:$FB,75)</f>
        <v>2038</v>
      </c>
      <c r="F157" s="91">
        <f>VLOOKUP($A157,'Data Vlaue (Cr)'!$C:$FB,77)</f>
        <v>57</v>
      </c>
      <c r="G157" s="92">
        <f>VLOOKUP(A157,'Data Vlaue (Cr)'!C152:CB363,78,0)</f>
        <v>2.8799999999999999E-2</v>
      </c>
      <c r="H157" s="91">
        <f>VLOOKUP($A157,'Data Vlaue (Cr)'!$C:$FB,91)</f>
        <v>867</v>
      </c>
      <c r="I157" s="91">
        <f>VLOOKUP($A157,'Data Vlaue (Cr)'!$C:$FB,93)</f>
        <v>7</v>
      </c>
      <c r="J157" s="92">
        <f>VLOOKUP($A157,'Data Vlaue (Cr)'!$C:$FB,94)</f>
        <v>7.6E-3</v>
      </c>
      <c r="K157" s="91">
        <f>VLOOKUP($A157,'Data Vlaue (Cr)'!$C:$FB,95)</f>
        <v>557</v>
      </c>
      <c r="L157" s="91">
        <f>VLOOKUP($A157,'Data Vlaue (Cr)'!$C:$FB,97)</f>
        <v>-8</v>
      </c>
      <c r="M157" s="92">
        <f>VLOOKUP($A157,'Data Vlaue (Cr)'!$C:$FB,98)</f>
        <v>-1.3599999999999999E-2</v>
      </c>
      <c r="N157" s="91">
        <f>VLOOKUP($A157,'Data Vlaue (Cr)'!$C:$FB,79)</f>
        <v>1912</v>
      </c>
      <c r="O157" s="92">
        <f>VLOOKUP($A157,'Data Vlaue (Cr)'!$C:$FB,82)</f>
        <v>2.1399999999999999E-2</v>
      </c>
    </row>
    <row r="158" spans="1:15" x14ac:dyDescent="0.25">
      <c r="A158" s="97" t="str">
        <f>'Data Vlaue (Cr)'!C153</f>
        <v>PETRONET</v>
      </c>
      <c r="B158" s="142">
        <f>VLOOKUP(A158,'Data Vlaue (Cr)'!C153:CW364,99,0)</f>
        <v>1950</v>
      </c>
      <c r="C158" s="90">
        <f>VLOOKUP(A158,'Data Vlaue (Cr)'!C153:CY364,101,0)</f>
        <v>3</v>
      </c>
      <c r="D158" s="139">
        <f>VLOOKUP(A158,'Data Vlaue (Cr)'!C153:CZ364,102,0)</f>
        <v>1.8E-3</v>
      </c>
      <c r="E158" s="91">
        <f>VLOOKUP($A158,'Data Vlaue (Cr)'!$C:$FB,75)</f>
        <v>972</v>
      </c>
      <c r="F158" s="91">
        <f>VLOOKUP($A158,'Data Vlaue (Cr)'!$C:$FB,77)</f>
        <v>-21</v>
      </c>
      <c r="G158" s="92">
        <f>VLOOKUP(A158,'Data Vlaue (Cr)'!C153:CB364,78,0)</f>
        <v>-2.0799999999999999E-2</v>
      </c>
      <c r="H158" s="91">
        <f>VLOOKUP($A158,'Data Vlaue (Cr)'!$C:$FB,91)</f>
        <v>511</v>
      </c>
      <c r="I158" s="91">
        <f>VLOOKUP($A158,'Data Vlaue (Cr)'!$C:$FB,93)</f>
        <v>19</v>
      </c>
      <c r="J158" s="92">
        <f>VLOOKUP($A158,'Data Vlaue (Cr)'!$C:$FB,94)</f>
        <v>3.8600000000000002E-2</v>
      </c>
      <c r="K158" s="91">
        <f>VLOOKUP($A158,'Data Vlaue (Cr)'!$C:$FB,95)</f>
        <v>467</v>
      </c>
      <c r="L158" s="91">
        <f>VLOOKUP($A158,'Data Vlaue (Cr)'!$C:$FB,97)</f>
        <v>5</v>
      </c>
      <c r="M158" s="92">
        <f>VLOOKUP($A158,'Data Vlaue (Cr)'!$C:$FB,98)</f>
        <v>1.12E-2</v>
      </c>
      <c r="N158" s="91">
        <f>VLOOKUP($A158,'Data Vlaue (Cr)'!$C:$FB,79)</f>
        <v>770</v>
      </c>
      <c r="O158" s="92">
        <f>VLOOKUP($A158,'Data Vlaue (Cr)'!$C:$FB,82)</f>
        <v>-2.6800000000000001E-2</v>
      </c>
    </row>
    <row r="159" spans="1:15" x14ac:dyDescent="0.25">
      <c r="A159" s="97" t="str">
        <f>'Data Vlaue (Cr)'!C154</f>
        <v>PFC</v>
      </c>
      <c r="B159" s="142">
        <f>VLOOKUP(A159,'Data Vlaue (Cr)'!C154:CW365,99,0)</f>
        <v>5065</v>
      </c>
      <c r="C159" s="90">
        <f>VLOOKUP(A159,'Data Vlaue (Cr)'!C154:CY365,101,0)</f>
        <v>217</v>
      </c>
      <c r="D159" s="139">
        <f>VLOOKUP(A159,'Data Vlaue (Cr)'!C154:CZ365,102,0)</f>
        <v>4.4699999999999997E-2</v>
      </c>
      <c r="E159" s="91">
        <f>VLOOKUP($A159,'Data Vlaue (Cr)'!$C:$FB,75)</f>
        <v>2792</v>
      </c>
      <c r="F159" s="91">
        <f>VLOOKUP($A159,'Data Vlaue (Cr)'!$C:$FB,77)</f>
        <v>90</v>
      </c>
      <c r="G159" s="92">
        <f>VLOOKUP(A159,'Data Vlaue (Cr)'!C154:CB365,78,0)</f>
        <v>3.3399999999999999E-2</v>
      </c>
      <c r="H159" s="91">
        <f>VLOOKUP($A159,'Data Vlaue (Cr)'!$C:$FB,91)</f>
        <v>1545</v>
      </c>
      <c r="I159" s="91">
        <f>VLOOKUP($A159,'Data Vlaue (Cr)'!$C:$FB,93)</f>
        <v>81</v>
      </c>
      <c r="J159" s="92">
        <f>VLOOKUP($A159,'Data Vlaue (Cr)'!$C:$FB,94)</f>
        <v>5.5300000000000002E-2</v>
      </c>
      <c r="K159" s="91">
        <f>VLOOKUP($A159,'Data Vlaue (Cr)'!$C:$FB,95)</f>
        <v>728</v>
      </c>
      <c r="L159" s="91">
        <f>VLOOKUP($A159,'Data Vlaue (Cr)'!$C:$FB,97)</f>
        <v>45</v>
      </c>
      <c r="M159" s="92">
        <f>VLOOKUP($A159,'Data Vlaue (Cr)'!$C:$FB,98)</f>
        <v>6.6699999999999995E-2</v>
      </c>
      <c r="N159" s="91">
        <f>VLOOKUP($A159,'Data Vlaue (Cr)'!$C:$FB,79)</f>
        <v>2260</v>
      </c>
      <c r="O159" s="92">
        <f>VLOOKUP($A159,'Data Vlaue (Cr)'!$C:$FB,82)</f>
        <v>3.4799999999999998E-2</v>
      </c>
    </row>
    <row r="160" spans="1:15" x14ac:dyDescent="0.25">
      <c r="A160" s="97" t="str">
        <f>'Data Vlaue (Cr)'!C155</f>
        <v>PGEL</v>
      </c>
      <c r="B160" s="142">
        <f>VLOOKUP(A160,'Data Vlaue (Cr)'!C155:CW366,99,0)</f>
        <v>1483</v>
      </c>
      <c r="C160" s="90">
        <f>VLOOKUP(A160,'Data Vlaue (Cr)'!C155:CY366,101,0)</f>
        <v>-40</v>
      </c>
      <c r="D160" s="139">
        <f>VLOOKUP(A160,'Data Vlaue (Cr)'!C155:CZ366,102,0)</f>
        <v>-2.6200000000000001E-2</v>
      </c>
      <c r="E160" s="91">
        <f>VLOOKUP($A160,'Data Vlaue (Cr)'!$C:$FB,75)</f>
        <v>741</v>
      </c>
      <c r="F160" s="91">
        <f>VLOOKUP($A160,'Data Vlaue (Cr)'!$C:$FB,77)</f>
        <v>-31</v>
      </c>
      <c r="G160" s="92">
        <f>VLOOKUP(A160,'Data Vlaue (Cr)'!C155:CB366,78,0)</f>
        <v>-3.9600000000000003E-2</v>
      </c>
      <c r="H160" s="91">
        <f>VLOOKUP($A160,'Data Vlaue (Cr)'!$C:$FB,91)</f>
        <v>448</v>
      </c>
      <c r="I160" s="91">
        <f>VLOOKUP($A160,'Data Vlaue (Cr)'!$C:$FB,93)</f>
        <v>-7</v>
      </c>
      <c r="J160" s="92">
        <f>VLOOKUP($A160,'Data Vlaue (Cr)'!$C:$FB,94)</f>
        <v>-1.6299999999999999E-2</v>
      </c>
      <c r="K160" s="91">
        <f>VLOOKUP($A160,'Data Vlaue (Cr)'!$C:$FB,95)</f>
        <v>294</v>
      </c>
      <c r="L160" s="91">
        <f>VLOOKUP($A160,'Data Vlaue (Cr)'!$C:$FB,97)</f>
        <v>-2</v>
      </c>
      <c r="M160" s="92">
        <f>VLOOKUP($A160,'Data Vlaue (Cr)'!$C:$FB,98)</f>
        <v>-6.4999999999999997E-3</v>
      </c>
      <c r="N160" s="91">
        <f>VLOOKUP($A160,'Data Vlaue (Cr)'!$C:$FB,79)</f>
        <v>721</v>
      </c>
      <c r="O160" s="92">
        <f>VLOOKUP($A160,'Data Vlaue (Cr)'!$C:$FB,82)</f>
        <v>-4.19E-2</v>
      </c>
    </row>
    <row r="161" spans="1:15" x14ac:dyDescent="0.25">
      <c r="A161" s="97" t="str">
        <f>'Data Vlaue (Cr)'!C156</f>
        <v>PHOENIXLTD</v>
      </c>
      <c r="B161" s="142">
        <f>VLOOKUP(A161,'Data Vlaue (Cr)'!C156:CW367,99,0)</f>
        <v>933</v>
      </c>
      <c r="C161" s="90">
        <f>VLOOKUP(A161,'Data Vlaue (Cr)'!C156:CY367,101,0)</f>
        <v>5</v>
      </c>
      <c r="D161" s="139">
        <f>VLOOKUP(A161,'Data Vlaue (Cr)'!C156:CZ367,102,0)</f>
        <v>5.7999999999999996E-3</v>
      </c>
      <c r="E161" s="91">
        <f>VLOOKUP($A161,'Data Vlaue (Cr)'!$C:$FB,75)</f>
        <v>646</v>
      </c>
      <c r="F161" s="91">
        <f>VLOOKUP($A161,'Data Vlaue (Cr)'!$C:$FB,77)</f>
        <v>3</v>
      </c>
      <c r="G161" s="92">
        <f>VLOOKUP(A161,'Data Vlaue (Cr)'!C156:CB367,78,0)</f>
        <v>4.3E-3</v>
      </c>
      <c r="H161" s="91">
        <f>VLOOKUP($A161,'Data Vlaue (Cr)'!$C:$FB,91)</f>
        <v>180</v>
      </c>
      <c r="I161" s="91">
        <f>VLOOKUP($A161,'Data Vlaue (Cr)'!$C:$FB,93)</f>
        <v>3</v>
      </c>
      <c r="J161" s="92">
        <f>VLOOKUP($A161,'Data Vlaue (Cr)'!$C:$FB,94)</f>
        <v>1.67E-2</v>
      </c>
      <c r="K161" s="91">
        <f>VLOOKUP($A161,'Data Vlaue (Cr)'!$C:$FB,95)</f>
        <v>107</v>
      </c>
      <c r="L161" s="91">
        <f>VLOOKUP($A161,'Data Vlaue (Cr)'!$C:$FB,97)</f>
        <v>0</v>
      </c>
      <c r="M161" s="92">
        <f>VLOOKUP($A161,'Data Vlaue (Cr)'!$C:$FB,98)</f>
        <v>-3.0999999999999999E-3</v>
      </c>
      <c r="N161" s="91">
        <f>VLOOKUP($A161,'Data Vlaue (Cr)'!$C:$FB,79)</f>
        <v>635</v>
      </c>
      <c r="O161" s="92">
        <f>VLOOKUP($A161,'Data Vlaue (Cr)'!$C:$FB,82)</f>
        <v>3.5999999999999999E-3</v>
      </c>
    </row>
    <row r="162" spans="1:15" x14ac:dyDescent="0.25">
      <c r="A162" s="97" t="str">
        <f>'Data Vlaue (Cr)'!C157</f>
        <v>PIDILITIND</v>
      </c>
      <c r="B162" s="142">
        <f>VLOOKUP(A162,'Data Vlaue (Cr)'!C157:CW368,99,0)</f>
        <v>1507</v>
      </c>
      <c r="C162" s="90">
        <f>VLOOKUP(A162,'Data Vlaue (Cr)'!C157:CY368,101,0)</f>
        <v>5</v>
      </c>
      <c r="D162" s="139">
        <f>VLOOKUP(A162,'Data Vlaue (Cr)'!C157:CZ368,102,0)</f>
        <v>3.5999999999999999E-3</v>
      </c>
      <c r="E162" s="91">
        <f>VLOOKUP($A162,'Data Vlaue (Cr)'!$C:$FB,75)</f>
        <v>1126</v>
      </c>
      <c r="F162" s="91">
        <f>VLOOKUP($A162,'Data Vlaue (Cr)'!$C:$FB,77)</f>
        <v>4</v>
      </c>
      <c r="G162" s="92">
        <f>VLOOKUP(A162,'Data Vlaue (Cr)'!C157:CB368,78,0)</f>
        <v>3.2000000000000002E-3</v>
      </c>
      <c r="H162" s="91">
        <f>VLOOKUP($A162,'Data Vlaue (Cr)'!$C:$FB,91)</f>
        <v>241</v>
      </c>
      <c r="I162" s="91">
        <f>VLOOKUP($A162,'Data Vlaue (Cr)'!$C:$FB,93)</f>
        <v>-1</v>
      </c>
      <c r="J162" s="92">
        <f>VLOOKUP($A162,'Data Vlaue (Cr)'!$C:$FB,94)</f>
        <v>-3.3999999999999998E-3</v>
      </c>
      <c r="K162" s="91">
        <f>VLOOKUP($A162,'Data Vlaue (Cr)'!$C:$FB,95)</f>
        <v>141</v>
      </c>
      <c r="L162" s="91">
        <f>VLOOKUP($A162,'Data Vlaue (Cr)'!$C:$FB,97)</f>
        <v>3</v>
      </c>
      <c r="M162" s="92">
        <f>VLOOKUP($A162,'Data Vlaue (Cr)'!$C:$FB,98)</f>
        <v>1.8599999999999998E-2</v>
      </c>
      <c r="N162" s="91">
        <f>VLOOKUP($A162,'Data Vlaue (Cr)'!$C:$FB,79)</f>
        <v>1115</v>
      </c>
      <c r="O162" s="92">
        <f>VLOOKUP($A162,'Data Vlaue (Cr)'!$C:$FB,82)</f>
        <v>2.3999999999999998E-3</v>
      </c>
    </row>
    <row r="163" spans="1:15" x14ac:dyDescent="0.25">
      <c r="A163" s="97" t="str">
        <f>'Data Vlaue (Cr)'!C158</f>
        <v>PIIND</v>
      </c>
      <c r="B163" s="142">
        <f>VLOOKUP(A163,'Data Vlaue (Cr)'!C158:CW369,99,0)</f>
        <v>1364</v>
      </c>
      <c r="C163" s="90">
        <f>VLOOKUP(A163,'Data Vlaue (Cr)'!C158:CY369,101,0)</f>
        <v>10</v>
      </c>
      <c r="D163" s="139">
        <f>VLOOKUP(A163,'Data Vlaue (Cr)'!C158:CZ369,102,0)</f>
        <v>7.7000000000000002E-3</v>
      </c>
      <c r="E163" s="91">
        <f>VLOOKUP($A163,'Data Vlaue (Cr)'!$C:$FB,75)</f>
        <v>1012</v>
      </c>
      <c r="F163" s="91">
        <f>VLOOKUP($A163,'Data Vlaue (Cr)'!$C:$FB,77)</f>
        <v>-10</v>
      </c>
      <c r="G163" s="92">
        <f>VLOOKUP(A163,'Data Vlaue (Cr)'!C158:CB369,78,0)</f>
        <v>-9.4000000000000004E-3</v>
      </c>
      <c r="H163" s="91">
        <f>VLOOKUP($A163,'Data Vlaue (Cr)'!$C:$FB,91)</f>
        <v>222</v>
      </c>
      <c r="I163" s="91">
        <f>VLOOKUP($A163,'Data Vlaue (Cr)'!$C:$FB,93)</f>
        <v>18</v>
      </c>
      <c r="J163" s="92">
        <f>VLOOKUP($A163,'Data Vlaue (Cr)'!$C:$FB,94)</f>
        <v>8.7400000000000005E-2</v>
      </c>
      <c r="K163" s="91">
        <f>VLOOKUP($A163,'Data Vlaue (Cr)'!$C:$FB,95)</f>
        <v>130</v>
      </c>
      <c r="L163" s="91">
        <f>VLOOKUP($A163,'Data Vlaue (Cr)'!$C:$FB,97)</f>
        <v>2</v>
      </c>
      <c r="M163" s="92">
        <f>VLOOKUP($A163,'Data Vlaue (Cr)'!$C:$FB,98)</f>
        <v>1.7000000000000001E-2</v>
      </c>
      <c r="N163" s="91">
        <f>VLOOKUP($A163,'Data Vlaue (Cr)'!$C:$FB,79)</f>
        <v>938</v>
      </c>
      <c r="O163" s="92">
        <f>VLOOKUP($A163,'Data Vlaue (Cr)'!$C:$FB,82)</f>
        <v>-1.52E-2</v>
      </c>
    </row>
    <row r="164" spans="1:15" x14ac:dyDescent="0.25">
      <c r="A164" s="97" t="str">
        <f>'Data Vlaue (Cr)'!C159</f>
        <v>PNB</v>
      </c>
      <c r="B164" s="142">
        <f>VLOOKUP(A164,'Data Vlaue (Cr)'!C159:CW370,99,0)</f>
        <v>5593</v>
      </c>
      <c r="C164" s="90">
        <f>VLOOKUP(A164,'Data Vlaue (Cr)'!C159:CY370,101,0)</f>
        <v>-38</v>
      </c>
      <c r="D164" s="139">
        <f>VLOOKUP(A164,'Data Vlaue (Cr)'!C159:CZ370,102,0)</f>
        <v>-6.7000000000000002E-3</v>
      </c>
      <c r="E164" s="91">
        <f>VLOOKUP($A164,'Data Vlaue (Cr)'!$C:$FB,75)</f>
        <v>3118</v>
      </c>
      <c r="F164" s="91">
        <f>VLOOKUP($A164,'Data Vlaue (Cr)'!$C:$FB,77)</f>
        <v>-4</v>
      </c>
      <c r="G164" s="92">
        <f>VLOOKUP(A164,'Data Vlaue (Cr)'!C159:CB370,78,0)</f>
        <v>-1.2999999999999999E-3</v>
      </c>
      <c r="H164" s="91">
        <f>VLOOKUP($A164,'Data Vlaue (Cr)'!$C:$FB,91)</f>
        <v>1465</v>
      </c>
      <c r="I164" s="91">
        <f>VLOOKUP($A164,'Data Vlaue (Cr)'!$C:$FB,93)</f>
        <v>-51</v>
      </c>
      <c r="J164" s="92">
        <f>VLOOKUP($A164,'Data Vlaue (Cr)'!$C:$FB,94)</f>
        <v>-3.3599999999999998E-2</v>
      </c>
      <c r="K164" s="91">
        <f>VLOOKUP($A164,'Data Vlaue (Cr)'!$C:$FB,95)</f>
        <v>1010</v>
      </c>
      <c r="L164" s="91">
        <f>VLOOKUP($A164,'Data Vlaue (Cr)'!$C:$FB,97)</f>
        <v>17</v>
      </c>
      <c r="M164" s="92">
        <f>VLOOKUP($A164,'Data Vlaue (Cr)'!$C:$FB,98)</f>
        <v>1.7500000000000002E-2</v>
      </c>
      <c r="N164" s="91">
        <f>VLOOKUP($A164,'Data Vlaue (Cr)'!$C:$FB,79)</f>
        <v>2843</v>
      </c>
      <c r="O164" s="92">
        <f>VLOOKUP($A164,'Data Vlaue (Cr)'!$C:$FB,82)</f>
        <v>-5.7999999999999996E-3</v>
      </c>
    </row>
    <row r="165" spans="1:15" x14ac:dyDescent="0.25">
      <c r="A165" s="97" t="str">
        <f>'Data Vlaue (Cr)'!C160</f>
        <v>PNBHOUSING</v>
      </c>
      <c r="B165" s="142">
        <f>VLOOKUP(A165,'Data Vlaue (Cr)'!C160:CW371,99,0)</f>
        <v>1446</v>
      </c>
      <c r="C165" s="90">
        <f>VLOOKUP(A165,'Data Vlaue (Cr)'!C160:CY371,101,0)</f>
        <v>4</v>
      </c>
      <c r="D165" s="139">
        <f>VLOOKUP(A165,'Data Vlaue (Cr)'!C160:CZ371,102,0)</f>
        <v>2.7000000000000001E-3</v>
      </c>
      <c r="E165" s="91">
        <f>VLOOKUP($A165,'Data Vlaue (Cr)'!$C:$FB,75)</f>
        <v>1058</v>
      </c>
      <c r="F165" s="91">
        <f>VLOOKUP($A165,'Data Vlaue (Cr)'!$C:$FB,77)</f>
        <v>-13</v>
      </c>
      <c r="G165" s="92">
        <f>VLOOKUP(A165,'Data Vlaue (Cr)'!C160:CB371,78,0)</f>
        <v>-1.2200000000000001E-2</v>
      </c>
      <c r="H165" s="91">
        <f>VLOOKUP($A165,'Data Vlaue (Cr)'!$C:$FB,91)</f>
        <v>210</v>
      </c>
      <c r="I165" s="91">
        <f>VLOOKUP($A165,'Data Vlaue (Cr)'!$C:$FB,93)</f>
        <v>8</v>
      </c>
      <c r="J165" s="92">
        <f>VLOOKUP($A165,'Data Vlaue (Cr)'!$C:$FB,94)</f>
        <v>4.0300000000000002E-2</v>
      </c>
      <c r="K165" s="91">
        <f>VLOOKUP($A165,'Data Vlaue (Cr)'!$C:$FB,95)</f>
        <v>178</v>
      </c>
      <c r="L165" s="91">
        <f>VLOOKUP($A165,'Data Vlaue (Cr)'!$C:$FB,97)</f>
        <v>9</v>
      </c>
      <c r="M165" s="92">
        <f>VLOOKUP($A165,'Data Vlaue (Cr)'!$C:$FB,98)</f>
        <v>5.2299999999999999E-2</v>
      </c>
      <c r="N165" s="91">
        <f>VLOOKUP($A165,'Data Vlaue (Cr)'!$C:$FB,79)</f>
        <v>1021</v>
      </c>
      <c r="O165" s="92">
        <f>VLOOKUP($A165,'Data Vlaue (Cr)'!$C:$FB,82)</f>
        <v>-1.34E-2</v>
      </c>
    </row>
    <row r="166" spans="1:15" x14ac:dyDescent="0.25">
      <c r="A166" s="97" t="str">
        <f>'Data Vlaue (Cr)'!C161</f>
        <v>POLICYBZR</v>
      </c>
      <c r="B166" s="142">
        <f>VLOOKUP(A166,'Data Vlaue (Cr)'!C161:CW372,99,0)</f>
        <v>1735</v>
      </c>
      <c r="C166" s="90">
        <f>VLOOKUP(A166,'Data Vlaue (Cr)'!C161:CY372,101,0)</f>
        <v>5</v>
      </c>
      <c r="D166" s="139">
        <f>VLOOKUP(A166,'Data Vlaue (Cr)'!C161:CZ372,102,0)</f>
        <v>2.7000000000000001E-3</v>
      </c>
      <c r="E166" s="91">
        <f>VLOOKUP($A166,'Data Vlaue (Cr)'!$C:$FB,75)</f>
        <v>1141</v>
      </c>
      <c r="F166" s="91">
        <f>VLOOKUP($A166,'Data Vlaue (Cr)'!$C:$FB,77)</f>
        <v>-20</v>
      </c>
      <c r="G166" s="92">
        <f>VLOOKUP(A166,'Data Vlaue (Cr)'!C161:CB372,78,0)</f>
        <v>-1.72E-2</v>
      </c>
      <c r="H166" s="91">
        <f>VLOOKUP($A166,'Data Vlaue (Cr)'!$C:$FB,91)</f>
        <v>330</v>
      </c>
      <c r="I166" s="91">
        <f>VLOOKUP($A166,'Data Vlaue (Cr)'!$C:$FB,93)</f>
        <v>16</v>
      </c>
      <c r="J166" s="92">
        <f>VLOOKUP($A166,'Data Vlaue (Cr)'!$C:$FB,94)</f>
        <v>5.1499999999999997E-2</v>
      </c>
      <c r="K166" s="91">
        <f>VLOOKUP($A166,'Data Vlaue (Cr)'!$C:$FB,95)</f>
        <v>264</v>
      </c>
      <c r="L166" s="91">
        <f>VLOOKUP($A166,'Data Vlaue (Cr)'!$C:$FB,97)</f>
        <v>8</v>
      </c>
      <c r="M166" s="92">
        <f>VLOOKUP($A166,'Data Vlaue (Cr)'!$C:$FB,98)</f>
        <v>3.3099999999999997E-2</v>
      </c>
      <c r="N166" s="91">
        <f>VLOOKUP($A166,'Data Vlaue (Cr)'!$C:$FB,79)</f>
        <v>1099</v>
      </c>
      <c r="O166" s="92">
        <f>VLOOKUP($A166,'Data Vlaue (Cr)'!$C:$FB,82)</f>
        <v>-1.9699999999999999E-2</v>
      </c>
    </row>
    <row r="167" spans="1:15" x14ac:dyDescent="0.25">
      <c r="A167" s="97" t="str">
        <f>'Data Vlaue (Cr)'!C162</f>
        <v>POLYCAB</v>
      </c>
      <c r="B167" s="142">
        <f>VLOOKUP(A167,'Data Vlaue (Cr)'!C162:CW373,99,0)</f>
        <v>4092</v>
      </c>
      <c r="C167" s="90">
        <f>VLOOKUP(A167,'Data Vlaue (Cr)'!C162:CY373,101,0)</f>
        <v>73</v>
      </c>
      <c r="D167" s="139">
        <f>VLOOKUP(A167,'Data Vlaue (Cr)'!C162:CZ373,102,0)</f>
        <v>1.8200000000000001E-2</v>
      </c>
      <c r="E167" s="91">
        <f>VLOOKUP($A167,'Data Vlaue (Cr)'!$C:$FB,75)</f>
        <v>1537</v>
      </c>
      <c r="F167" s="91">
        <f>VLOOKUP($A167,'Data Vlaue (Cr)'!$C:$FB,77)</f>
        <v>-29</v>
      </c>
      <c r="G167" s="92">
        <f>VLOOKUP(A167,'Data Vlaue (Cr)'!C162:CB373,78,0)</f>
        <v>-1.8599999999999998E-2</v>
      </c>
      <c r="H167" s="91">
        <f>VLOOKUP($A167,'Data Vlaue (Cr)'!$C:$FB,91)</f>
        <v>1456</v>
      </c>
      <c r="I167" s="91">
        <f>VLOOKUP($A167,'Data Vlaue (Cr)'!$C:$FB,93)</f>
        <v>41</v>
      </c>
      <c r="J167" s="92">
        <f>VLOOKUP($A167,'Data Vlaue (Cr)'!$C:$FB,94)</f>
        <v>2.9100000000000001E-2</v>
      </c>
      <c r="K167" s="91">
        <f>VLOOKUP($A167,'Data Vlaue (Cr)'!$C:$FB,95)</f>
        <v>1099</v>
      </c>
      <c r="L167" s="91">
        <f>VLOOKUP($A167,'Data Vlaue (Cr)'!$C:$FB,97)</f>
        <v>61</v>
      </c>
      <c r="M167" s="92">
        <f>VLOOKUP($A167,'Data Vlaue (Cr)'!$C:$FB,98)</f>
        <v>5.8700000000000002E-2</v>
      </c>
      <c r="N167" s="91">
        <f>VLOOKUP($A167,'Data Vlaue (Cr)'!$C:$FB,79)</f>
        <v>1443</v>
      </c>
      <c r="O167" s="92">
        <f>VLOOKUP($A167,'Data Vlaue (Cr)'!$C:$FB,82)</f>
        <v>-2.2599999999999999E-2</v>
      </c>
    </row>
    <row r="168" spans="1:15" x14ac:dyDescent="0.25">
      <c r="A168" s="97" t="str">
        <f>'Data Vlaue (Cr)'!C163</f>
        <v>POWERGRID</v>
      </c>
      <c r="B168" s="142">
        <f>VLOOKUP(A168,'Data Vlaue (Cr)'!C163:CW374,99,0)</f>
        <v>4218</v>
      </c>
      <c r="C168" s="90">
        <f>VLOOKUP(A168,'Data Vlaue (Cr)'!C163:CY374,101,0)</f>
        <v>57</v>
      </c>
      <c r="D168" s="139">
        <f>VLOOKUP(A168,'Data Vlaue (Cr)'!C163:CZ374,102,0)</f>
        <v>1.3599999999999999E-2</v>
      </c>
      <c r="E168" s="91">
        <f>VLOOKUP($A168,'Data Vlaue (Cr)'!$C:$FB,75)</f>
        <v>2421</v>
      </c>
      <c r="F168" s="91">
        <f>VLOOKUP($A168,'Data Vlaue (Cr)'!$C:$FB,77)</f>
        <v>0</v>
      </c>
      <c r="G168" s="92">
        <f>VLOOKUP(A168,'Data Vlaue (Cr)'!C163:CB374,78,0)</f>
        <v>1E-4</v>
      </c>
      <c r="H168" s="91">
        <f>VLOOKUP($A168,'Data Vlaue (Cr)'!$C:$FB,91)</f>
        <v>1242</v>
      </c>
      <c r="I168" s="91">
        <f>VLOOKUP($A168,'Data Vlaue (Cr)'!$C:$FB,93)</f>
        <v>28</v>
      </c>
      <c r="J168" s="92">
        <f>VLOOKUP($A168,'Data Vlaue (Cr)'!$C:$FB,94)</f>
        <v>2.3300000000000001E-2</v>
      </c>
      <c r="K168" s="91">
        <f>VLOOKUP($A168,'Data Vlaue (Cr)'!$C:$FB,95)</f>
        <v>555</v>
      </c>
      <c r="L168" s="91">
        <f>VLOOKUP($A168,'Data Vlaue (Cr)'!$C:$FB,97)</f>
        <v>28</v>
      </c>
      <c r="M168" s="92">
        <f>VLOOKUP($A168,'Data Vlaue (Cr)'!$C:$FB,98)</f>
        <v>5.3100000000000001E-2</v>
      </c>
      <c r="N168" s="91">
        <f>VLOOKUP($A168,'Data Vlaue (Cr)'!$C:$FB,79)</f>
        <v>2354</v>
      </c>
      <c r="O168" s="92">
        <f>VLOOKUP($A168,'Data Vlaue (Cr)'!$C:$FB,82)</f>
        <v>-5.0000000000000001E-3</v>
      </c>
    </row>
    <row r="169" spans="1:15" x14ac:dyDescent="0.25">
      <c r="A169" s="97" t="str">
        <f>'Data Vlaue (Cr)'!C164</f>
        <v>POWERINDIA</v>
      </c>
      <c r="B169" s="142">
        <f>VLOOKUP(A169,'Data Vlaue (Cr)'!C164:CW375,99,0)</f>
        <v>1762</v>
      </c>
      <c r="C169" s="90">
        <f>VLOOKUP(A169,'Data Vlaue (Cr)'!C164:CY375,101,0)</f>
        <v>64</v>
      </c>
      <c r="D169" s="139">
        <f>VLOOKUP(A169,'Data Vlaue (Cr)'!C164:CZ375,102,0)</f>
        <v>3.7699999999999997E-2</v>
      </c>
      <c r="E169" s="91">
        <f>VLOOKUP($A169,'Data Vlaue (Cr)'!$C:$FB,75)</f>
        <v>779</v>
      </c>
      <c r="F169" s="91">
        <f>VLOOKUP($A169,'Data Vlaue (Cr)'!$C:$FB,77)</f>
        <v>23</v>
      </c>
      <c r="G169" s="92">
        <f>VLOOKUP(A169,'Data Vlaue (Cr)'!C164:CB375,78,0)</f>
        <v>3.04E-2</v>
      </c>
      <c r="H169" s="91">
        <f>VLOOKUP($A169,'Data Vlaue (Cr)'!$C:$FB,91)</f>
        <v>542</v>
      </c>
      <c r="I169" s="91">
        <f>VLOOKUP($A169,'Data Vlaue (Cr)'!$C:$FB,93)</f>
        <v>26</v>
      </c>
      <c r="J169" s="92">
        <f>VLOOKUP($A169,'Data Vlaue (Cr)'!$C:$FB,94)</f>
        <v>5.04E-2</v>
      </c>
      <c r="K169" s="91">
        <f>VLOOKUP($A169,'Data Vlaue (Cr)'!$C:$FB,95)</f>
        <v>441</v>
      </c>
      <c r="L169" s="91">
        <f>VLOOKUP($A169,'Data Vlaue (Cr)'!$C:$FB,97)</f>
        <v>15</v>
      </c>
      <c r="M169" s="92">
        <f>VLOOKUP($A169,'Data Vlaue (Cr)'!$C:$FB,98)</f>
        <v>3.5499999999999997E-2</v>
      </c>
      <c r="N169" s="91">
        <f>VLOOKUP($A169,'Data Vlaue (Cr)'!$C:$FB,79)</f>
        <v>740</v>
      </c>
      <c r="O169" s="92">
        <f>VLOOKUP($A169,'Data Vlaue (Cr)'!$C:$FB,82)</f>
        <v>3.2300000000000002E-2</v>
      </c>
    </row>
    <row r="170" spans="1:15" x14ac:dyDescent="0.25">
      <c r="A170" s="97" t="str">
        <f>'Data Vlaue (Cr)'!C165</f>
        <v>PPLPHARMA</v>
      </c>
      <c r="B170" s="142">
        <f>VLOOKUP(A170,'Data Vlaue (Cr)'!C165:CW376,99,0)</f>
        <v>479</v>
      </c>
      <c r="C170" s="90">
        <f>VLOOKUP(A170,'Data Vlaue (Cr)'!C165:CY376,101,0)</f>
        <v>53</v>
      </c>
      <c r="D170" s="139">
        <f>VLOOKUP(A170,'Data Vlaue (Cr)'!C165:CZ376,102,0)</f>
        <v>0.12540000000000001</v>
      </c>
      <c r="E170" s="91">
        <f>VLOOKUP($A170,'Data Vlaue (Cr)'!$C:$FB,75)</f>
        <v>253</v>
      </c>
      <c r="F170" s="91">
        <f>VLOOKUP($A170,'Data Vlaue (Cr)'!$C:$FB,77)</f>
        <v>4</v>
      </c>
      <c r="G170" s="92">
        <f>VLOOKUP(A170,'Data Vlaue (Cr)'!C165:CB376,78,0)</f>
        <v>1.7600000000000001E-2</v>
      </c>
      <c r="H170" s="91">
        <f>VLOOKUP($A170,'Data Vlaue (Cr)'!$C:$FB,91)</f>
        <v>144</v>
      </c>
      <c r="I170" s="91">
        <f>VLOOKUP($A170,'Data Vlaue (Cr)'!$C:$FB,93)</f>
        <v>31</v>
      </c>
      <c r="J170" s="92">
        <f>VLOOKUP($A170,'Data Vlaue (Cr)'!$C:$FB,94)</f>
        <v>0.27939999999999998</v>
      </c>
      <c r="K170" s="91">
        <f>VLOOKUP($A170,'Data Vlaue (Cr)'!$C:$FB,95)</f>
        <v>81</v>
      </c>
      <c r="L170" s="91">
        <f>VLOOKUP($A170,'Data Vlaue (Cr)'!$C:$FB,97)</f>
        <v>18</v>
      </c>
      <c r="M170" s="92">
        <f>VLOOKUP($A170,'Data Vlaue (Cr)'!$C:$FB,98)</f>
        <v>0.27410000000000001</v>
      </c>
      <c r="N170" s="91">
        <f>VLOOKUP($A170,'Data Vlaue (Cr)'!$C:$FB,79)</f>
        <v>227</v>
      </c>
      <c r="O170" s="92">
        <f>VLOOKUP($A170,'Data Vlaue (Cr)'!$C:$FB,82)</f>
        <v>2.8999999999999998E-3</v>
      </c>
    </row>
    <row r="171" spans="1:15" x14ac:dyDescent="0.25">
      <c r="A171" s="97" t="str">
        <f>'Data Vlaue (Cr)'!C166</f>
        <v>PREMIERENE</v>
      </c>
      <c r="B171" s="142">
        <f>VLOOKUP(A171,'Data Vlaue (Cr)'!C166:CW377,99,0)</f>
        <v>1157</v>
      </c>
      <c r="C171" s="90">
        <f>VLOOKUP(A171,'Data Vlaue (Cr)'!C166:CY377,101,0)</f>
        <v>11</v>
      </c>
      <c r="D171" s="139">
        <f>VLOOKUP(A171,'Data Vlaue (Cr)'!C166:CZ377,102,0)</f>
        <v>9.2999999999999992E-3</v>
      </c>
      <c r="E171" s="91">
        <f>VLOOKUP($A171,'Data Vlaue (Cr)'!$C:$FB,75)</f>
        <v>636</v>
      </c>
      <c r="F171" s="91">
        <f>VLOOKUP($A171,'Data Vlaue (Cr)'!$C:$FB,77)</f>
        <v>3</v>
      </c>
      <c r="G171" s="92">
        <f>VLOOKUP(A171,'Data Vlaue (Cr)'!C166:CB377,78,0)</f>
        <v>4.7000000000000002E-3</v>
      </c>
      <c r="H171" s="91">
        <f>VLOOKUP($A171,'Data Vlaue (Cr)'!$C:$FB,91)</f>
        <v>283</v>
      </c>
      <c r="I171" s="91">
        <f>VLOOKUP($A171,'Data Vlaue (Cr)'!$C:$FB,93)</f>
        <v>2</v>
      </c>
      <c r="J171" s="92">
        <f>VLOOKUP($A171,'Data Vlaue (Cr)'!$C:$FB,94)</f>
        <v>7.7999999999999996E-3</v>
      </c>
      <c r="K171" s="91">
        <f>VLOOKUP($A171,'Data Vlaue (Cr)'!$C:$FB,95)</f>
        <v>237</v>
      </c>
      <c r="L171" s="91">
        <f>VLOOKUP($A171,'Data Vlaue (Cr)'!$C:$FB,97)</f>
        <v>6</v>
      </c>
      <c r="M171" s="92">
        <f>VLOOKUP($A171,'Data Vlaue (Cr)'!$C:$FB,98)</f>
        <v>2.3900000000000001E-2</v>
      </c>
      <c r="N171" s="91">
        <f>VLOOKUP($A171,'Data Vlaue (Cr)'!$C:$FB,79)</f>
        <v>613</v>
      </c>
      <c r="O171" s="92">
        <f>VLOOKUP($A171,'Data Vlaue (Cr)'!$C:$FB,82)</f>
        <v>-4.1999999999999997E-3</v>
      </c>
    </row>
    <row r="172" spans="1:15" x14ac:dyDescent="0.25">
      <c r="A172" s="97" t="str">
        <f>'Data Vlaue (Cr)'!C167</f>
        <v>PRESTIGE</v>
      </c>
      <c r="B172" s="142">
        <f>VLOOKUP(A172,'Data Vlaue (Cr)'!C167:CW378,99,0)</f>
        <v>1042</v>
      </c>
      <c r="C172" s="90">
        <f>VLOOKUP(A172,'Data Vlaue (Cr)'!C167:CY378,101,0)</f>
        <v>9</v>
      </c>
      <c r="D172" s="139">
        <f>VLOOKUP(A172,'Data Vlaue (Cr)'!C167:CZ378,102,0)</f>
        <v>8.6999999999999994E-3</v>
      </c>
      <c r="E172" s="91">
        <f>VLOOKUP($A172,'Data Vlaue (Cr)'!$C:$FB,75)</f>
        <v>725</v>
      </c>
      <c r="F172" s="91">
        <f>VLOOKUP($A172,'Data Vlaue (Cr)'!$C:$FB,77)</f>
        <v>-7</v>
      </c>
      <c r="G172" s="92">
        <f>VLOOKUP(A172,'Data Vlaue (Cr)'!C167:CB378,78,0)</f>
        <v>-8.9999999999999993E-3</v>
      </c>
      <c r="H172" s="91">
        <f>VLOOKUP($A172,'Data Vlaue (Cr)'!$C:$FB,91)</f>
        <v>175</v>
      </c>
      <c r="I172" s="91">
        <f>VLOOKUP($A172,'Data Vlaue (Cr)'!$C:$FB,93)</f>
        <v>5</v>
      </c>
      <c r="J172" s="92">
        <f>VLOOKUP($A172,'Data Vlaue (Cr)'!$C:$FB,94)</f>
        <v>2.7099999999999999E-2</v>
      </c>
      <c r="K172" s="91">
        <f>VLOOKUP($A172,'Data Vlaue (Cr)'!$C:$FB,95)</f>
        <v>142</v>
      </c>
      <c r="L172" s="91">
        <f>VLOOKUP($A172,'Data Vlaue (Cr)'!$C:$FB,97)</f>
        <v>11</v>
      </c>
      <c r="M172" s="92">
        <f>VLOOKUP($A172,'Data Vlaue (Cr)'!$C:$FB,98)</f>
        <v>8.3299999999999999E-2</v>
      </c>
      <c r="N172" s="91">
        <f>VLOOKUP($A172,'Data Vlaue (Cr)'!$C:$FB,79)</f>
        <v>713</v>
      </c>
      <c r="O172" s="92">
        <f>VLOOKUP($A172,'Data Vlaue (Cr)'!$C:$FB,82)</f>
        <v>-7.7999999999999996E-3</v>
      </c>
    </row>
    <row r="173" spans="1:15" x14ac:dyDescent="0.25">
      <c r="A173" s="97" t="str">
        <f>'Data Vlaue (Cr)'!C168</f>
        <v>RBLBANK</v>
      </c>
      <c r="B173" s="142">
        <f>VLOOKUP(A173,'Data Vlaue (Cr)'!C168:CW379,99,0)</f>
        <v>3690</v>
      </c>
      <c r="C173" s="90">
        <f>VLOOKUP(A173,'Data Vlaue (Cr)'!C168:CY379,101,0)</f>
        <v>96</v>
      </c>
      <c r="D173" s="139">
        <f>VLOOKUP(A173,'Data Vlaue (Cr)'!C168:CZ379,102,0)</f>
        <v>2.6800000000000001E-2</v>
      </c>
      <c r="E173" s="91">
        <f>VLOOKUP($A173,'Data Vlaue (Cr)'!$C:$FB,75)</f>
        <v>2008</v>
      </c>
      <c r="F173" s="91">
        <f>VLOOKUP($A173,'Data Vlaue (Cr)'!$C:$FB,77)</f>
        <v>25</v>
      </c>
      <c r="G173" s="92">
        <f>VLOOKUP(A173,'Data Vlaue (Cr)'!C168:CB379,78,0)</f>
        <v>1.24E-2</v>
      </c>
      <c r="H173" s="91">
        <f>VLOOKUP($A173,'Data Vlaue (Cr)'!$C:$FB,91)</f>
        <v>774</v>
      </c>
      <c r="I173" s="91">
        <f>VLOOKUP($A173,'Data Vlaue (Cr)'!$C:$FB,93)</f>
        <v>17</v>
      </c>
      <c r="J173" s="92">
        <f>VLOOKUP($A173,'Data Vlaue (Cr)'!$C:$FB,94)</f>
        <v>2.24E-2</v>
      </c>
      <c r="K173" s="91">
        <f>VLOOKUP($A173,'Data Vlaue (Cr)'!$C:$FB,95)</f>
        <v>908</v>
      </c>
      <c r="L173" s="91">
        <f>VLOOKUP($A173,'Data Vlaue (Cr)'!$C:$FB,97)</f>
        <v>55</v>
      </c>
      <c r="M173" s="92">
        <f>VLOOKUP($A173,'Data Vlaue (Cr)'!$C:$FB,98)</f>
        <v>6.4399999999999999E-2</v>
      </c>
      <c r="N173" s="91">
        <f>VLOOKUP($A173,'Data Vlaue (Cr)'!$C:$FB,79)</f>
        <v>1836</v>
      </c>
      <c r="O173" s="92">
        <f>VLOOKUP($A173,'Data Vlaue (Cr)'!$C:$FB,82)</f>
        <v>1.2500000000000001E-2</v>
      </c>
    </row>
    <row r="174" spans="1:15" x14ac:dyDescent="0.25">
      <c r="A174" s="97" t="str">
        <f>'Data Vlaue (Cr)'!C169</f>
        <v>RECLTD</v>
      </c>
      <c r="B174" s="142">
        <f>VLOOKUP(A174,'Data Vlaue (Cr)'!C169:CW380,99,0)</f>
        <v>4712</v>
      </c>
      <c r="C174" s="90">
        <f>VLOOKUP(A174,'Data Vlaue (Cr)'!C169:CY380,101,0)</f>
        <v>45</v>
      </c>
      <c r="D174" s="139">
        <f>VLOOKUP(A174,'Data Vlaue (Cr)'!C169:CZ380,102,0)</f>
        <v>9.7000000000000003E-3</v>
      </c>
      <c r="E174" s="91">
        <f>VLOOKUP($A174,'Data Vlaue (Cr)'!$C:$FB,75)</f>
        <v>2640</v>
      </c>
      <c r="F174" s="91">
        <f>VLOOKUP($A174,'Data Vlaue (Cr)'!$C:$FB,77)</f>
        <v>-31</v>
      </c>
      <c r="G174" s="92">
        <f>VLOOKUP(A174,'Data Vlaue (Cr)'!C169:CB380,78,0)</f>
        <v>-1.17E-2</v>
      </c>
      <c r="H174" s="91">
        <f>VLOOKUP($A174,'Data Vlaue (Cr)'!$C:$FB,91)</f>
        <v>1025</v>
      </c>
      <c r="I174" s="91">
        <f>VLOOKUP($A174,'Data Vlaue (Cr)'!$C:$FB,93)</f>
        <v>35</v>
      </c>
      <c r="J174" s="92">
        <f>VLOOKUP($A174,'Data Vlaue (Cr)'!$C:$FB,94)</f>
        <v>3.5299999999999998E-2</v>
      </c>
      <c r="K174" s="91">
        <f>VLOOKUP($A174,'Data Vlaue (Cr)'!$C:$FB,95)</f>
        <v>1047</v>
      </c>
      <c r="L174" s="91">
        <f>VLOOKUP($A174,'Data Vlaue (Cr)'!$C:$FB,97)</f>
        <v>42</v>
      </c>
      <c r="M174" s="92">
        <f>VLOOKUP($A174,'Data Vlaue (Cr)'!$C:$FB,98)</f>
        <v>4.1399999999999999E-2</v>
      </c>
      <c r="N174" s="91">
        <f>VLOOKUP($A174,'Data Vlaue (Cr)'!$C:$FB,79)</f>
        <v>2404</v>
      </c>
      <c r="O174" s="92">
        <f>VLOOKUP($A174,'Data Vlaue (Cr)'!$C:$FB,82)</f>
        <v>-1.24E-2</v>
      </c>
    </row>
    <row r="175" spans="1:15" x14ac:dyDescent="0.25">
      <c r="A175" s="97" t="str">
        <f>'Data Vlaue (Cr)'!C170</f>
        <v>RELIANCE</v>
      </c>
      <c r="B175" s="142">
        <f>VLOOKUP(A175,'Data Vlaue (Cr)'!C170:CW381,99,0)</f>
        <v>31572</v>
      </c>
      <c r="C175" s="90">
        <f>VLOOKUP(A175,'Data Vlaue (Cr)'!C170:CY381,101,0)</f>
        <v>941</v>
      </c>
      <c r="D175" s="139">
        <f>VLOOKUP(A175,'Data Vlaue (Cr)'!C170:CZ381,102,0)</f>
        <v>3.0700000000000002E-2</v>
      </c>
      <c r="E175" s="91">
        <f>VLOOKUP($A175,'Data Vlaue (Cr)'!$C:$FB,75)</f>
        <v>14734</v>
      </c>
      <c r="F175" s="91">
        <f>VLOOKUP($A175,'Data Vlaue (Cr)'!$C:$FB,77)</f>
        <v>160</v>
      </c>
      <c r="G175" s="92">
        <f>VLOOKUP(A175,'Data Vlaue (Cr)'!C170:CB381,78,0)</f>
        <v>1.09E-2</v>
      </c>
      <c r="H175" s="91">
        <f>VLOOKUP($A175,'Data Vlaue (Cr)'!$C:$FB,91)</f>
        <v>11868</v>
      </c>
      <c r="I175" s="91">
        <f>VLOOKUP($A175,'Data Vlaue (Cr)'!$C:$FB,93)</f>
        <v>452</v>
      </c>
      <c r="J175" s="92">
        <f>VLOOKUP($A175,'Data Vlaue (Cr)'!$C:$FB,94)</f>
        <v>3.9600000000000003E-2</v>
      </c>
      <c r="K175" s="91">
        <f>VLOOKUP($A175,'Data Vlaue (Cr)'!$C:$FB,95)</f>
        <v>4970</v>
      </c>
      <c r="L175" s="91">
        <f>VLOOKUP($A175,'Data Vlaue (Cr)'!$C:$FB,97)</f>
        <v>329</v>
      </c>
      <c r="M175" s="92">
        <f>VLOOKUP($A175,'Data Vlaue (Cr)'!$C:$FB,98)</f>
        <v>7.0800000000000002E-2</v>
      </c>
      <c r="N175" s="91">
        <f>VLOOKUP($A175,'Data Vlaue (Cr)'!$C:$FB,79)</f>
        <v>13814</v>
      </c>
      <c r="O175" s="92">
        <f>VLOOKUP($A175,'Data Vlaue (Cr)'!$C:$FB,82)</f>
        <v>8.3999999999999995E-3</v>
      </c>
    </row>
    <row r="176" spans="1:15" x14ac:dyDescent="0.25">
      <c r="A176" s="97" t="str">
        <f>'Data Vlaue (Cr)'!C171</f>
        <v>RVNL</v>
      </c>
      <c r="B176" s="142">
        <f>VLOOKUP(A176,'Data Vlaue (Cr)'!C171:CW382,99,0)</f>
        <v>3118</v>
      </c>
      <c r="C176" s="90">
        <f>VLOOKUP(A176,'Data Vlaue (Cr)'!C171:CY382,101,0)</f>
        <v>-23</v>
      </c>
      <c r="D176" s="139">
        <f>VLOOKUP(A176,'Data Vlaue (Cr)'!C171:CZ382,102,0)</f>
        <v>-7.3000000000000001E-3</v>
      </c>
      <c r="E176" s="91">
        <f>VLOOKUP($A176,'Data Vlaue (Cr)'!$C:$FB,75)</f>
        <v>1773</v>
      </c>
      <c r="F176" s="91">
        <f>VLOOKUP($A176,'Data Vlaue (Cr)'!$C:$FB,77)</f>
        <v>14</v>
      </c>
      <c r="G176" s="92">
        <f>VLOOKUP(A176,'Data Vlaue (Cr)'!C171:CB382,78,0)</f>
        <v>8.0999999999999996E-3</v>
      </c>
      <c r="H176" s="91">
        <f>VLOOKUP($A176,'Data Vlaue (Cr)'!$C:$FB,91)</f>
        <v>893</v>
      </c>
      <c r="I176" s="91">
        <f>VLOOKUP($A176,'Data Vlaue (Cr)'!$C:$FB,93)</f>
        <v>-15</v>
      </c>
      <c r="J176" s="92">
        <f>VLOOKUP($A176,'Data Vlaue (Cr)'!$C:$FB,94)</f>
        <v>-1.6500000000000001E-2</v>
      </c>
      <c r="K176" s="91">
        <f>VLOOKUP($A176,'Data Vlaue (Cr)'!$C:$FB,95)</f>
        <v>451</v>
      </c>
      <c r="L176" s="91">
        <f>VLOOKUP($A176,'Data Vlaue (Cr)'!$C:$FB,97)</f>
        <v>-22</v>
      </c>
      <c r="M176" s="92">
        <f>VLOOKUP($A176,'Data Vlaue (Cr)'!$C:$FB,98)</f>
        <v>-4.6899999999999997E-2</v>
      </c>
      <c r="N176" s="91">
        <f>VLOOKUP($A176,'Data Vlaue (Cr)'!$C:$FB,79)</f>
        <v>1469</v>
      </c>
      <c r="O176" s="92">
        <f>VLOOKUP($A176,'Data Vlaue (Cr)'!$C:$FB,82)</f>
        <v>-2.9499999999999998E-2</v>
      </c>
    </row>
    <row r="177" spans="1:15" x14ac:dyDescent="0.25">
      <c r="A177" s="97" t="str">
        <f>'Data Vlaue (Cr)'!C172</f>
        <v>SAIL</v>
      </c>
      <c r="B177" s="142">
        <f>VLOOKUP(A177,'Data Vlaue (Cr)'!C172:CW383,99,0)</f>
        <v>3761</v>
      </c>
      <c r="C177" s="90">
        <f>VLOOKUP(A177,'Data Vlaue (Cr)'!C172:CY383,101,0)</f>
        <v>-14</v>
      </c>
      <c r="D177" s="139">
        <f>VLOOKUP(A177,'Data Vlaue (Cr)'!C172:CZ383,102,0)</f>
        <v>-3.7000000000000002E-3</v>
      </c>
      <c r="E177" s="91">
        <f>VLOOKUP($A177,'Data Vlaue (Cr)'!$C:$FB,75)</f>
        <v>3188</v>
      </c>
      <c r="F177" s="91">
        <f>VLOOKUP($A177,'Data Vlaue (Cr)'!$C:$FB,77)</f>
        <v>-13</v>
      </c>
      <c r="G177" s="92">
        <f>VLOOKUP(A177,'Data Vlaue (Cr)'!C172:CB383,78,0)</f>
        <v>-4.0000000000000001E-3</v>
      </c>
      <c r="H177" s="91">
        <f>VLOOKUP($A177,'Data Vlaue (Cr)'!$C:$FB,91)</f>
        <v>342</v>
      </c>
      <c r="I177" s="91">
        <f>VLOOKUP($A177,'Data Vlaue (Cr)'!$C:$FB,93)</f>
        <v>-1</v>
      </c>
      <c r="J177" s="92">
        <f>VLOOKUP($A177,'Data Vlaue (Cr)'!$C:$FB,94)</f>
        <v>-2.3E-3</v>
      </c>
      <c r="K177" s="91">
        <f>VLOOKUP($A177,'Data Vlaue (Cr)'!$C:$FB,95)</f>
        <v>231</v>
      </c>
      <c r="L177" s="91">
        <f>VLOOKUP($A177,'Data Vlaue (Cr)'!$C:$FB,97)</f>
        <v>0</v>
      </c>
      <c r="M177" s="92">
        <f>VLOOKUP($A177,'Data Vlaue (Cr)'!$C:$FB,98)</f>
        <v>-1.6000000000000001E-3</v>
      </c>
      <c r="N177" s="91">
        <f>VLOOKUP($A177,'Data Vlaue (Cr)'!$C:$FB,79)</f>
        <v>2682</v>
      </c>
      <c r="O177" s="92">
        <f>VLOOKUP($A177,'Data Vlaue (Cr)'!$C:$FB,82)</f>
        <v>-5.3E-3</v>
      </c>
    </row>
    <row r="178" spans="1:15" x14ac:dyDescent="0.25">
      <c r="A178" s="97" t="str">
        <f>'Data Vlaue (Cr)'!C173</f>
        <v>SAMMAANCAP</v>
      </c>
      <c r="B178" s="142">
        <f>VLOOKUP(A178,'Data Vlaue (Cr)'!C173:CW384,99,0)</f>
        <v>2053</v>
      </c>
      <c r="C178" s="90">
        <f>VLOOKUP(A178,'Data Vlaue (Cr)'!C173:CY384,101,0)</f>
        <v>-6</v>
      </c>
      <c r="D178" s="139">
        <f>VLOOKUP(A178,'Data Vlaue (Cr)'!C173:CZ384,102,0)</f>
        <v>-3.0000000000000001E-3</v>
      </c>
      <c r="E178" s="91">
        <f>VLOOKUP($A178,'Data Vlaue (Cr)'!$C:$FB,75)</f>
        <v>1577</v>
      </c>
      <c r="F178" s="91">
        <f>VLOOKUP($A178,'Data Vlaue (Cr)'!$C:$FB,77)</f>
        <v>-5</v>
      </c>
      <c r="G178" s="92">
        <f>VLOOKUP(A178,'Data Vlaue (Cr)'!C173:CB384,78,0)</f>
        <v>-3.2000000000000002E-3</v>
      </c>
      <c r="H178" s="91">
        <f>VLOOKUP($A178,'Data Vlaue (Cr)'!$C:$FB,91)</f>
        <v>330</v>
      </c>
      <c r="I178" s="91">
        <f>VLOOKUP($A178,'Data Vlaue (Cr)'!$C:$FB,93)</f>
        <v>-1</v>
      </c>
      <c r="J178" s="92">
        <f>VLOOKUP($A178,'Data Vlaue (Cr)'!$C:$FB,94)</f>
        <v>-3.5000000000000001E-3</v>
      </c>
      <c r="K178" s="91">
        <f>VLOOKUP($A178,'Data Vlaue (Cr)'!$C:$FB,95)</f>
        <v>146</v>
      </c>
      <c r="L178" s="91">
        <f>VLOOKUP($A178,'Data Vlaue (Cr)'!$C:$FB,97)</f>
        <v>0</v>
      </c>
      <c r="M178" s="92">
        <f>VLOOKUP($A178,'Data Vlaue (Cr)'!$C:$FB,98)</f>
        <v>0</v>
      </c>
      <c r="N178" s="91">
        <f>VLOOKUP($A178,'Data Vlaue (Cr)'!$C:$FB,79)</f>
        <v>1513</v>
      </c>
      <c r="O178" s="92">
        <f>VLOOKUP($A178,'Data Vlaue (Cr)'!$C:$FB,82)</f>
        <v>-3.3E-3</v>
      </c>
    </row>
    <row r="179" spans="1:15" x14ac:dyDescent="0.25">
      <c r="A179" s="97" t="str">
        <f>'Data Vlaue (Cr)'!C174</f>
        <v>SBICARD</v>
      </c>
      <c r="B179" s="142">
        <f>VLOOKUP(A179,'Data Vlaue (Cr)'!C174:CW385,99,0)</f>
        <v>2721</v>
      </c>
      <c r="C179" s="90">
        <f>VLOOKUP(A179,'Data Vlaue (Cr)'!C174:CY385,101,0)</f>
        <v>61</v>
      </c>
      <c r="D179" s="139">
        <f>VLOOKUP(A179,'Data Vlaue (Cr)'!C174:CZ385,102,0)</f>
        <v>2.3E-2</v>
      </c>
      <c r="E179" s="91">
        <f>VLOOKUP($A179,'Data Vlaue (Cr)'!$C:$FB,75)</f>
        <v>1800</v>
      </c>
      <c r="F179" s="91">
        <f>VLOOKUP($A179,'Data Vlaue (Cr)'!$C:$FB,77)</f>
        <v>54</v>
      </c>
      <c r="G179" s="92">
        <f>VLOOKUP(A179,'Data Vlaue (Cr)'!C174:CB385,78,0)</f>
        <v>3.0800000000000001E-2</v>
      </c>
      <c r="H179" s="91">
        <f>VLOOKUP($A179,'Data Vlaue (Cr)'!$C:$FB,91)</f>
        <v>574</v>
      </c>
      <c r="I179" s="91">
        <f>VLOOKUP($A179,'Data Vlaue (Cr)'!$C:$FB,93)</f>
        <v>3</v>
      </c>
      <c r="J179" s="92">
        <f>VLOOKUP($A179,'Data Vlaue (Cr)'!$C:$FB,94)</f>
        <v>5.4999999999999997E-3</v>
      </c>
      <c r="K179" s="91">
        <f>VLOOKUP($A179,'Data Vlaue (Cr)'!$C:$FB,95)</f>
        <v>346</v>
      </c>
      <c r="L179" s="91">
        <f>VLOOKUP($A179,'Data Vlaue (Cr)'!$C:$FB,97)</f>
        <v>4</v>
      </c>
      <c r="M179" s="92">
        <f>VLOOKUP($A179,'Data Vlaue (Cr)'!$C:$FB,98)</f>
        <v>1.2699999999999999E-2</v>
      </c>
      <c r="N179" s="91">
        <f>VLOOKUP($A179,'Data Vlaue (Cr)'!$C:$FB,79)</f>
        <v>1563</v>
      </c>
      <c r="O179" s="92">
        <f>VLOOKUP($A179,'Data Vlaue (Cr)'!$C:$FB,82)</f>
        <v>1.38E-2</v>
      </c>
    </row>
    <row r="180" spans="1:15" x14ac:dyDescent="0.25">
      <c r="A180" s="97" t="str">
        <f>'Data Vlaue (Cr)'!C175</f>
        <v>SBILIFE</v>
      </c>
      <c r="B180" s="142">
        <f>VLOOKUP(A180,'Data Vlaue (Cr)'!C175:CW386,99,0)</f>
        <v>2820</v>
      </c>
      <c r="C180" s="90">
        <f>VLOOKUP(A180,'Data Vlaue (Cr)'!C175:CY386,101,0)</f>
        <v>5</v>
      </c>
      <c r="D180" s="139">
        <f>VLOOKUP(A180,'Data Vlaue (Cr)'!C175:CZ386,102,0)</f>
        <v>1.8E-3</v>
      </c>
      <c r="E180" s="91">
        <f>VLOOKUP($A180,'Data Vlaue (Cr)'!$C:$FB,75)</f>
        <v>1737</v>
      </c>
      <c r="F180" s="91">
        <f>VLOOKUP($A180,'Data Vlaue (Cr)'!$C:$FB,77)</f>
        <v>-34</v>
      </c>
      <c r="G180" s="92">
        <f>VLOOKUP(A180,'Data Vlaue (Cr)'!C175:CB386,78,0)</f>
        <v>-1.9300000000000001E-2</v>
      </c>
      <c r="H180" s="91">
        <f>VLOOKUP($A180,'Data Vlaue (Cr)'!$C:$FB,91)</f>
        <v>745</v>
      </c>
      <c r="I180" s="91">
        <f>VLOOKUP($A180,'Data Vlaue (Cr)'!$C:$FB,93)</f>
        <v>28</v>
      </c>
      <c r="J180" s="92">
        <f>VLOOKUP($A180,'Data Vlaue (Cr)'!$C:$FB,94)</f>
        <v>3.95E-2</v>
      </c>
      <c r="K180" s="91">
        <f>VLOOKUP($A180,'Data Vlaue (Cr)'!$C:$FB,95)</f>
        <v>338</v>
      </c>
      <c r="L180" s="91">
        <f>VLOOKUP($A180,'Data Vlaue (Cr)'!$C:$FB,97)</f>
        <v>11</v>
      </c>
      <c r="M180" s="92">
        <f>VLOOKUP($A180,'Data Vlaue (Cr)'!$C:$FB,98)</f>
        <v>3.3799999999999997E-2</v>
      </c>
      <c r="N180" s="91">
        <f>VLOOKUP($A180,'Data Vlaue (Cr)'!$C:$FB,79)</f>
        <v>1706</v>
      </c>
      <c r="O180" s="92">
        <f>VLOOKUP($A180,'Data Vlaue (Cr)'!$C:$FB,82)</f>
        <v>-2.0299999999999999E-2</v>
      </c>
    </row>
    <row r="181" spans="1:15" x14ac:dyDescent="0.25">
      <c r="A181" s="97" t="str">
        <f>'Data Vlaue (Cr)'!C176</f>
        <v>SBIN</v>
      </c>
      <c r="B181" s="142">
        <f>VLOOKUP(A181,'Data Vlaue (Cr)'!C176:CW387,99,0)</f>
        <v>18183</v>
      </c>
      <c r="C181" s="90">
        <f>VLOOKUP(A181,'Data Vlaue (Cr)'!C176:CY387,101,0)</f>
        <v>688</v>
      </c>
      <c r="D181" s="139">
        <f>VLOOKUP(A181,'Data Vlaue (Cr)'!C176:CZ387,102,0)</f>
        <v>3.9300000000000002E-2</v>
      </c>
      <c r="E181" s="91">
        <f>VLOOKUP($A181,'Data Vlaue (Cr)'!$C:$FB,75)</f>
        <v>8221</v>
      </c>
      <c r="F181" s="91">
        <f>VLOOKUP($A181,'Data Vlaue (Cr)'!$C:$FB,77)</f>
        <v>303</v>
      </c>
      <c r="G181" s="92">
        <f>VLOOKUP(A181,'Data Vlaue (Cr)'!C176:CB387,78,0)</f>
        <v>3.8300000000000001E-2</v>
      </c>
      <c r="H181" s="91">
        <f>VLOOKUP($A181,'Data Vlaue (Cr)'!$C:$FB,91)</f>
        <v>6165</v>
      </c>
      <c r="I181" s="91">
        <f>VLOOKUP($A181,'Data Vlaue (Cr)'!$C:$FB,93)</f>
        <v>417</v>
      </c>
      <c r="J181" s="92">
        <f>VLOOKUP($A181,'Data Vlaue (Cr)'!$C:$FB,94)</f>
        <v>7.2499999999999995E-2</v>
      </c>
      <c r="K181" s="91">
        <f>VLOOKUP($A181,'Data Vlaue (Cr)'!$C:$FB,95)</f>
        <v>3797</v>
      </c>
      <c r="L181" s="91">
        <f>VLOOKUP($A181,'Data Vlaue (Cr)'!$C:$FB,97)</f>
        <v>-31</v>
      </c>
      <c r="M181" s="92">
        <f>VLOOKUP($A181,'Data Vlaue (Cr)'!$C:$FB,98)</f>
        <v>-8.2000000000000007E-3</v>
      </c>
      <c r="N181" s="91">
        <f>VLOOKUP($A181,'Data Vlaue (Cr)'!$C:$FB,79)</f>
        <v>7514</v>
      </c>
      <c r="O181" s="92">
        <f>VLOOKUP($A181,'Data Vlaue (Cr)'!$C:$FB,82)</f>
        <v>2.7400000000000001E-2</v>
      </c>
    </row>
    <row r="182" spans="1:15" x14ac:dyDescent="0.25">
      <c r="A182" s="97" t="str">
        <f>'Data Vlaue (Cr)'!C177</f>
        <v>SHREECEM</v>
      </c>
      <c r="B182" s="142">
        <f>VLOOKUP(A182,'Data Vlaue (Cr)'!C177:CW388,99,0)</f>
        <v>1315</v>
      </c>
      <c r="C182" s="90">
        <f>VLOOKUP(A182,'Data Vlaue (Cr)'!C177:CY388,101,0)</f>
        <v>16</v>
      </c>
      <c r="D182" s="139">
        <f>VLOOKUP(A182,'Data Vlaue (Cr)'!C177:CZ388,102,0)</f>
        <v>1.24E-2</v>
      </c>
      <c r="E182" s="91">
        <f>VLOOKUP($A182,'Data Vlaue (Cr)'!$C:$FB,75)</f>
        <v>949</v>
      </c>
      <c r="F182" s="91">
        <f>VLOOKUP($A182,'Data Vlaue (Cr)'!$C:$FB,77)</f>
        <v>3</v>
      </c>
      <c r="G182" s="92">
        <f>VLOOKUP(A182,'Data Vlaue (Cr)'!C177:CB388,78,0)</f>
        <v>2.8999999999999998E-3</v>
      </c>
      <c r="H182" s="91">
        <f>VLOOKUP($A182,'Data Vlaue (Cr)'!$C:$FB,91)</f>
        <v>215</v>
      </c>
      <c r="I182" s="91">
        <f>VLOOKUP($A182,'Data Vlaue (Cr)'!$C:$FB,93)</f>
        <v>3</v>
      </c>
      <c r="J182" s="92">
        <f>VLOOKUP($A182,'Data Vlaue (Cr)'!$C:$FB,94)</f>
        <v>1.5299999999999999E-2</v>
      </c>
      <c r="K182" s="91">
        <f>VLOOKUP($A182,'Data Vlaue (Cr)'!$C:$FB,95)</f>
        <v>151</v>
      </c>
      <c r="L182" s="91">
        <f>VLOOKUP($A182,'Data Vlaue (Cr)'!$C:$FB,97)</f>
        <v>10</v>
      </c>
      <c r="M182" s="92">
        <f>VLOOKUP($A182,'Data Vlaue (Cr)'!$C:$FB,98)</f>
        <v>7.1499999999999994E-2</v>
      </c>
      <c r="N182" s="91">
        <f>VLOOKUP($A182,'Data Vlaue (Cr)'!$C:$FB,79)</f>
        <v>840</v>
      </c>
      <c r="O182" s="92">
        <f>VLOOKUP($A182,'Data Vlaue (Cr)'!$C:$FB,82)</f>
        <v>-1.03E-2</v>
      </c>
    </row>
    <row r="183" spans="1:15" x14ac:dyDescent="0.25">
      <c r="A183" s="97" t="str">
        <f>'Data Vlaue (Cr)'!C178</f>
        <v>SHRIRAMFIN</v>
      </c>
      <c r="B183" s="142">
        <f>VLOOKUP(A183,'Data Vlaue (Cr)'!C178:CW389,99,0)</f>
        <v>6567</v>
      </c>
      <c r="C183" s="90">
        <f>VLOOKUP(A183,'Data Vlaue (Cr)'!C178:CY389,101,0)</f>
        <v>151</v>
      </c>
      <c r="D183" s="139">
        <f>VLOOKUP(A183,'Data Vlaue (Cr)'!C178:CZ389,102,0)</f>
        <v>2.35E-2</v>
      </c>
      <c r="E183" s="91">
        <f>VLOOKUP($A183,'Data Vlaue (Cr)'!$C:$FB,75)</f>
        <v>4169</v>
      </c>
      <c r="F183" s="91">
        <f>VLOOKUP($A183,'Data Vlaue (Cr)'!$C:$FB,77)</f>
        <v>51</v>
      </c>
      <c r="G183" s="92">
        <f>VLOOKUP(A183,'Data Vlaue (Cr)'!C178:CB389,78,0)</f>
        <v>1.23E-2</v>
      </c>
      <c r="H183" s="91">
        <f>VLOOKUP($A183,'Data Vlaue (Cr)'!$C:$FB,91)</f>
        <v>1288</v>
      </c>
      <c r="I183" s="91">
        <f>VLOOKUP($A183,'Data Vlaue (Cr)'!$C:$FB,93)</f>
        <v>47</v>
      </c>
      <c r="J183" s="92">
        <f>VLOOKUP($A183,'Data Vlaue (Cr)'!$C:$FB,94)</f>
        <v>3.7900000000000003E-2</v>
      </c>
      <c r="K183" s="91">
        <f>VLOOKUP($A183,'Data Vlaue (Cr)'!$C:$FB,95)</f>
        <v>1109</v>
      </c>
      <c r="L183" s="91">
        <f>VLOOKUP($A183,'Data Vlaue (Cr)'!$C:$FB,97)</f>
        <v>53</v>
      </c>
      <c r="M183" s="92">
        <f>VLOOKUP($A183,'Data Vlaue (Cr)'!$C:$FB,98)</f>
        <v>5.0299999999999997E-2</v>
      </c>
      <c r="N183" s="91">
        <f>VLOOKUP($A183,'Data Vlaue (Cr)'!$C:$FB,79)</f>
        <v>3978</v>
      </c>
      <c r="O183" s="92">
        <f>VLOOKUP($A183,'Data Vlaue (Cr)'!$C:$FB,82)</f>
        <v>1.0699999999999999E-2</v>
      </c>
    </row>
    <row r="184" spans="1:15" x14ac:dyDescent="0.25">
      <c r="A184" s="97" t="str">
        <f>'Data Vlaue (Cr)'!C179</f>
        <v>SIEMENS</v>
      </c>
      <c r="B184" s="142">
        <f>VLOOKUP(A184,'Data Vlaue (Cr)'!C179:CW390,99,0)</f>
        <v>1624</v>
      </c>
      <c r="C184" s="90">
        <f>VLOOKUP(A184,'Data Vlaue (Cr)'!C179:CY390,101,0)</f>
        <v>12</v>
      </c>
      <c r="D184" s="139">
        <f>VLOOKUP(A184,'Data Vlaue (Cr)'!C179:CZ390,102,0)</f>
        <v>7.4999999999999997E-3</v>
      </c>
      <c r="E184" s="91">
        <f>VLOOKUP($A184,'Data Vlaue (Cr)'!$C:$FB,75)</f>
        <v>832</v>
      </c>
      <c r="F184" s="91">
        <f>VLOOKUP($A184,'Data Vlaue (Cr)'!$C:$FB,77)</f>
        <v>11</v>
      </c>
      <c r="G184" s="92">
        <f>VLOOKUP(A184,'Data Vlaue (Cr)'!C179:CB390,78,0)</f>
        <v>1.3599999999999999E-2</v>
      </c>
      <c r="H184" s="91">
        <f>VLOOKUP($A184,'Data Vlaue (Cr)'!$C:$FB,91)</f>
        <v>524</v>
      </c>
      <c r="I184" s="91">
        <f>VLOOKUP($A184,'Data Vlaue (Cr)'!$C:$FB,93)</f>
        <v>13</v>
      </c>
      <c r="J184" s="92">
        <f>VLOOKUP($A184,'Data Vlaue (Cr)'!$C:$FB,94)</f>
        <v>2.4899999999999999E-2</v>
      </c>
      <c r="K184" s="91">
        <f>VLOOKUP($A184,'Data Vlaue (Cr)'!$C:$FB,95)</f>
        <v>268</v>
      </c>
      <c r="L184" s="91">
        <f>VLOOKUP($A184,'Data Vlaue (Cr)'!$C:$FB,97)</f>
        <v>-12</v>
      </c>
      <c r="M184" s="92">
        <f>VLOOKUP($A184,'Data Vlaue (Cr)'!$C:$FB,98)</f>
        <v>-4.19E-2</v>
      </c>
      <c r="N184" s="91">
        <f>VLOOKUP($A184,'Data Vlaue (Cr)'!$C:$FB,79)</f>
        <v>810</v>
      </c>
      <c r="O184" s="92">
        <f>VLOOKUP($A184,'Data Vlaue (Cr)'!$C:$FB,82)</f>
        <v>1.2E-2</v>
      </c>
    </row>
    <row r="185" spans="1:15" x14ac:dyDescent="0.25">
      <c r="A185" s="97" t="str">
        <f>'Data Vlaue (Cr)'!C180</f>
        <v>SOLARINDS</v>
      </c>
      <c r="B185" s="142">
        <f>VLOOKUP(A185,'Data Vlaue (Cr)'!C180:CW391,99,0)</f>
        <v>2017</v>
      </c>
      <c r="C185" s="90">
        <f>VLOOKUP(A185,'Data Vlaue (Cr)'!C180:CY391,101,0)</f>
        <v>-15</v>
      </c>
      <c r="D185" s="139">
        <f>VLOOKUP(A185,'Data Vlaue (Cr)'!C180:CZ391,102,0)</f>
        <v>-7.6E-3</v>
      </c>
      <c r="E185" s="91">
        <f>VLOOKUP($A185,'Data Vlaue (Cr)'!$C:$FB,75)</f>
        <v>999</v>
      </c>
      <c r="F185" s="91">
        <f>VLOOKUP($A185,'Data Vlaue (Cr)'!$C:$FB,77)</f>
        <v>-20</v>
      </c>
      <c r="G185" s="92">
        <f>VLOOKUP(A185,'Data Vlaue (Cr)'!C180:CB391,78,0)</f>
        <v>-1.9300000000000001E-2</v>
      </c>
      <c r="H185" s="91">
        <f>VLOOKUP($A185,'Data Vlaue (Cr)'!$C:$FB,91)</f>
        <v>589</v>
      </c>
      <c r="I185" s="91">
        <f>VLOOKUP($A185,'Data Vlaue (Cr)'!$C:$FB,93)</f>
        <v>-9</v>
      </c>
      <c r="J185" s="92">
        <f>VLOOKUP($A185,'Data Vlaue (Cr)'!$C:$FB,94)</f>
        <v>-1.4999999999999999E-2</v>
      </c>
      <c r="K185" s="91">
        <f>VLOOKUP($A185,'Data Vlaue (Cr)'!$C:$FB,95)</f>
        <v>429</v>
      </c>
      <c r="L185" s="91">
        <f>VLOOKUP($A185,'Data Vlaue (Cr)'!$C:$FB,97)</f>
        <v>13</v>
      </c>
      <c r="M185" s="92">
        <f>VLOOKUP($A185,'Data Vlaue (Cr)'!$C:$FB,98)</f>
        <v>3.15E-2</v>
      </c>
      <c r="N185" s="91">
        <f>VLOOKUP($A185,'Data Vlaue (Cr)'!$C:$FB,79)</f>
        <v>880</v>
      </c>
      <c r="O185" s="92">
        <f>VLOOKUP($A185,'Data Vlaue (Cr)'!$C:$FB,82)</f>
        <v>-2.4299999999999999E-2</v>
      </c>
    </row>
    <row r="186" spans="1:15" x14ac:dyDescent="0.25">
      <c r="A186" s="97" t="str">
        <f>'Data Vlaue (Cr)'!C181</f>
        <v>SONACOMS</v>
      </c>
      <c r="B186" s="142">
        <f>VLOOKUP(A186,'Data Vlaue (Cr)'!C181:CW392,99,0)</f>
        <v>1068</v>
      </c>
      <c r="C186" s="90">
        <f>VLOOKUP(A186,'Data Vlaue (Cr)'!C181:CY392,101,0)</f>
        <v>4</v>
      </c>
      <c r="D186" s="139">
        <f>VLOOKUP(A186,'Data Vlaue (Cr)'!C181:CZ392,102,0)</f>
        <v>3.5999999999999999E-3</v>
      </c>
      <c r="E186" s="91">
        <f>VLOOKUP($A186,'Data Vlaue (Cr)'!$C:$FB,75)</f>
        <v>630</v>
      </c>
      <c r="F186" s="91">
        <f>VLOOKUP($A186,'Data Vlaue (Cr)'!$C:$FB,77)</f>
        <v>2</v>
      </c>
      <c r="G186" s="92">
        <f>VLOOKUP(A186,'Data Vlaue (Cr)'!C181:CB392,78,0)</f>
        <v>3.0999999999999999E-3</v>
      </c>
      <c r="H186" s="91">
        <f>VLOOKUP($A186,'Data Vlaue (Cr)'!$C:$FB,91)</f>
        <v>258</v>
      </c>
      <c r="I186" s="91">
        <f>VLOOKUP($A186,'Data Vlaue (Cr)'!$C:$FB,93)</f>
        <v>5</v>
      </c>
      <c r="J186" s="92">
        <f>VLOOKUP($A186,'Data Vlaue (Cr)'!$C:$FB,94)</f>
        <v>1.83E-2</v>
      </c>
      <c r="K186" s="91">
        <f>VLOOKUP($A186,'Data Vlaue (Cr)'!$C:$FB,95)</f>
        <v>179</v>
      </c>
      <c r="L186" s="91">
        <f>VLOOKUP($A186,'Data Vlaue (Cr)'!$C:$FB,97)</f>
        <v>-3</v>
      </c>
      <c r="M186" s="92">
        <f>VLOOKUP($A186,'Data Vlaue (Cr)'!$C:$FB,98)</f>
        <v>-1.4800000000000001E-2</v>
      </c>
      <c r="N186" s="91">
        <f>VLOOKUP($A186,'Data Vlaue (Cr)'!$C:$FB,79)</f>
        <v>618</v>
      </c>
      <c r="O186" s="92">
        <f>VLOOKUP($A186,'Data Vlaue (Cr)'!$C:$FB,82)</f>
        <v>1.2999999999999999E-3</v>
      </c>
    </row>
    <row r="187" spans="1:15" x14ac:dyDescent="0.25">
      <c r="A187" s="97" t="str">
        <f>'Data Vlaue (Cr)'!C182</f>
        <v>SRF</v>
      </c>
      <c r="B187" s="142">
        <f>VLOOKUP(A187,'Data Vlaue (Cr)'!C182:CW393,99,0)</f>
        <v>1723</v>
      </c>
      <c r="C187" s="90">
        <f>VLOOKUP(A187,'Data Vlaue (Cr)'!C182:CY393,101,0)</f>
        <v>-13</v>
      </c>
      <c r="D187" s="139">
        <f>VLOOKUP(A187,'Data Vlaue (Cr)'!C182:CZ393,102,0)</f>
        <v>-7.4999999999999997E-3</v>
      </c>
      <c r="E187" s="91">
        <f>VLOOKUP($A187,'Data Vlaue (Cr)'!$C:$FB,75)</f>
        <v>934</v>
      </c>
      <c r="F187" s="91">
        <f>VLOOKUP($A187,'Data Vlaue (Cr)'!$C:$FB,77)</f>
        <v>-42</v>
      </c>
      <c r="G187" s="92">
        <f>VLOOKUP(A187,'Data Vlaue (Cr)'!C182:CB393,78,0)</f>
        <v>-4.2999999999999997E-2</v>
      </c>
      <c r="H187" s="91">
        <f>VLOOKUP($A187,'Data Vlaue (Cr)'!$C:$FB,91)</f>
        <v>430</v>
      </c>
      <c r="I187" s="91">
        <f>VLOOKUP($A187,'Data Vlaue (Cr)'!$C:$FB,93)</f>
        <v>18</v>
      </c>
      <c r="J187" s="92">
        <f>VLOOKUP($A187,'Data Vlaue (Cr)'!$C:$FB,94)</f>
        <v>4.3200000000000002E-2</v>
      </c>
      <c r="K187" s="91">
        <f>VLOOKUP($A187,'Data Vlaue (Cr)'!$C:$FB,95)</f>
        <v>359</v>
      </c>
      <c r="L187" s="91">
        <f>VLOOKUP($A187,'Data Vlaue (Cr)'!$C:$FB,97)</f>
        <v>11</v>
      </c>
      <c r="M187" s="92">
        <f>VLOOKUP($A187,'Data Vlaue (Cr)'!$C:$FB,98)</f>
        <v>3.1699999999999999E-2</v>
      </c>
      <c r="N187" s="91">
        <f>VLOOKUP($A187,'Data Vlaue (Cr)'!$C:$FB,79)</f>
        <v>907</v>
      </c>
      <c r="O187" s="92">
        <f>VLOOKUP($A187,'Data Vlaue (Cr)'!$C:$FB,82)</f>
        <v>-4.6699999999999998E-2</v>
      </c>
    </row>
    <row r="188" spans="1:15" x14ac:dyDescent="0.25">
      <c r="A188" s="97" t="str">
        <f>'Data Vlaue (Cr)'!C183</f>
        <v>SUNPHARMA</v>
      </c>
      <c r="B188" s="142">
        <f>VLOOKUP(A188,'Data Vlaue (Cr)'!C183:CW394,99,0)</f>
        <v>7997</v>
      </c>
      <c r="C188" s="90">
        <f>VLOOKUP(A188,'Data Vlaue (Cr)'!C183:CY394,101,0)</f>
        <v>390</v>
      </c>
      <c r="D188" s="139">
        <f>VLOOKUP(A188,'Data Vlaue (Cr)'!C183:CZ394,102,0)</f>
        <v>5.1200000000000002E-2</v>
      </c>
      <c r="E188" s="91">
        <f>VLOOKUP($A188,'Data Vlaue (Cr)'!$C:$FB,75)</f>
        <v>4110</v>
      </c>
      <c r="F188" s="91">
        <f>VLOOKUP($A188,'Data Vlaue (Cr)'!$C:$FB,77)</f>
        <v>-28</v>
      </c>
      <c r="G188" s="92">
        <f>VLOOKUP(A188,'Data Vlaue (Cr)'!C183:CB394,78,0)</f>
        <v>-6.7000000000000002E-3</v>
      </c>
      <c r="H188" s="91">
        <f>VLOOKUP($A188,'Data Vlaue (Cr)'!$C:$FB,91)</f>
        <v>2528</v>
      </c>
      <c r="I188" s="91">
        <f>VLOOKUP($A188,'Data Vlaue (Cr)'!$C:$FB,93)</f>
        <v>314</v>
      </c>
      <c r="J188" s="92">
        <f>VLOOKUP($A188,'Data Vlaue (Cr)'!$C:$FB,94)</f>
        <v>0.14180000000000001</v>
      </c>
      <c r="K188" s="91">
        <f>VLOOKUP($A188,'Data Vlaue (Cr)'!$C:$FB,95)</f>
        <v>1358</v>
      </c>
      <c r="L188" s="91">
        <f>VLOOKUP($A188,'Data Vlaue (Cr)'!$C:$FB,97)</f>
        <v>103</v>
      </c>
      <c r="M188" s="92">
        <f>VLOOKUP($A188,'Data Vlaue (Cr)'!$C:$FB,98)</f>
        <v>8.2199999999999995E-2</v>
      </c>
      <c r="N188" s="91">
        <f>VLOOKUP($A188,'Data Vlaue (Cr)'!$C:$FB,79)</f>
        <v>4063</v>
      </c>
      <c r="O188" s="92">
        <f>VLOOKUP($A188,'Data Vlaue (Cr)'!$C:$FB,82)</f>
        <v>-7.4999999999999997E-3</v>
      </c>
    </row>
    <row r="189" spans="1:15" x14ac:dyDescent="0.25">
      <c r="A189" s="97" t="str">
        <f>'Data Vlaue (Cr)'!C184</f>
        <v>SUPREMEIND</v>
      </c>
      <c r="B189" s="142">
        <f>VLOOKUP(A189,'Data Vlaue (Cr)'!C184:CW395,99,0)</f>
        <v>1128</v>
      </c>
      <c r="C189" s="90">
        <f>VLOOKUP(A189,'Data Vlaue (Cr)'!C184:CY395,101,0)</f>
        <v>51</v>
      </c>
      <c r="D189" s="139">
        <f>VLOOKUP(A189,'Data Vlaue (Cr)'!C184:CZ395,102,0)</f>
        <v>4.7699999999999999E-2</v>
      </c>
      <c r="E189" s="91">
        <f>VLOOKUP($A189,'Data Vlaue (Cr)'!$C:$FB,75)</f>
        <v>781</v>
      </c>
      <c r="F189" s="91">
        <f>VLOOKUP($A189,'Data Vlaue (Cr)'!$C:$FB,77)</f>
        <v>79</v>
      </c>
      <c r="G189" s="92">
        <f>VLOOKUP(A189,'Data Vlaue (Cr)'!C184:CB395,78,0)</f>
        <v>0.1129</v>
      </c>
      <c r="H189" s="91">
        <f>VLOOKUP($A189,'Data Vlaue (Cr)'!$C:$FB,91)</f>
        <v>216</v>
      </c>
      <c r="I189" s="91">
        <f>VLOOKUP($A189,'Data Vlaue (Cr)'!$C:$FB,93)</f>
        <v>-17</v>
      </c>
      <c r="J189" s="92">
        <f>VLOOKUP($A189,'Data Vlaue (Cr)'!$C:$FB,94)</f>
        <v>-7.2099999999999997E-2</v>
      </c>
      <c r="K189" s="91">
        <f>VLOOKUP($A189,'Data Vlaue (Cr)'!$C:$FB,95)</f>
        <v>132</v>
      </c>
      <c r="L189" s="91">
        <f>VLOOKUP($A189,'Data Vlaue (Cr)'!$C:$FB,97)</f>
        <v>-11</v>
      </c>
      <c r="M189" s="92">
        <f>VLOOKUP($A189,'Data Vlaue (Cr)'!$C:$FB,98)</f>
        <v>-7.7499999999999999E-2</v>
      </c>
      <c r="N189" s="91">
        <f>VLOOKUP($A189,'Data Vlaue (Cr)'!$C:$FB,79)</f>
        <v>757</v>
      </c>
      <c r="O189" s="92">
        <f>VLOOKUP($A189,'Data Vlaue (Cr)'!$C:$FB,82)</f>
        <v>0.10199999999999999</v>
      </c>
    </row>
    <row r="190" spans="1:15" x14ac:dyDescent="0.25">
      <c r="A190" s="97" t="str">
        <f>'Data Vlaue (Cr)'!C185</f>
        <v>SUZLON</v>
      </c>
      <c r="B190" s="142">
        <f>VLOOKUP(A190,'Data Vlaue (Cr)'!C185:CW396,99,0)</f>
        <v>2582</v>
      </c>
      <c r="C190" s="90">
        <f>VLOOKUP(A190,'Data Vlaue (Cr)'!C185:CY396,101,0)</f>
        <v>-29</v>
      </c>
      <c r="D190" s="139">
        <f>VLOOKUP(A190,'Data Vlaue (Cr)'!C185:CZ396,102,0)</f>
        <v>-1.0999999999999999E-2</v>
      </c>
      <c r="E190" s="91">
        <f>VLOOKUP($A190,'Data Vlaue (Cr)'!$C:$FB,75)</f>
        <v>1338</v>
      </c>
      <c r="F190" s="91">
        <f>VLOOKUP($A190,'Data Vlaue (Cr)'!$C:$FB,77)</f>
        <v>-27</v>
      </c>
      <c r="G190" s="92">
        <f>VLOOKUP(A190,'Data Vlaue (Cr)'!C185:CB396,78,0)</f>
        <v>-2.01E-2</v>
      </c>
      <c r="H190" s="91">
        <f>VLOOKUP($A190,'Data Vlaue (Cr)'!$C:$FB,91)</f>
        <v>875</v>
      </c>
      <c r="I190" s="91">
        <f>VLOOKUP($A190,'Data Vlaue (Cr)'!$C:$FB,93)</f>
        <v>-36</v>
      </c>
      <c r="J190" s="92">
        <f>VLOOKUP($A190,'Data Vlaue (Cr)'!$C:$FB,94)</f>
        <v>-3.9800000000000002E-2</v>
      </c>
      <c r="K190" s="91">
        <f>VLOOKUP($A190,'Data Vlaue (Cr)'!$C:$FB,95)</f>
        <v>368</v>
      </c>
      <c r="L190" s="91">
        <f>VLOOKUP($A190,'Data Vlaue (Cr)'!$C:$FB,97)</f>
        <v>35</v>
      </c>
      <c r="M190" s="92">
        <f>VLOOKUP($A190,'Data Vlaue (Cr)'!$C:$FB,98)</f>
        <v>0.1052</v>
      </c>
      <c r="N190" s="91">
        <f>VLOOKUP($A190,'Data Vlaue (Cr)'!$C:$FB,79)</f>
        <v>1209</v>
      </c>
      <c r="O190" s="92">
        <f>VLOOKUP($A190,'Data Vlaue (Cr)'!$C:$FB,82)</f>
        <v>-2.6800000000000001E-2</v>
      </c>
    </row>
    <row r="191" spans="1:15" x14ac:dyDescent="0.25">
      <c r="A191" s="97" t="str">
        <f>'Data Vlaue (Cr)'!C186</f>
        <v>SWIGGY</v>
      </c>
      <c r="B191" s="142">
        <f>VLOOKUP(A191,'Data Vlaue (Cr)'!C186:CW397,99,0)</f>
        <v>2008</v>
      </c>
      <c r="C191" s="90">
        <f>VLOOKUP(A191,'Data Vlaue (Cr)'!C186:CY397,101,0)</f>
        <v>132</v>
      </c>
      <c r="D191" s="139">
        <f>VLOOKUP(A191,'Data Vlaue (Cr)'!C186:CZ397,102,0)</f>
        <v>7.0400000000000004E-2</v>
      </c>
      <c r="E191" s="91">
        <f>VLOOKUP($A191,'Data Vlaue (Cr)'!$C:$FB,75)</f>
        <v>1589</v>
      </c>
      <c r="F191" s="91">
        <f>VLOOKUP($A191,'Data Vlaue (Cr)'!$C:$FB,77)</f>
        <v>94</v>
      </c>
      <c r="G191" s="92">
        <f>VLOOKUP(A191,'Data Vlaue (Cr)'!C186:CB397,78,0)</f>
        <v>6.3E-2</v>
      </c>
      <c r="H191" s="91">
        <f>VLOOKUP($A191,'Data Vlaue (Cr)'!$C:$FB,91)</f>
        <v>229</v>
      </c>
      <c r="I191" s="91">
        <f>VLOOKUP($A191,'Data Vlaue (Cr)'!$C:$FB,93)</f>
        <v>18</v>
      </c>
      <c r="J191" s="92">
        <f>VLOOKUP($A191,'Data Vlaue (Cr)'!$C:$FB,94)</f>
        <v>8.4199999999999997E-2</v>
      </c>
      <c r="K191" s="91">
        <f>VLOOKUP($A191,'Data Vlaue (Cr)'!$C:$FB,95)</f>
        <v>191</v>
      </c>
      <c r="L191" s="91">
        <f>VLOOKUP($A191,'Data Vlaue (Cr)'!$C:$FB,97)</f>
        <v>20</v>
      </c>
      <c r="M191" s="92">
        <f>VLOOKUP($A191,'Data Vlaue (Cr)'!$C:$FB,98)</f>
        <v>0.1173</v>
      </c>
      <c r="N191" s="91">
        <f>VLOOKUP($A191,'Data Vlaue (Cr)'!$C:$FB,79)</f>
        <v>1421</v>
      </c>
      <c r="O191" s="92">
        <f>VLOOKUP($A191,'Data Vlaue (Cr)'!$C:$FB,82)</f>
        <v>-5.9999999999999995E-4</v>
      </c>
    </row>
    <row r="192" spans="1:15" x14ac:dyDescent="0.25">
      <c r="A192" s="97" t="str">
        <f>'Data Vlaue (Cr)'!C187</f>
        <v>SYNGENE</v>
      </c>
      <c r="B192" s="142">
        <f>VLOOKUP(A192,'Data Vlaue (Cr)'!C187:CW398,99,0)</f>
        <v>692</v>
      </c>
      <c r="C192" s="90">
        <f>VLOOKUP(A192,'Data Vlaue (Cr)'!C187:CY398,101,0)</f>
        <v>6</v>
      </c>
      <c r="D192" s="139">
        <f>VLOOKUP(A192,'Data Vlaue (Cr)'!C187:CZ398,102,0)</f>
        <v>8.6999999999999994E-3</v>
      </c>
      <c r="E192" s="91">
        <f>VLOOKUP($A192,'Data Vlaue (Cr)'!$C:$FB,75)</f>
        <v>350</v>
      </c>
      <c r="F192" s="91">
        <f>VLOOKUP($A192,'Data Vlaue (Cr)'!$C:$FB,77)</f>
        <v>-3</v>
      </c>
      <c r="G192" s="92">
        <f>VLOOKUP(A192,'Data Vlaue (Cr)'!C187:CB398,78,0)</f>
        <v>-8.6E-3</v>
      </c>
      <c r="H192" s="91">
        <f>VLOOKUP($A192,'Data Vlaue (Cr)'!$C:$FB,91)</f>
        <v>224</v>
      </c>
      <c r="I192" s="91">
        <f>VLOOKUP($A192,'Data Vlaue (Cr)'!$C:$FB,93)</f>
        <v>11</v>
      </c>
      <c r="J192" s="92">
        <f>VLOOKUP($A192,'Data Vlaue (Cr)'!$C:$FB,94)</f>
        <v>5.2299999999999999E-2</v>
      </c>
      <c r="K192" s="91">
        <f>VLOOKUP($A192,'Data Vlaue (Cr)'!$C:$FB,95)</f>
        <v>118</v>
      </c>
      <c r="L192" s="91">
        <f>VLOOKUP($A192,'Data Vlaue (Cr)'!$C:$FB,97)</f>
        <v>-2</v>
      </c>
      <c r="M192" s="92">
        <f>VLOOKUP($A192,'Data Vlaue (Cr)'!$C:$FB,98)</f>
        <v>-1.7500000000000002E-2</v>
      </c>
      <c r="N192" s="91">
        <f>VLOOKUP($A192,'Data Vlaue (Cr)'!$C:$FB,79)</f>
        <v>350</v>
      </c>
      <c r="O192" s="92">
        <f>VLOOKUP($A192,'Data Vlaue (Cr)'!$C:$FB,82)</f>
        <v>-8.6E-3</v>
      </c>
    </row>
    <row r="193" spans="1:15" x14ac:dyDescent="0.25">
      <c r="A193" s="97" t="str">
        <f>'Data Vlaue (Cr)'!C188</f>
        <v>TATACONSUM</v>
      </c>
      <c r="B193" s="142">
        <f>VLOOKUP(A193,'Data Vlaue (Cr)'!C188:CW399,99,0)</f>
        <v>1927</v>
      </c>
      <c r="C193" s="90">
        <f>VLOOKUP(A193,'Data Vlaue (Cr)'!C188:CY399,101,0)</f>
        <v>12</v>
      </c>
      <c r="D193" s="139">
        <f>VLOOKUP(A193,'Data Vlaue (Cr)'!C188:CZ399,102,0)</f>
        <v>6.4999999999999997E-3</v>
      </c>
      <c r="E193" s="91">
        <f>VLOOKUP($A193,'Data Vlaue (Cr)'!$C:$FB,75)</f>
        <v>1420</v>
      </c>
      <c r="F193" s="91">
        <f>VLOOKUP($A193,'Data Vlaue (Cr)'!$C:$FB,77)</f>
        <v>11</v>
      </c>
      <c r="G193" s="92">
        <f>VLOOKUP(A193,'Data Vlaue (Cr)'!C188:CB399,78,0)</f>
        <v>7.7000000000000002E-3</v>
      </c>
      <c r="H193" s="91">
        <f>VLOOKUP($A193,'Data Vlaue (Cr)'!$C:$FB,91)</f>
        <v>330</v>
      </c>
      <c r="I193" s="91">
        <f>VLOOKUP($A193,'Data Vlaue (Cr)'!$C:$FB,93)</f>
        <v>23</v>
      </c>
      <c r="J193" s="92">
        <f>VLOOKUP($A193,'Data Vlaue (Cr)'!$C:$FB,94)</f>
        <v>7.6399999999999996E-2</v>
      </c>
      <c r="K193" s="91">
        <f>VLOOKUP($A193,'Data Vlaue (Cr)'!$C:$FB,95)</f>
        <v>177</v>
      </c>
      <c r="L193" s="91">
        <f>VLOOKUP($A193,'Data Vlaue (Cr)'!$C:$FB,97)</f>
        <v>-22</v>
      </c>
      <c r="M193" s="92">
        <f>VLOOKUP($A193,'Data Vlaue (Cr)'!$C:$FB,98)</f>
        <v>-0.1095</v>
      </c>
      <c r="N193" s="91">
        <f>VLOOKUP($A193,'Data Vlaue (Cr)'!$C:$FB,79)</f>
        <v>1380</v>
      </c>
      <c r="O193" s="92">
        <f>VLOOKUP($A193,'Data Vlaue (Cr)'!$C:$FB,82)</f>
        <v>-4.4999999999999997E-3</v>
      </c>
    </row>
    <row r="194" spans="1:15" x14ac:dyDescent="0.25">
      <c r="A194" s="97" t="str">
        <f>'Data Vlaue (Cr)'!C189</f>
        <v>TATAELXSI</v>
      </c>
      <c r="B194" s="142">
        <f>VLOOKUP(A194,'Data Vlaue (Cr)'!C189:CW400,99,0)</f>
        <v>2007</v>
      </c>
      <c r="C194" s="90">
        <f>VLOOKUP(A194,'Data Vlaue (Cr)'!C189:CY400,101,0)</f>
        <v>57</v>
      </c>
      <c r="D194" s="139">
        <f>VLOOKUP(A194,'Data Vlaue (Cr)'!C189:CZ400,102,0)</f>
        <v>2.9399999999999999E-2</v>
      </c>
      <c r="E194" s="91">
        <f>VLOOKUP($A194,'Data Vlaue (Cr)'!$C:$FB,75)</f>
        <v>847</v>
      </c>
      <c r="F194" s="91">
        <f>VLOOKUP($A194,'Data Vlaue (Cr)'!$C:$FB,77)</f>
        <v>31</v>
      </c>
      <c r="G194" s="92">
        <f>VLOOKUP(A194,'Data Vlaue (Cr)'!C189:CB400,78,0)</f>
        <v>3.7400000000000003E-2</v>
      </c>
      <c r="H194" s="91">
        <f>VLOOKUP($A194,'Data Vlaue (Cr)'!$C:$FB,91)</f>
        <v>816</v>
      </c>
      <c r="I194" s="91">
        <f>VLOOKUP($A194,'Data Vlaue (Cr)'!$C:$FB,93)</f>
        <v>31</v>
      </c>
      <c r="J194" s="92">
        <f>VLOOKUP($A194,'Data Vlaue (Cr)'!$C:$FB,94)</f>
        <v>4.02E-2</v>
      </c>
      <c r="K194" s="91">
        <f>VLOOKUP($A194,'Data Vlaue (Cr)'!$C:$FB,95)</f>
        <v>345</v>
      </c>
      <c r="L194" s="91">
        <f>VLOOKUP($A194,'Data Vlaue (Cr)'!$C:$FB,97)</f>
        <v>-5</v>
      </c>
      <c r="M194" s="92">
        <f>VLOOKUP($A194,'Data Vlaue (Cr)'!$C:$FB,98)</f>
        <v>-1.37E-2</v>
      </c>
      <c r="N194" s="91">
        <f>VLOOKUP($A194,'Data Vlaue (Cr)'!$C:$FB,79)</f>
        <v>706</v>
      </c>
      <c r="O194" s="92">
        <f>VLOOKUP($A194,'Data Vlaue (Cr)'!$C:$FB,82)</f>
        <v>1.21E-2</v>
      </c>
    </row>
    <row r="195" spans="1:15" x14ac:dyDescent="0.25">
      <c r="A195" s="97" t="str">
        <f>'Data Vlaue (Cr)'!C190</f>
        <v>TATAPOWER</v>
      </c>
      <c r="B195" s="142">
        <f>VLOOKUP(A195,'Data Vlaue (Cr)'!C190:CW401,99,0)</f>
        <v>4648</v>
      </c>
      <c r="C195" s="90">
        <f>VLOOKUP(A195,'Data Vlaue (Cr)'!C190:CY401,101,0)</f>
        <v>353</v>
      </c>
      <c r="D195" s="139">
        <f>VLOOKUP(A195,'Data Vlaue (Cr)'!C190:CZ401,102,0)</f>
        <v>8.2299999999999998E-2</v>
      </c>
      <c r="E195" s="91">
        <f>VLOOKUP($A195,'Data Vlaue (Cr)'!$C:$FB,75)</f>
        <v>2247</v>
      </c>
      <c r="F195" s="91">
        <f>VLOOKUP($A195,'Data Vlaue (Cr)'!$C:$FB,77)</f>
        <v>198</v>
      </c>
      <c r="G195" s="92">
        <f>VLOOKUP(A195,'Data Vlaue (Cr)'!C190:CB401,78,0)</f>
        <v>9.6500000000000002E-2</v>
      </c>
      <c r="H195" s="91">
        <f>VLOOKUP($A195,'Data Vlaue (Cr)'!$C:$FB,91)</f>
        <v>1183</v>
      </c>
      <c r="I195" s="91">
        <f>VLOOKUP($A195,'Data Vlaue (Cr)'!$C:$FB,93)</f>
        <v>-61</v>
      </c>
      <c r="J195" s="92">
        <f>VLOOKUP($A195,'Data Vlaue (Cr)'!$C:$FB,94)</f>
        <v>-4.8599999999999997E-2</v>
      </c>
      <c r="K195" s="91">
        <f>VLOOKUP($A195,'Data Vlaue (Cr)'!$C:$FB,95)</f>
        <v>1217</v>
      </c>
      <c r="L195" s="91">
        <f>VLOOKUP($A195,'Data Vlaue (Cr)'!$C:$FB,97)</f>
        <v>216</v>
      </c>
      <c r="M195" s="92">
        <f>VLOOKUP($A195,'Data Vlaue (Cr)'!$C:$FB,98)</f>
        <v>0.2157</v>
      </c>
      <c r="N195" s="91">
        <f>VLOOKUP($A195,'Data Vlaue (Cr)'!$C:$FB,79)</f>
        <v>2150</v>
      </c>
      <c r="O195" s="92">
        <f>VLOOKUP($A195,'Data Vlaue (Cr)'!$C:$FB,82)</f>
        <v>9.4200000000000006E-2</v>
      </c>
    </row>
    <row r="196" spans="1:15" x14ac:dyDescent="0.25">
      <c r="A196" s="97" t="str">
        <f>'Data Vlaue (Cr)'!C191</f>
        <v>TATASTEEL</v>
      </c>
      <c r="B196" s="142">
        <f>VLOOKUP(A196,'Data Vlaue (Cr)'!C191:CW402,99,0)</f>
        <v>8698</v>
      </c>
      <c r="C196" s="90">
        <f>VLOOKUP(A196,'Data Vlaue (Cr)'!C191:CY402,101,0)</f>
        <v>40</v>
      </c>
      <c r="D196" s="139">
        <f>VLOOKUP(A196,'Data Vlaue (Cr)'!C191:CZ402,102,0)</f>
        <v>4.7000000000000002E-3</v>
      </c>
      <c r="E196" s="91">
        <f>VLOOKUP($A196,'Data Vlaue (Cr)'!$C:$FB,75)</f>
        <v>4431</v>
      </c>
      <c r="F196" s="91">
        <f>VLOOKUP($A196,'Data Vlaue (Cr)'!$C:$FB,77)</f>
        <v>-37</v>
      </c>
      <c r="G196" s="92">
        <f>VLOOKUP(A196,'Data Vlaue (Cr)'!C191:CB402,78,0)</f>
        <v>-8.3000000000000001E-3</v>
      </c>
      <c r="H196" s="91">
        <f>VLOOKUP($A196,'Data Vlaue (Cr)'!$C:$FB,91)</f>
        <v>2584</v>
      </c>
      <c r="I196" s="91">
        <f>VLOOKUP($A196,'Data Vlaue (Cr)'!$C:$FB,93)</f>
        <v>50</v>
      </c>
      <c r="J196" s="92">
        <f>VLOOKUP($A196,'Data Vlaue (Cr)'!$C:$FB,94)</f>
        <v>1.9599999999999999E-2</v>
      </c>
      <c r="K196" s="91">
        <f>VLOOKUP($A196,'Data Vlaue (Cr)'!$C:$FB,95)</f>
        <v>1683</v>
      </c>
      <c r="L196" s="91">
        <f>VLOOKUP($A196,'Data Vlaue (Cr)'!$C:$FB,97)</f>
        <v>28</v>
      </c>
      <c r="M196" s="92">
        <f>VLOOKUP($A196,'Data Vlaue (Cr)'!$C:$FB,98)</f>
        <v>1.6799999999999999E-2</v>
      </c>
      <c r="N196" s="91">
        <f>VLOOKUP($A196,'Data Vlaue (Cr)'!$C:$FB,79)</f>
        <v>3817</v>
      </c>
      <c r="O196" s="92">
        <f>VLOOKUP($A196,'Data Vlaue (Cr)'!$C:$FB,82)</f>
        <v>-1.24E-2</v>
      </c>
    </row>
    <row r="197" spans="1:15" x14ac:dyDescent="0.25">
      <c r="A197" s="97" t="str">
        <f>'Data Vlaue (Cr)'!C192</f>
        <v>TATATECH</v>
      </c>
      <c r="B197" s="142">
        <f>VLOOKUP(A197,'Data Vlaue (Cr)'!C192:CW403,99,0)</f>
        <v>1003</v>
      </c>
      <c r="C197" s="90">
        <f>VLOOKUP(A197,'Data Vlaue (Cr)'!C192:CY403,101,0)</f>
        <v>0</v>
      </c>
      <c r="D197" s="139">
        <f>VLOOKUP(A197,'Data Vlaue (Cr)'!C192:CZ403,102,0)</f>
        <v>2.9999999999999997E-4</v>
      </c>
      <c r="E197" s="91">
        <f>VLOOKUP($A197,'Data Vlaue (Cr)'!$C:$FB,75)</f>
        <v>609</v>
      </c>
      <c r="F197" s="91">
        <f>VLOOKUP($A197,'Data Vlaue (Cr)'!$C:$FB,77)</f>
        <v>-10</v>
      </c>
      <c r="G197" s="92">
        <f>VLOOKUP(A197,'Data Vlaue (Cr)'!C192:CB403,78,0)</f>
        <v>-1.5800000000000002E-2</v>
      </c>
      <c r="H197" s="91">
        <f>VLOOKUP($A197,'Data Vlaue (Cr)'!$C:$FB,91)</f>
        <v>254</v>
      </c>
      <c r="I197" s="91">
        <f>VLOOKUP($A197,'Data Vlaue (Cr)'!$C:$FB,93)</f>
        <v>9</v>
      </c>
      <c r="J197" s="92">
        <f>VLOOKUP($A197,'Data Vlaue (Cr)'!$C:$FB,94)</f>
        <v>3.7600000000000001E-2</v>
      </c>
      <c r="K197" s="91">
        <f>VLOOKUP($A197,'Data Vlaue (Cr)'!$C:$FB,95)</f>
        <v>141</v>
      </c>
      <c r="L197" s="91">
        <f>VLOOKUP($A197,'Data Vlaue (Cr)'!$C:$FB,97)</f>
        <v>1</v>
      </c>
      <c r="M197" s="92">
        <f>VLOOKUP($A197,'Data Vlaue (Cr)'!$C:$FB,98)</f>
        <v>6.0000000000000001E-3</v>
      </c>
      <c r="N197" s="91">
        <f>VLOOKUP($A197,'Data Vlaue (Cr)'!$C:$FB,79)</f>
        <v>560</v>
      </c>
      <c r="O197" s="92">
        <f>VLOOKUP($A197,'Data Vlaue (Cr)'!$C:$FB,82)</f>
        <v>-1.7500000000000002E-2</v>
      </c>
    </row>
    <row r="198" spans="1:15" x14ac:dyDescent="0.25">
      <c r="A198" s="97" t="str">
        <f>'Data Vlaue (Cr)'!C193</f>
        <v>TCS</v>
      </c>
      <c r="B198" s="142">
        <f>VLOOKUP(A198,'Data Vlaue (Cr)'!C193:CW404,99,0)</f>
        <v>14604</v>
      </c>
      <c r="C198" s="90">
        <f>VLOOKUP(A198,'Data Vlaue (Cr)'!C193:CY404,101,0)</f>
        <v>232</v>
      </c>
      <c r="D198" s="139">
        <f>VLOOKUP(A198,'Data Vlaue (Cr)'!C193:CZ404,102,0)</f>
        <v>1.61E-2</v>
      </c>
      <c r="E198" s="91">
        <f>VLOOKUP($A198,'Data Vlaue (Cr)'!$C:$FB,75)</f>
        <v>7821</v>
      </c>
      <c r="F198" s="91">
        <f>VLOOKUP($A198,'Data Vlaue (Cr)'!$C:$FB,77)</f>
        <v>66</v>
      </c>
      <c r="G198" s="92">
        <f>VLOOKUP(A198,'Data Vlaue (Cr)'!C193:CB404,78,0)</f>
        <v>8.6E-3</v>
      </c>
      <c r="H198" s="91">
        <f>VLOOKUP($A198,'Data Vlaue (Cr)'!$C:$FB,91)</f>
        <v>4348</v>
      </c>
      <c r="I198" s="91">
        <f>VLOOKUP($A198,'Data Vlaue (Cr)'!$C:$FB,93)</f>
        <v>156</v>
      </c>
      <c r="J198" s="92">
        <f>VLOOKUP($A198,'Data Vlaue (Cr)'!$C:$FB,94)</f>
        <v>3.7199999999999997E-2</v>
      </c>
      <c r="K198" s="91">
        <f>VLOOKUP($A198,'Data Vlaue (Cr)'!$C:$FB,95)</f>
        <v>2435</v>
      </c>
      <c r="L198" s="91">
        <f>VLOOKUP($A198,'Data Vlaue (Cr)'!$C:$FB,97)</f>
        <v>9</v>
      </c>
      <c r="M198" s="92">
        <f>VLOOKUP($A198,'Data Vlaue (Cr)'!$C:$FB,98)</f>
        <v>3.8999999999999998E-3</v>
      </c>
      <c r="N198" s="91">
        <f>VLOOKUP($A198,'Data Vlaue (Cr)'!$C:$FB,79)</f>
        <v>6591</v>
      </c>
      <c r="O198" s="92">
        <f>VLOOKUP($A198,'Data Vlaue (Cr)'!$C:$FB,82)</f>
        <v>7.1000000000000004E-3</v>
      </c>
    </row>
    <row r="199" spans="1:15" x14ac:dyDescent="0.25">
      <c r="A199" s="97" t="str">
        <f>'Data Vlaue (Cr)'!C194</f>
        <v>TECHM</v>
      </c>
      <c r="B199" s="142">
        <f>VLOOKUP(A199,'Data Vlaue (Cr)'!C194:CW405,99,0)</f>
        <v>4595</v>
      </c>
      <c r="C199" s="90">
        <f>VLOOKUP(A199,'Data Vlaue (Cr)'!C194:CY405,101,0)</f>
        <v>50</v>
      </c>
      <c r="D199" s="139">
        <f>VLOOKUP(A199,'Data Vlaue (Cr)'!C194:CZ405,102,0)</f>
        <v>1.0999999999999999E-2</v>
      </c>
      <c r="E199" s="91">
        <f>VLOOKUP($A199,'Data Vlaue (Cr)'!$C:$FB,75)</f>
        <v>2533</v>
      </c>
      <c r="F199" s="91">
        <f>VLOOKUP($A199,'Data Vlaue (Cr)'!$C:$FB,77)</f>
        <v>-59</v>
      </c>
      <c r="G199" s="92">
        <f>VLOOKUP(A199,'Data Vlaue (Cr)'!C194:CB405,78,0)</f>
        <v>-2.29E-2</v>
      </c>
      <c r="H199" s="91">
        <f>VLOOKUP($A199,'Data Vlaue (Cr)'!$C:$FB,91)</f>
        <v>1295</v>
      </c>
      <c r="I199" s="91">
        <f>VLOOKUP($A199,'Data Vlaue (Cr)'!$C:$FB,93)</f>
        <v>102</v>
      </c>
      <c r="J199" s="92">
        <f>VLOOKUP($A199,'Data Vlaue (Cr)'!$C:$FB,94)</f>
        <v>8.5300000000000001E-2</v>
      </c>
      <c r="K199" s="91">
        <f>VLOOKUP($A199,'Data Vlaue (Cr)'!$C:$FB,95)</f>
        <v>767</v>
      </c>
      <c r="L199" s="91">
        <f>VLOOKUP($A199,'Data Vlaue (Cr)'!$C:$FB,97)</f>
        <v>7</v>
      </c>
      <c r="M199" s="92">
        <f>VLOOKUP($A199,'Data Vlaue (Cr)'!$C:$FB,98)</f>
        <v>9.5999999999999992E-3</v>
      </c>
      <c r="N199" s="91">
        <f>VLOOKUP($A199,'Data Vlaue (Cr)'!$C:$FB,79)</f>
        <v>2478</v>
      </c>
      <c r="O199" s="92">
        <f>VLOOKUP($A199,'Data Vlaue (Cr)'!$C:$FB,82)</f>
        <v>-2.5000000000000001E-2</v>
      </c>
    </row>
    <row r="200" spans="1:15" x14ac:dyDescent="0.25">
      <c r="A200" s="97" t="str">
        <f>'Data Vlaue (Cr)'!C195</f>
        <v>TIINDIA</v>
      </c>
      <c r="B200" s="142">
        <f>VLOOKUP(A200,'Data Vlaue (Cr)'!C195:CW406,99,0)</f>
        <v>1074</v>
      </c>
      <c r="C200" s="90">
        <f>VLOOKUP(A200,'Data Vlaue (Cr)'!C195:CY406,101,0)</f>
        <v>-4</v>
      </c>
      <c r="D200" s="139">
        <f>VLOOKUP(A200,'Data Vlaue (Cr)'!C195:CZ406,102,0)</f>
        <v>-3.8999999999999998E-3</v>
      </c>
      <c r="E200" s="91">
        <f>VLOOKUP($A200,'Data Vlaue (Cr)'!$C:$FB,75)</f>
        <v>797</v>
      </c>
      <c r="F200" s="91">
        <f>VLOOKUP($A200,'Data Vlaue (Cr)'!$C:$FB,77)</f>
        <v>-5</v>
      </c>
      <c r="G200" s="92">
        <f>VLOOKUP(A200,'Data Vlaue (Cr)'!C195:CB406,78,0)</f>
        <v>-5.7000000000000002E-3</v>
      </c>
      <c r="H200" s="91">
        <f>VLOOKUP($A200,'Data Vlaue (Cr)'!$C:$FB,91)</f>
        <v>160</v>
      </c>
      <c r="I200" s="91">
        <f>VLOOKUP($A200,'Data Vlaue (Cr)'!$C:$FB,93)</f>
        <v>1</v>
      </c>
      <c r="J200" s="92">
        <f>VLOOKUP($A200,'Data Vlaue (Cr)'!$C:$FB,94)</f>
        <v>6.1000000000000004E-3</v>
      </c>
      <c r="K200" s="91">
        <f>VLOOKUP($A200,'Data Vlaue (Cr)'!$C:$FB,95)</f>
        <v>118</v>
      </c>
      <c r="L200" s="91">
        <f>VLOOKUP($A200,'Data Vlaue (Cr)'!$C:$FB,97)</f>
        <v>-1</v>
      </c>
      <c r="M200" s="92">
        <f>VLOOKUP($A200,'Data Vlaue (Cr)'!$C:$FB,98)</f>
        <v>-4.7000000000000002E-3</v>
      </c>
      <c r="N200" s="91">
        <f>VLOOKUP($A200,'Data Vlaue (Cr)'!$C:$FB,79)</f>
        <v>770</v>
      </c>
      <c r="O200" s="92">
        <f>VLOOKUP($A200,'Data Vlaue (Cr)'!$C:$FB,82)</f>
        <v>-8.3000000000000001E-3</v>
      </c>
    </row>
    <row r="201" spans="1:15" x14ac:dyDescent="0.25">
      <c r="A201" s="97" t="str">
        <f>'Data Vlaue (Cr)'!C196</f>
        <v>TITAN</v>
      </c>
      <c r="B201" s="142">
        <f>VLOOKUP(A201,'Data Vlaue (Cr)'!C196:CW407,99,0)</f>
        <v>5914</v>
      </c>
      <c r="C201" s="90">
        <f>VLOOKUP(A201,'Data Vlaue (Cr)'!C196:CY407,101,0)</f>
        <v>176</v>
      </c>
      <c r="D201" s="139">
        <f>VLOOKUP(A201,'Data Vlaue (Cr)'!C196:CZ407,102,0)</f>
        <v>3.0700000000000002E-2</v>
      </c>
      <c r="E201" s="91">
        <f>VLOOKUP($A201,'Data Vlaue (Cr)'!$C:$FB,75)</f>
        <v>4068</v>
      </c>
      <c r="F201" s="91">
        <f>VLOOKUP($A201,'Data Vlaue (Cr)'!$C:$FB,77)</f>
        <v>3</v>
      </c>
      <c r="G201" s="92">
        <f>VLOOKUP(A201,'Data Vlaue (Cr)'!C196:CB407,78,0)</f>
        <v>6.9999999999999999E-4</v>
      </c>
      <c r="H201" s="91">
        <f>VLOOKUP($A201,'Data Vlaue (Cr)'!$C:$FB,91)</f>
        <v>1269</v>
      </c>
      <c r="I201" s="91">
        <f>VLOOKUP($A201,'Data Vlaue (Cr)'!$C:$FB,93)</f>
        <v>152</v>
      </c>
      <c r="J201" s="92">
        <f>VLOOKUP($A201,'Data Vlaue (Cr)'!$C:$FB,94)</f>
        <v>0.13650000000000001</v>
      </c>
      <c r="K201" s="91">
        <f>VLOOKUP($A201,'Data Vlaue (Cr)'!$C:$FB,95)</f>
        <v>578</v>
      </c>
      <c r="L201" s="91">
        <f>VLOOKUP($A201,'Data Vlaue (Cr)'!$C:$FB,97)</f>
        <v>21</v>
      </c>
      <c r="M201" s="92">
        <f>VLOOKUP($A201,'Data Vlaue (Cr)'!$C:$FB,98)</f>
        <v>3.7699999999999997E-2</v>
      </c>
      <c r="N201" s="91">
        <f>VLOOKUP($A201,'Data Vlaue (Cr)'!$C:$FB,79)</f>
        <v>3964</v>
      </c>
      <c r="O201" s="92">
        <f>VLOOKUP($A201,'Data Vlaue (Cr)'!$C:$FB,82)</f>
        <v>-1.4E-3</v>
      </c>
    </row>
    <row r="202" spans="1:15" x14ac:dyDescent="0.25">
      <c r="A202" s="97" t="str">
        <f>'Data Vlaue (Cr)'!C197</f>
        <v>TMPV</v>
      </c>
      <c r="B202" s="142">
        <f>VLOOKUP(A202,'Data Vlaue (Cr)'!C197:CW408,99,0)</f>
        <v>4933</v>
      </c>
      <c r="C202" s="90">
        <f>VLOOKUP(A202,'Data Vlaue (Cr)'!C197:CY408,101,0)</f>
        <v>134</v>
      </c>
      <c r="D202" s="139">
        <f>VLOOKUP(A202,'Data Vlaue (Cr)'!C197:CZ408,102,0)</f>
        <v>2.7900000000000001E-2</v>
      </c>
      <c r="E202" s="91">
        <f>VLOOKUP($A202,'Data Vlaue (Cr)'!$C:$FB,75)</f>
        <v>2350</v>
      </c>
      <c r="F202" s="91">
        <f>VLOOKUP($A202,'Data Vlaue (Cr)'!$C:$FB,77)</f>
        <v>-9</v>
      </c>
      <c r="G202" s="92">
        <f>VLOOKUP(A202,'Data Vlaue (Cr)'!C197:CB408,78,0)</f>
        <v>-4.0000000000000001E-3</v>
      </c>
      <c r="H202" s="91">
        <f>VLOOKUP($A202,'Data Vlaue (Cr)'!$C:$FB,91)</f>
        <v>1730</v>
      </c>
      <c r="I202" s="91">
        <f>VLOOKUP($A202,'Data Vlaue (Cr)'!$C:$FB,93)</f>
        <v>140</v>
      </c>
      <c r="J202" s="92">
        <f>VLOOKUP($A202,'Data Vlaue (Cr)'!$C:$FB,94)</f>
        <v>8.7800000000000003E-2</v>
      </c>
      <c r="K202" s="91">
        <f>VLOOKUP($A202,'Data Vlaue (Cr)'!$C:$FB,95)</f>
        <v>854</v>
      </c>
      <c r="L202" s="91">
        <f>VLOOKUP($A202,'Data Vlaue (Cr)'!$C:$FB,97)</f>
        <v>4</v>
      </c>
      <c r="M202" s="92">
        <f>VLOOKUP($A202,'Data Vlaue (Cr)'!$C:$FB,98)</f>
        <v>4.3E-3</v>
      </c>
      <c r="N202" s="91">
        <f>VLOOKUP($A202,'Data Vlaue (Cr)'!$C:$FB,79)</f>
        <v>2149</v>
      </c>
      <c r="O202" s="92">
        <f>VLOOKUP($A202,'Data Vlaue (Cr)'!$C:$FB,82)</f>
        <v>-1.3100000000000001E-2</v>
      </c>
    </row>
    <row r="203" spans="1:15" x14ac:dyDescent="0.25">
      <c r="A203" s="97" t="str">
        <f>'Data Vlaue (Cr)'!C198</f>
        <v>TORNTPHARM</v>
      </c>
      <c r="B203" s="142">
        <f>VLOOKUP(A203,'Data Vlaue (Cr)'!C198:CW409,99,0)</f>
        <v>1892</v>
      </c>
      <c r="C203" s="90">
        <f>VLOOKUP(A203,'Data Vlaue (Cr)'!C198:CY409,101,0)</f>
        <v>31</v>
      </c>
      <c r="D203" s="139">
        <f>VLOOKUP(A203,'Data Vlaue (Cr)'!C198:CZ409,102,0)</f>
        <v>1.6799999999999999E-2</v>
      </c>
      <c r="E203" s="91">
        <f>VLOOKUP($A203,'Data Vlaue (Cr)'!$C:$FB,75)</f>
        <v>1219</v>
      </c>
      <c r="F203" s="91">
        <f>VLOOKUP($A203,'Data Vlaue (Cr)'!$C:$FB,77)</f>
        <v>-8</v>
      </c>
      <c r="G203" s="92">
        <f>VLOOKUP(A203,'Data Vlaue (Cr)'!C198:CB409,78,0)</f>
        <v>-6.6E-3</v>
      </c>
      <c r="H203" s="91">
        <f>VLOOKUP($A203,'Data Vlaue (Cr)'!$C:$FB,91)</f>
        <v>369</v>
      </c>
      <c r="I203" s="91">
        <f>VLOOKUP($A203,'Data Vlaue (Cr)'!$C:$FB,93)</f>
        <v>36</v>
      </c>
      <c r="J203" s="92">
        <f>VLOOKUP($A203,'Data Vlaue (Cr)'!$C:$FB,94)</f>
        <v>0.10879999999999999</v>
      </c>
      <c r="K203" s="91">
        <f>VLOOKUP($A203,'Data Vlaue (Cr)'!$C:$FB,95)</f>
        <v>304</v>
      </c>
      <c r="L203" s="91">
        <f>VLOOKUP($A203,'Data Vlaue (Cr)'!$C:$FB,97)</f>
        <v>3</v>
      </c>
      <c r="M203" s="92">
        <f>VLOOKUP($A203,'Data Vlaue (Cr)'!$C:$FB,98)</f>
        <v>1.0699999999999999E-2</v>
      </c>
      <c r="N203" s="91">
        <f>VLOOKUP($A203,'Data Vlaue (Cr)'!$C:$FB,79)</f>
        <v>1198</v>
      </c>
      <c r="O203" s="92">
        <f>VLOOKUP($A203,'Data Vlaue (Cr)'!$C:$FB,82)</f>
        <v>-7.4000000000000003E-3</v>
      </c>
    </row>
    <row r="204" spans="1:15" x14ac:dyDescent="0.25">
      <c r="A204" s="97" t="str">
        <f>'Data Vlaue (Cr)'!C199</f>
        <v>TORNTPOWER</v>
      </c>
      <c r="B204" s="142">
        <f>VLOOKUP(A204,'Data Vlaue (Cr)'!C199:CW410,99,0)</f>
        <v>956</v>
      </c>
      <c r="C204" s="90">
        <f>VLOOKUP(A204,'Data Vlaue (Cr)'!C199:CY410,101,0)</f>
        <v>22</v>
      </c>
      <c r="D204" s="139">
        <f>VLOOKUP(A204,'Data Vlaue (Cr)'!C199:CZ410,102,0)</f>
        <v>2.3199999999999998E-2</v>
      </c>
      <c r="E204" s="91">
        <f>VLOOKUP($A204,'Data Vlaue (Cr)'!$C:$FB,75)</f>
        <v>549</v>
      </c>
      <c r="F204" s="91">
        <f>VLOOKUP($A204,'Data Vlaue (Cr)'!$C:$FB,77)</f>
        <v>12</v>
      </c>
      <c r="G204" s="92">
        <f>VLOOKUP(A204,'Data Vlaue (Cr)'!C199:CB410,78,0)</f>
        <v>2.1999999999999999E-2</v>
      </c>
      <c r="H204" s="91">
        <f>VLOOKUP($A204,'Data Vlaue (Cr)'!$C:$FB,91)</f>
        <v>250</v>
      </c>
      <c r="I204" s="91">
        <f>VLOOKUP($A204,'Data Vlaue (Cr)'!$C:$FB,93)</f>
        <v>-6</v>
      </c>
      <c r="J204" s="92">
        <f>VLOOKUP($A204,'Data Vlaue (Cr)'!$C:$FB,94)</f>
        <v>-2.2200000000000001E-2</v>
      </c>
      <c r="K204" s="91">
        <f>VLOOKUP($A204,'Data Vlaue (Cr)'!$C:$FB,95)</f>
        <v>156</v>
      </c>
      <c r="L204" s="91">
        <f>VLOOKUP($A204,'Data Vlaue (Cr)'!$C:$FB,97)</f>
        <v>16</v>
      </c>
      <c r="M204" s="92">
        <f>VLOOKUP($A204,'Data Vlaue (Cr)'!$C:$FB,98)</f>
        <v>0.1104</v>
      </c>
      <c r="N204" s="91">
        <f>VLOOKUP($A204,'Data Vlaue (Cr)'!$C:$FB,79)</f>
        <v>527</v>
      </c>
      <c r="O204" s="92">
        <f>VLOOKUP($A204,'Data Vlaue (Cr)'!$C:$FB,82)</f>
        <v>2.1000000000000001E-2</v>
      </c>
    </row>
    <row r="205" spans="1:15" x14ac:dyDescent="0.25">
      <c r="A205" s="97" t="str">
        <f>'Data Vlaue (Cr)'!C200</f>
        <v>TRENT</v>
      </c>
      <c r="B205" s="142">
        <f>VLOOKUP(A205,'Data Vlaue (Cr)'!C200:CW411,99,0)</f>
        <v>3908</v>
      </c>
      <c r="C205" s="90">
        <f>VLOOKUP(A205,'Data Vlaue (Cr)'!C200:CY411,101,0)</f>
        <v>154</v>
      </c>
      <c r="D205" s="139">
        <f>VLOOKUP(A205,'Data Vlaue (Cr)'!C200:CZ411,102,0)</f>
        <v>4.1099999999999998E-2</v>
      </c>
      <c r="E205" s="91">
        <f>VLOOKUP($A205,'Data Vlaue (Cr)'!$C:$FB,75)</f>
        <v>2213</v>
      </c>
      <c r="F205" s="91">
        <f>VLOOKUP($A205,'Data Vlaue (Cr)'!$C:$FB,77)</f>
        <v>17</v>
      </c>
      <c r="G205" s="92">
        <f>VLOOKUP(A205,'Data Vlaue (Cr)'!C200:CB411,78,0)</f>
        <v>7.7999999999999996E-3</v>
      </c>
      <c r="H205" s="91">
        <f>VLOOKUP($A205,'Data Vlaue (Cr)'!$C:$FB,91)</f>
        <v>1096</v>
      </c>
      <c r="I205" s="91">
        <f>VLOOKUP($A205,'Data Vlaue (Cr)'!$C:$FB,93)</f>
        <v>109</v>
      </c>
      <c r="J205" s="92">
        <f>VLOOKUP($A205,'Data Vlaue (Cr)'!$C:$FB,94)</f>
        <v>0.1099</v>
      </c>
      <c r="K205" s="91">
        <f>VLOOKUP($A205,'Data Vlaue (Cr)'!$C:$FB,95)</f>
        <v>600</v>
      </c>
      <c r="L205" s="91">
        <f>VLOOKUP($A205,'Data Vlaue (Cr)'!$C:$FB,97)</f>
        <v>29</v>
      </c>
      <c r="M205" s="92">
        <f>VLOOKUP($A205,'Data Vlaue (Cr)'!$C:$FB,98)</f>
        <v>5.0200000000000002E-2</v>
      </c>
      <c r="N205" s="91">
        <f>VLOOKUP($A205,'Data Vlaue (Cr)'!$C:$FB,79)</f>
        <v>2089</v>
      </c>
      <c r="O205" s="92">
        <f>VLOOKUP($A205,'Data Vlaue (Cr)'!$C:$FB,82)</f>
        <v>5.9999999999999995E-4</v>
      </c>
    </row>
    <row r="206" spans="1:15" x14ac:dyDescent="0.25">
      <c r="A206" s="97" t="str">
        <f>'Data Vlaue (Cr)'!C201</f>
        <v>TVSMOTOR</v>
      </c>
      <c r="B206" s="142">
        <f>VLOOKUP(A206,'Data Vlaue (Cr)'!C201:CW412,99,0)</f>
        <v>4563</v>
      </c>
      <c r="C206" s="90">
        <f>VLOOKUP(A206,'Data Vlaue (Cr)'!C201:CY412,101,0)</f>
        <v>373</v>
      </c>
      <c r="D206" s="139">
        <f>VLOOKUP(A206,'Data Vlaue (Cr)'!C201:CZ412,102,0)</f>
        <v>8.8900000000000007E-2</v>
      </c>
      <c r="E206" s="91">
        <f>VLOOKUP($A206,'Data Vlaue (Cr)'!$C:$FB,75)</f>
        <v>2952</v>
      </c>
      <c r="F206" s="91">
        <f>VLOOKUP($A206,'Data Vlaue (Cr)'!$C:$FB,77)</f>
        <v>163</v>
      </c>
      <c r="G206" s="92">
        <f>VLOOKUP(A206,'Data Vlaue (Cr)'!C201:CB412,78,0)</f>
        <v>5.8400000000000001E-2</v>
      </c>
      <c r="H206" s="91">
        <f>VLOOKUP($A206,'Data Vlaue (Cr)'!$C:$FB,91)</f>
        <v>999</v>
      </c>
      <c r="I206" s="91">
        <f>VLOOKUP($A206,'Data Vlaue (Cr)'!$C:$FB,93)</f>
        <v>170</v>
      </c>
      <c r="J206" s="92">
        <f>VLOOKUP($A206,'Data Vlaue (Cr)'!$C:$FB,94)</f>
        <v>0.2056</v>
      </c>
      <c r="K206" s="91">
        <f>VLOOKUP($A206,'Data Vlaue (Cr)'!$C:$FB,95)</f>
        <v>612</v>
      </c>
      <c r="L206" s="91">
        <f>VLOOKUP($A206,'Data Vlaue (Cr)'!$C:$FB,97)</f>
        <v>39</v>
      </c>
      <c r="M206" s="92">
        <f>VLOOKUP($A206,'Data Vlaue (Cr)'!$C:$FB,98)</f>
        <v>6.8900000000000003E-2</v>
      </c>
      <c r="N206" s="91">
        <f>VLOOKUP($A206,'Data Vlaue (Cr)'!$C:$FB,79)</f>
        <v>2916</v>
      </c>
      <c r="O206" s="92">
        <f>VLOOKUP($A206,'Data Vlaue (Cr)'!$C:$FB,82)</f>
        <v>5.57E-2</v>
      </c>
    </row>
    <row r="207" spans="1:15" x14ac:dyDescent="0.25">
      <c r="A207" s="97" t="str">
        <f>'Data Vlaue (Cr)'!C202</f>
        <v>ULTRACEMCO</v>
      </c>
      <c r="B207" s="142">
        <f>VLOOKUP(A207,'Data Vlaue (Cr)'!C202:CW413,99,0)</f>
        <v>3841</v>
      </c>
      <c r="C207" s="90">
        <f>VLOOKUP(A207,'Data Vlaue (Cr)'!C202:CY413,101,0)</f>
        <v>103</v>
      </c>
      <c r="D207" s="139">
        <f>VLOOKUP(A207,'Data Vlaue (Cr)'!C202:CZ413,102,0)</f>
        <v>2.76E-2</v>
      </c>
      <c r="E207" s="91">
        <f>VLOOKUP($A207,'Data Vlaue (Cr)'!$C:$FB,75)</f>
        <v>2426</v>
      </c>
      <c r="F207" s="91">
        <f>VLOOKUP($A207,'Data Vlaue (Cr)'!$C:$FB,77)</f>
        <v>65</v>
      </c>
      <c r="G207" s="92">
        <f>VLOOKUP(A207,'Data Vlaue (Cr)'!C202:CB413,78,0)</f>
        <v>2.7400000000000001E-2</v>
      </c>
      <c r="H207" s="91">
        <f>VLOOKUP($A207,'Data Vlaue (Cr)'!$C:$FB,91)</f>
        <v>975</v>
      </c>
      <c r="I207" s="91">
        <f>VLOOKUP($A207,'Data Vlaue (Cr)'!$C:$FB,93)</f>
        <v>43</v>
      </c>
      <c r="J207" s="92">
        <f>VLOOKUP($A207,'Data Vlaue (Cr)'!$C:$FB,94)</f>
        <v>4.58E-2</v>
      </c>
      <c r="K207" s="91">
        <f>VLOOKUP($A207,'Data Vlaue (Cr)'!$C:$FB,95)</f>
        <v>440</v>
      </c>
      <c r="L207" s="91">
        <f>VLOOKUP($A207,'Data Vlaue (Cr)'!$C:$FB,97)</f>
        <v>-4</v>
      </c>
      <c r="M207" s="92">
        <f>VLOOKUP($A207,'Data Vlaue (Cr)'!$C:$FB,98)</f>
        <v>-9.5999999999999992E-3</v>
      </c>
      <c r="N207" s="91">
        <f>VLOOKUP($A207,'Data Vlaue (Cr)'!$C:$FB,79)</f>
        <v>2366</v>
      </c>
      <c r="O207" s="92">
        <f>VLOOKUP($A207,'Data Vlaue (Cr)'!$C:$FB,82)</f>
        <v>2.3400000000000001E-2</v>
      </c>
    </row>
    <row r="208" spans="1:15" x14ac:dyDescent="0.25">
      <c r="A208" s="97" t="str">
        <f>'Data Vlaue (Cr)'!C203</f>
        <v>UNIONBANK</v>
      </c>
      <c r="B208" s="142">
        <f>VLOOKUP(A208,'Data Vlaue (Cr)'!C203:CW414,99,0)</f>
        <v>2851</v>
      </c>
      <c r="C208" s="90">
        <f>VLOOKUP(A208,'Data Vlaue (Cr)'!C203:CY414,101,0)</f>
        <v>107</v>
      </c>
      <c r="D208" s="139">
        <f>VLOOKUP(A208,'Data Vlaue (Cr)'!C203:CZ414,102,0)</f>
        <v>3.9100000000000003E-2</v>
      </c>
      <c r="E208" s="91">
        <f>VLOOKUP($A208,'Data Vlaue (Cr)'!$C:$FB,75)</f>
        <v>1687</v>
      </c>
      <c r="F208" s="91">
        <f>VLOOKUP($A208,'Data Vlaue (Cr)'!$C:$FB,77)</f>
        <v>87</v>
      </c>
      <c r="G208" s="92">
        <f>VLOOKUP(A208,'Data Vlaue (Cr)'!C203:CB414,78,0)</f>
        <v>5.4300000000000001E-2</v>
      </c>
      <c r="H208" s="91">
        <f>VLOOKUP($A208,'Data Vlaue (Cr)'!$C:$FB,91)</f>
        <v>674</v>
      </c>
      <c r="I208" s="91">
        <f>VLOOKUP($A208,'Data Vlaue (Cr)'!$C:$FB,93)</f>
        <v>21</v>
      </c>
      <c r="J208" s="92">
        <f>VLOOKUP($A208,'Data Vlaue (Cr)'!$C:$FB,94)</f>
        <v>3.1899999999999998E-2</v>
      </c>
      <c r="K208" s="91">
        <f>VLOOKUP($A208,'Data Vlaue (Cr)'!$C:$FB,95)</f>
        <v>490</v>
      </c>
      <c r="L208" s="91">
        <f>VLOOKUP($A208,'Data Vlaue (Cr)'!$C:$FB,97)</f>
        <v>0</v>
      </c>
      <c r="M208" s="92">
        <f>VLOOKUP($A208,'Data Vlaue (Cr)'!$C:$FB,98)</f>
        <v>-1E-3</v>
      </c>
      <c r="N208" s="91">
        <f>VLOOKUP($A208,'Data Vlaue (Cr)'!$C:$FB,79)</f>
        <v>1528</v>
      </c>
      <c r="O208" s="92">
        <f>VLOOKUP($A208,'Data Vlaue (Cr)'!$C:$FB,82)</f>
        <v>5.2699999999999997E-2</v>
      </c>
    </row>
    <row r="209" spans="1:15" x14ac:dyDescent="0.25">
      <c r="A209" s="97" t="str">
        <f>'Data Vlaue (Cr)'!C204</f>
        <v>UNITDSPR</v>
      </c>
      <c r="B209" s="142">
        <f>VLOOKUP(A209,'Data Vlaue (Cr)'!C204:CW415,99,0)</f>
        <v>2166</v>
      </c>
      <c r="C209" s="90">
        <f>VLOOKUP(A209,'Data Vlaue (Cr)'!C204:CY415,101,0)</f>
        <v>48</v>
      </c>
      <c r="D209" s="139">
        <f>VLOOKUP(A209,'Data Vlaue (Cr)'!C204:CZ415,102,0)</f>
        <v>2.24E-2</v>
      </c>
      <c r="E209" s="91">
        <f>VLOOKUP($A209,'Data Vlaue (Cr)'!$C:$FB,75)</f>
        <v>1423</v>
      </c>
      <c r="F209" s="91">
        <f>VLOOKUP($A209,'Data Vlaue (Cr)'!$C:$FB,77)</f>
        <v>29</v>
      </c>
      <c r="G209" s="92">
        <f>VLOOKUP(A209,'Data Vlaue (Cr)'!C204:CB415,78,0)</f>
        <v>2.0799999999999999E-2</v>
      </c>
      <c r="H209" s="91">
        <f>VLOOKUP($A209,'Data Vlaue (Cr)'!$C:$FB,91)</f>
        <v>412</v>
      </c>
      <c r="I209" s="91">
        <f>VLOOKUP($A209,'Data Vlaue (Cr)'!$C:$FB,93)</f>
        <v>5</v>
      </c>
      <c r="J209" s="92">
        <f>VLOOKUP($A209,'Data Vlaue (Cr)'!$C:$FB,94)</f>
        <v>1.23E-2</v>
      </c>
      <c r="K209" s="91">
        <f>VLOOKUP($A209,'Data Vlaue (Cr)'!$C:$FB,95)</f>
        <v>330</v>
      </c>
      <c r="L209" s="91">
        <f>VLOOKUP($A209,'Data Vlaue (Cr)'!$C:$FB,97)</f>
        <v>13</v>
      </c>
      <c r="M209" s="92">
        <f>VLOOKUP($A209,'Data Vlaue (Cr)'!$C:$FB,98)</f>
        <v>4.2599999999999999E-2</v>
      </c>
      <c r="N209" s="91">
        <f>VLOOKUP($A209,'Data Vlaue (Cr)'!$C:$FB,79)</f>
        <v>1399</v>
      </c>
      <c r="O209" s="92">
        <f>VLOOKUP($A209,'Data Vlaue (Cr)'!$C:$FB,82)</f>
        <v>1.9900000000000001E-2</v>
      </c>
    </row>
    <row r="210" spans="1:15" s="88" customFormat="1" ht="15.75" customHeight="1" x14ac:dyDescent="0.2">
      <c r="A210" s="97" t="str">
        <f>'Data Vlaue (Cr)'!C205</f>
        <v>UNOMINDA</v>
      </c>
      <c r="B210" s="142">
        <f>VLOOKUP(A210,'Data Vlaue (Cr)'!C205:CW416,99,0)</f>
        <v>987</v>
      </c>
      <c r="C210" s="90">
        <f>VLOOKUP(A210,'Data Vlaue (Cr)'!C205:CY416,101,0)</f>
        <v>9</v>
      </c>
      <c r="D210" s="139">
        <f>VLOOKUP(A210,'Data Vlaue (Cr)'!C205:CZ416,102,0)</f>
        <v>8.6999999999999994E-3</v>
      </c>
      <c r="E210" s="91">
        <f>VLOOKUP($A210,'Data Vlaue (Cr)'!$C:$FB,75)</f>
        <v>643</v>
      </c>
      <c r="F210" s="91">
        <f>VLOOKUP($A210,'Data Vlaue (Cr)'!$C:$FB,77)</f>
        <v>-15</v>
      </c>
      <c r="G210" s="92">
        <f>VLOOKUP(A210,'Data Vlaue (Cr)'!C205:CB416,78,0)</f>
        <v>-2.3300000000000001E-2</v>
      </c>
      <c r="H210" s="91">
        <f>VLOOKUP($A210,'Data Vlaue (Cr)'!$C:$FB,91)</f>
        <v>202</v>
      </c>
      <c r="I210" s="91">
        <f>VLOOKUP($A210,'Data Vlaue (Cr)'!$C:$FB,93)</f>
        <v>20</v>
      </c>
      <c r="J210" s="92">
        <f>VLOOKUP($A210,'Data Vlaue (Cr)'!$C:$FB,94)</f>
        <v>0.1124</v>
      </c>
      <c r="K210" s="91">
        <f>VLOOKUP($A210,'Data Vlaue (Cr)'!$C:$FB,95)</f>
        <v>142</v>
      </c>
      <c r="L210" s="91">
        <f>VLOOKUP($A210,'Data Vlaue (Cr)'!$C:$FB,97)</f>
        <v>3</v>
      </c>
      <c r="M210" s="92">
        <f>VLOOKUP($A210,'Data Vlaue (Cr)'!$C:$FB,98)</f>
        <v>2.5100000000000001E-2</v>
      </c>
      <c r="N210" s="91">
        <f>VLOOKUP($A210,'Data Vlaue (Cr)'!$C:$FB,79)</f>
        <v>634</v>
      </c>
      <c r="O210" s="92">
        <f>VLOOKUP($A210,'Data Vlaue (Cr)'!$C:$FB,82)</f>
        <v>-2.4199999999999999E-2</v>
      </c>
    </row>
    <row r="211" spans="1:15" x14ac:dyDescent="0.25">
      <c r="A211" s="97" t="str">
        <f>'Data Vlaue (Cr)'!C206</f>
        <v>UPL</v>
      </c>
      <c r="B211" s="142">
        <f>VLOOKUP(A211,'Data Vlaue (Cr)'!C206:CW417,99,0)</f>
        <v>3772</v>
      </c>
      <c r="C211" s="90">
        <f>VLOOKUP(A211,'Data Vlaue (Cr)'!C206:CY417,101,0)</f>
        <v>-62</v>
      </c>
      <c r="D211" s="139">
        <f>VLOOKUP(A211,'Data Vlaue (Cr)'!C206:CZ417,102,0)</f>
        <v>-1.6199999999999999E-2</v>
      </c>
      <c r="E211" s="91">
        <f>VLOOKUP($A211,'Data Vlaue (Cr)'!$C:$FB,75)</f>
        <v>1954</v>
      </c>
      <c r="F211" s="91">
        <f>VLOOKUP($A211,'Data Vlaue (Cr)'!$C:$FB,77)</f>
        <v>-5</v>
      </c>
      <c r="G211" s="92">
        <f>VLOOKUP(A211,'Data Vlaue (Cr)'!C206:CB417,78,0)</f>
        <v>-2.8E-3</v>
      </c>
      <c r="H211" s="91">
        <f>VLOOKUP($A211,'Data Vlaue (Cr)'!$C:$FB,91)</f>
        <v>1229</v>
      </c>
      <c r="I211" s="91">
        <f>VLOOKUP($A211,'Data Vlaue (Cr)'!$C:$FB,93)</f>
        <v>-48</v>
      </c>
      <c r="J211" s="92">
        <f>VLOOKUP($A211,'Data Vlaue (Cr)'!$C:$FB,94)</f>
        <v>-3.7499999999999999E-2</v>
      </c>
      <c r="K211" s="91">
        <f>VLOOKUP($A211,'Data Vlaue (Cr)'!$C:$FB,95)</f>
        <v>589</v>
      </c>
      <c r="L211" s="91">
        <f>VLOOKUP($A211,'Data Vlaue (Cr)'!$C:$FB,97)</f>
        <v>-9</v>
      </c>
      <c r="M211" s="92">
        <f>VLOOKUP($A211,'Data Vlaue (Cr)'!$C:$FB,98)</f>
        <v>-1.4800000000000001E-2</v>
      </c>
      <c r="N211" s="91">
        <f>VLOOKUP($A211,'Data Vlaue (Cr)'!$C:$FB,79)</f>
        <v>1882</v>
      </c>
      <c r="O211" s="92">
        <f>VLOOKUP($A211,'Data Vlaue (Cr)'!$C:$FB,82)</f>
        <v>-4.0000000000000001E-3</v>
      </c>
    </row>
    <row r="212" spans="1:15" x14ac:dyDescent="0.25">
      <c r="A212" s="97" t="str">
        <f>'Data Vlaue (Cr)'!C207</f>
        <v>VBL</v>
      </c>
      <c r="B212" s="142">
        <f>VLOOKUP(A212,'Data Vlaue (Cr)'!C207:CW418,99,0)</f>
        <v>2806</v>
      </c>
      <c r="C212" s="90">
        <f>VLOOKUP(A212,'Data Vlaue (Cr)'!C207:CY418,101,0)</f>
        <v>251</v>
      </c>
      <c r="D212" s="139">
        <f>VLOOKUP(A212,'Data Vlaue (Cr)'!C207:CZ418,102,0)</f>
        <v>9.8199999999999996E-2</v>
      </c>
      <c r="E212" s="91">
        <f>VLOOKUP($A212,'Data Vlaue (Cr)'!$C:$FB,75)</f>
        <v>1796</v>
      </c>
      <c r="F212" s="91">
        <f>VLOOKUP($A212,'Data Vlaue (Cr)'!$C:$FB,77)</f>
        <v>28</v>
      </c>
      <c r="G212" s="92">
        <f>VLOOKUP(A212,'Data Vlaue (Cr)'!C207:CB418,78,0)</f>
        <v>1.6E-2</v>
      </c>
      <c r="H212" s="91">
        <f>VLOOKUP($A212,'Data Vlaue (Cr)'!$C:$FB,91)</f>
        <v>657</v>
      </c>
      <c r="I212" s="91">
        <f>VLOOKUP($A212,'Data Vlaue (Cr)'!$C:$FB,93)</f>
        <v>161</v>
      </c>
      <c r="J212" s="92">
        <f>VLOOKUP($A212,'Data Vlaue (Cr)'!$C:$FB,94)</f>
        <v>0.32550000000000001</v>
      </c>
      <c r="K212" s="91">
        <f>VLOOKUP($A212,'Data Vlaue (Cr)'!$C:$FB,95)</f>
        <v>353</v>
      </c>
      <c r="L212" s="91">
        <f>VLOOKUP($A212,'Data Vlaue (Cr)'!$C:$FB,97)</f>
        <v>61</v>
      </c>
      <c r="M212" s="92">
        <f>VLOOKUP($A212,'Data Vlaue (Cr)'!$C:$FB,98)</f>
        <v>0.2102</v>
      </c>
      <c r="N212" s="91">
        <f>VLOOKUP($A212,'Data Vlaue (Cr)'!$C:$FB,79)</f>
        <v>1665</v>
      </c>
      <c r="O212" s="92">
        <f>VLOOKUP($A212,'Data Vlaue (Cr)'!$C:$FB,82)</f>
        <v>1E-3</v>
      </c>
    </row>
    <row r="213" spans="1:15" x14ac:dyDescent="0.25">
      <c r="A213" s="97" t="str">
        <f>'Data Vlaue (Cr)'!C208</f>
        <v>VEDL</v>
      </c>
      <c r="B213" s="142">
        <f>VLOOKUP(A213,'Data Vlaue (Cr)'!C208:CW419,99,0)</f>
        <v>9111</v>
      </c>
      <c r="C213" s="90">
        <f>VLOOKUP(A213,'Data Vlaue (Cr)'!C208:CY419,101,0)</f>
        <v>142</v>
      </c>
      <c r="D213" s="139">
        <f>VLOOKUP(A213,'Data Vlaue (Cr)'!C208:CZ419,102,0)</f>
        <v>1.5800000000000002E-2</v>
      </c>
      <c r="E213" s="91">
        <f>VLOOKUP($A213,'Data Vlaue (Cr)'!$C:$FB,75)</f>
        <v>4952</v>
      </c>
      <c r="F213" s="91">
        <f>VLOOKUP($A213,'Data Vlaue (Cr)'!$C:$FB,77)</f>
        <v>47</v>
      </c>
      <c r="G213" s="92">
        <f>VLOOKUP(A213,'Data Vlaue (Cr)'!C208:CB419,78,0)</f>
        <v>9.4999999999999998E-3</v>
      </c>
      <c r="H213" s="91">
        <f>VLOOKUP($A213,'Data Vlaue (Cr)'!$C:$FB,91)</f>
        <v>2532</v>
      </c>
      <c r="I213" s="91">
        <f>VLOOKUP($A213,'Data Vlaue (Cr)'!$C:$FB,93)</f>
        <v>68</v>
      </c>
      <c r="J213" s="92">
        <f>VLOOKUP($A213,'Data Vlaue (Cr)'!$C:$FB,94)</f>
        <v>2.76E-2</v>
      </c>
      <c r="K213" s="91">
        <f>VLOOKUP($A213,'Data Vlaue (Cr)'!$C:$FB,95)</f>
        <v>1627</v>
      </c>
      <c r="L213" s="91">
        <f>VLOOKUP($A213,'Data Vlaue (Cr)'!$C:$FB,97)</f>
        <v>27</v>
      </c>
      <c r="M213" s="92">
        <f>VLOOKUP($A213,'Data Vlaue (Cr)'!$C:$FB,98)</f>
        <v>1.72E-2</v>
      </c>
      <c r="N213" s="91">
        <f>VLOOKUP($A213,'Data Vlaue (Cr)'!$C:$FB,79)</f>
        <v>4322</v>
      </c>
      <c r="O213" s="92">
        <f>VLOOKUP($A213,'Data Vlaue (Cr)'!$C:$FB,82)</f>
        <v>7.0000000000000001E-3</v>
      </c>
    </row>
    <row r="214" spans="1:15" x14ac:dyDescent="0.25">
      <c r="A214" s="97" t="str">
        <f>'Data Vlaue (Cr)'!C209</f>
        <v>VOLTAS</v>
      </c>
      <c r="B214" s="142">
        <f>VLOOKUP(A214,'Data Vlaue (Cr)'!C209:CW420,99,0)</f>
        <v>2872</v>
      </c>
      <c r="C214" s="90">
        <f>VLOOKUP(A214,'Data Vlaue (Cr)'!C209:CY420,101,0)</f>
        <v>68</v>
      </c>
      <c r="D214" s="139">
        <f>VLOOKUP(A214,'Data Vlaue (Cr)'!C209:CZ420,102,0)</f>
        <v>2.4299999999999999E-2</v>
      </c>
      <c r="E214" s="91">
        <f>VLOOKUP($A214,'Data Vlaue (Cr)'!$C:$FB,75)</f>
        <v>1564</v>
      </c>
      <c r="F214" s="91">
        <f>VLOOKUP($A214,'Data Vlaue (Cr)'!$C:$FB,77)</f>
        <v>65</v>
      </c>
      <c r="G214" s="92">
        <f>VLOOKUP(A214,'Data Vlaue (Cr)'!C209:CB420,78,0)</f>
        <v>4.3200000000000002E-2</v>
      </c>
      <c r="H214" s="91">
        <f>VLOOKUP($A214,'Data Vlaue (Cr)'!$C:$FB,91)</f>
        <v>804</v>
      </c>
      <c r="I214" s="91">
        <f>VLOOKUP($A214,'Data Vlaue (Cr)'!$C:$FB,93)</f>
        <v>7</v>
      </c>
      <c r="J214" s="92">
        <f>VLOOKUP($A214,'Data Vlaue (Cr)'!$C:$FB,94)</f>
        <v>8.3999999999999995E-3</v>
      </c>
      <c r="K214" s="91">
        <f>VLOOKUP($A214,'Data Vlaue (Cr)'!$C:$FB,95)</f>
        <v>504</v>
      </c>
      <c r="L214" s="91">
        <f>VLOOKUP($A214,'Data Vlaue (Cr)'!$C:$FB,97)</f>
        <v>-3</v>
      </c>
      <c r="M214" s="92">
        <f>VLOOKUP($A214,'Data Vlaue (Cr)'!$C:$FB,98)</f>
        <v>-6.4999999999999997E-3</v>
      </c>
      <c r="N214" s="91">
        <f>VLOOKUP($A214,'Data Vlaue (Cr)'!$C:$FB,79)</f>
        <v>1429</v>
      </c>
      <c r="O214" s="92">
        <f>VLOOKUP($A214,'Data Vlaue (Cr)'!$C:$FB,82)</f>
        <v>2.0899999999999998E-2</v>
      </c>
    </row>
    <row r="215" spans="1:15" x14ac:dyDescent="0.25">
      <c r="A215" s="97" t="str">
        <f>'Data Vlaue (Cr)'!C210</f>
        <v>WAAREEENER</v>
      </c>
      <c r="B215" s="142">
        <f>VLOOKUP(A215,'Data Vlaue (Cr)'!C210:CW421,99,0)</f>
        <v>2275</v>
      </c>
      <c r="C215" s="90">
        <f>VLOOKUP(A215,'Data Vlaue (Cr)'!C210:CY421,101,0)</f>
        <v>-57</v>
      </c>
      <c r="D215" s="139">
        <f>VLOOKUP(A215,'Data Vlaue (Cr)'!C210:CZ421,102,0)</f>
        <v>-2.4400000000000002E-2</v>
      </c>
      <c r="E215" s="91">
        <f>VLOOKUP($A215,'Data Vlaue (Cr)'!$C:$FB,75)</f>
        <v>1069</v>
      </c>
      <c r="F215" s="91">
        <f>VLOOKUP($A215,'Data Vlaue (Cr)'!$C:$FB,77)</f>
        <v>-16</v>
      </c>
      <c r="G215" s="92">
        <f>VLOOKUP(A215,'Data Vlaue (Cr)'!C210:CB421,78,0)</f>
        <v>-1.49E-2</v>
      </c>
      <c r="H215" s="91">
        <f>VLOOKUP($A215,'Data Vlaue (Cr)'!$C:$FB,91)</f>
        <v>745</v>
      </c>
      <c r="I215" s="91">
        <f>VLOOKUP($A215,'Data Vlaue (Cr)'!$C:$FB,93)</f>
        <v>-31</v>
      </c>
      <c r="J215" s="92">
        <f>VLOOKUP($A215,'Data Vlaue (Cr)'!$C:$FB,94)</f>
        <v>-3.9899999999999998E-2</v>
      </c>
      <c r="K215" s="91">
        <f>VLOOKUP($A215,'Data Vlaue (Cr)'!$C:$FB,95)</f>
        <v>461</v>
      </c>
      <c r="L215" s="91">
        <f>VLOOKUP($A215,'Data Vlaue (Cr)'!$C:$FB,97)</f>
        <v>-10</v>
      </c>
      <c r="M215" s="92">
        <f>VLOOKUP($A215,'Data Vlaue (Cr)'!$C:$FB,98)</f>
        <v>-2.12E-2</v>
      </c>
      <c r="N215" s="91">
        <f>VLOOKUP($A215,'Data Vlaue (Cr)'!$C:$FB,79)</f>
        <v>937</v>
      </c>
      <c r="O215" s="92">
        <f>VLOOKUP($A215,'Data Vlaue (Cr)'!$C:$FB,82)</f>
        <v>-1.77E-2</v>
      </c>
    </row>
    <row r="216" spans="1:15" x14ac:dyDescent="0.25">
      <c r="A216" s="97" t="str">
        <f>'Data Vlaue (Cr)'!C211</f>
        <v>WIPRO</v>
      </c>
      <c r="B216" s="142">
        <f>VLOOKUP(A216,'Data Vlaue (Cr)'!C211:CW422,99,0)</f>
        <v>6556</v>
      </c>
      <c r="C216" s="90">
        <f>VLOOKUP(A216,'Data Vlaue (Cr)'!C211:CY422,101,0)</f>
        <v>230</v>
      </c>
      <c r="D216" s="139">
        <f>VLOOKUP(A216,'Data Vlaue (Cr)'!C211:CZ422,102,0)</f>
        <v>3.6299999999999999E-2</v>
      </c>
      <c r="E216" s="91">
        <f>VLOOKUP($A216,'Data Vlaue (Cr)'!$C:$FB,75)</f>
        <v>3840</v>
      </c>
      <c r="F216" s="91">
        <f>VLOOKUP($A216,'Data Vlaue (Cr)'!$C:$FB,77)</f>
        <v>224</v>
      </c>
      <c r="G216" s="92">
        <f>VLOOKUP(A216,'Data Vlaue (Cr)'!C211:CB422,78,0)</f>
        <v>6.2E-2</v>
      </c>
      <c r="H216" s="91">
        <f>VLOOKUP($A216,'Data Vlaue (Cr)'!$C:$FB,91)</f>
        <v>1774</v>
      </c>
      <c r="I216" s="91">
        <f>VLOOKUP($A216,'Data Vlaue (Cr)'!$C:$FB,93)</f>
        <v>11</v>
      </c>
      <c r="J216" s="92">
        <f>VLOOKUP($A216,'Data Vlaue (Cr)'!$C:$FB,94)</f>
        <v>6.4999999999999997E-3</v>
      </c>
      <c r="K216" s="91">
        <f>VLOOKUP($A216,'Data Vlaue (Cr)'!$C:$FB,95)</f>
        <v>942</v>
      </c>
      <c r="L216" s="91">
        <f>VLOOKUP($A216,'Data Vlaue (Cr)'!$C:$FB,97)</f>
        <v>-6</v>
      </c>
      <c r="M216" s="92">
        <f>VLOOKUP($A216,'Data Vlaue (Cr)'!$C:$FB,98)</f>
        <v>-6.3E-3</v>
      </c>
      <c r="N216" s="91">
        <f>VLOOKUP($A216,'Data Vlaue (Cr)'!$C:$FB,79)</f>
        <v>3185</v>
      </c>
      <c r="O216" s="92">
        <f>VLOOKUP($A216,'Data Vlaue (Cr)'!$C:$FB,82)</f>
        <v>2.9399999999999999E-2</v>
      </c>
    </row>
    <row r="217" spans="1:15" x14ac:dyDescent="0.25">
      <c r="A217" s="97" t="str">
        <f>'Data Vlaue (Cr)'!C213</f>
        <v>ZYDUSLIFE</v>
      </c>
      <c r="B217" s="142">
        <f>VLOOKUP(A217,'Data Vlaue (Cr)'!C213:CW423,99,0)</f>
        <v>1534</v>
      </c>
      <c r="C217" s="90">
        <f>VLOOKUP(A217,'Data Vlaue (Cr)'!C213:CY423,101,0)</f>
        <v>21</v>
      </c>
      <c r="D217" s="139">
        <f>VLOOKUP(A217,'Data Vlaue (Cr)'!C213:CZ423,102,0)</f>
        <v>1.4E-2</v>
      </c>
      <c r="E217" s="91">
        <f>VLOOKUP($A217,'Data Vlaue (Cr)'!$C:$FB,75)</f>
        <v>878</v>
      </c>
      <c r="F217" s="91">
        <f>VLOOKUP($A217,'Data Vlaue (Cr)'!$C:$FB,77)</f>
        <v>6</v>
      </c>
      <c r="G217" s="92">
        <f>VLOOKUP(A217,'Data Vlaue (Cr)'!C213:CB423,78,0)</f>
        <v>6.7000000000000002E-3</v>
      </c>
      <c r="H217" s="91">
        <f>VLOOKUP($A217,'Data Vlaue (Cr)'!$C:$FB,91)</f>
        <v>430</v>
      </c>
      <c r="I217" s="91">
        <f>VLOOKUP($A217,'Data Vlaue (Cr)'!$C:$FB,93)</f>
        <v>20</v>
      </c>
      <c r="J217" s="92">
        <f>VLOOKUP($A217,'Data Vlaue (Cr)'!$C:$FB,94)</f>
        <v>4.7899999999999998E-2</v>
      </c>
      <c r="K217" s="91">
        <f>VLOOKUP($A217,'Data Vlaue (Cr)'!$C:$FB,95)</f>
        <v>225</v>
      </c>
      <c r="L217" s="91">
        <f>VLOOKUP($A217,'Data Vlaue (Cr)'!$C:$FB,97)</f>
        <v>-4</v>
      </c>
      <c r="M217" s="92">
        <f>VLOOKUP($A217,'Data Vlaue (Cr)'!$C:$FB,98)</f>
        <v>-1.8800000000000001E-2</v>
      </c>
      <c r="N217" s="91">
        <f>VLOOKUP($A217,'Data Vlaue (Cr)'!$C:$FB,79)</f>
        <v>849</v>
      </c>
      <c r="O217" s="92">
        <f>VLOOKUP($A217,'Data Vlaue (Cr)'!$C:$FB,82)</f>
        <v>2.8999999999999998E-3</v>
      </c>
    </row>
    <row r="218" spans="1:15" x14ac:dyDescent="0.25">
      <c r="A218" s="97"/>
      <c r="B218" s="142"/>
      <c r="C218" s="90"/>
      <c r="D218" s="139"/>
      <c r="E218" s="91"/>
      <c r="F218" s="91"/>
      <c r="G218" s="92"/>
      <c r="H218" s="91"/>
      <c r="I218" s="91"/>
      <c r="J218" s="92"/>
      <c r="K218" s="91"/>
      <c r="L218" s="91"/>
      <c r="M218" s="92"/>
      <c r="N218" s="91"/>
      <c r="O218" s="92"/>
    </row>
    <row r="219" spans="1:15" x14ac:dyDescent="0.25">
      <c r="A219" s="97"/>
      <c r="B219" s="142"/>
      <c r="C219" s="90"/>
      <c r="D219" s="139"/>
      <c r="E219" s="91"/>
      <c r="F219" s="91"/>
      <c r="G219" s="92"/>
      <c r="H219" s="91"/>
      <c r="I219" s="91"/>
      <c r="J219" s="92"/>
      <c r="K219" s="91"/>
      <c r="L219" s="91"/>
      <c r="M219" s="92"/>
      <c r="N219" s="91"/>
      <c r="O219" s="92" t="s">
        <v>694</v>
      </c>
    </row>
    <row r="220" spans="1:15" x14ac:dyDescent="0.25">
      <c r="A220" s="97"/>
      <c r="B220" s="142"/>
      <c r="C220" s="90"/>
      <c r="D220" s="139"/>
      <c r="E220" s="91"/>
      <c r="F220" s="91"/>
      <c r="G220" s="92"/>
      <c r="H220" s="91"/>
      <c r="I220" s="91"/>
      <c r="J220" s="92"/>
      <c r="K220" s="91"/>
      <c r="L220" s="91"/>
      <c r="M220" s="92"/>
      <c r="N220" s="91"/>
      <c r="O220" s="92"/>
    </row>
    <row r="221" spans="1:15" x14ac:dyDescent="0.25">
      <c r="A221" s="97"/>
      <c r="B221" s="142"/>
      <c r="C221" s="90"/>
      <c r="D221" s="139"/>
      <c r="E221" s="91"/>
      <c r="F221" s="91"/>
      <c r="G221" s="92"/>
      <c r="H221" s="91"/>
      <c r="I221" s="91"/>
      <c r="J221" s="92"/>
      <c r="K221" s="91"/>
      <c r="L221" s="91"/>
      <c r="M221" s="92"/>
      <c r="N221" s="91"/>
      <c r="O221" s="92"/>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102"/>
      <c r="B226" s="142"/>
      <c r="C226" s="90"/>
      <c r="D226" s="139"/>
      <c r="E226" s="91"/>
      <c r="F226" s="91"/>
      <c r="G226" s="92"/>
      <c r="H226" s="91"/>
      <c r="I226" s="91"/>
      <c r="J226" s="92"/>
      <c r="K226" s="91"/>
      <c r="L226" s="91"/>
      <c r="M226" s="92"/>
      <c r="N226" s="91"/>
      <c r="O226" s="92"/>
    </row>
    <row r="227" spans="1:15" x14ac:dyDescent="0.25">
      <c r="A227" s="122" t="s">
        <v>391</v>
      </c>
      <c r="B227" s="123">
        <f>SUM(B7:B221)</f>
        <v>2194072</v>
      </c>
      <c r="C227" s="123">
        <f>SUM(C7:C224)</f>
        <v>116257</v>
      </c>
      <c r="D227" s="124">
        <f>'Snapshot (Value)'!K228</f>
        <v>5.5948007095891754E-2</v>
      </c>
      <c r="E227" s="123">
        <f>SUM(E7:E222)</f>
        <v>568049</v>
      </c>
      <c r="F227" s="123">
        <f>SUM(F7:F222)</f>
        <v>5129</v>
      </c>
      <c r="G227" s="149">
        <f>F227*100/(E227-F227)</f>
        <v>0.91114190293469766</v>
      </c>
      <c r="H227" s="123">
        <f>SUM(H7:H222)</f>
        <v>909004</v>
      </c>
      <c r="I227" s="123">
        <f>SUM(I7:I222)</f>
        <v>53352</v>
      </c>
      <c r="J227" s="149">
        <f>I227/(H227-I227)</f>
        <v>6.2352451697652786E-2</v>
      </c>
      <c r="K227" s="123">
        <f>SUM(K7:K222)</f>
        <v>717019</v>
      </c>
      <c r="L227" s="123">
        <f>SUM(L7:L222)</f>
        <v>57765</v>
      </c>
      <c r="M227" s="149">
        <f>L227/(K227-L227)</f>
        <v>8.7621766420833247E-2</v>
      </c>
      <c r="N227" s="123">
        <f>SUM(N7:N222)</f>
        <v>516611</v>
      </c>
      <c r="O227" s="149">
        <f>(N227-FII!V2)/N227</f>
        <v>-1.7150234896275921E-3</v>
      </c>
    </row>
    <row r="232" spans="1:15" x14ac:dyDescent="0.25">
      <c r="A232" s="275" t="s">
        <v>408</v>
      </c>
      <c r="B232" s="275"/>
      <c r="C232" s="275"/>
      <c r="D232" s="275"/>
    </row>
    <row r="233" spans="1:15" x14ac:dyDescent="0.25">
      <c r="A233" s="35" t="s">
        <v>401</v>
      </c>
      <c r="B233" s="35" t="s">
        <v>402</v>
      </c>
      <c r="C233" s="35" t="s">
        <v>369</v>
      </c>
      <c r="D233" s="35" t="s">
        <v>407</v>
      </c>
    </row>
    <row r="234" spans="1:15" x14ac:dyDescent="0.25">
      <c r="A234" s="36" t="s">
        <v>403</v>
      </c>
      <c r="B234" s="37">
        <f>E227</f>
        <v>568049</v>
      </c>
      <c r="C234" s="37">
        <f>F227</f>
        <v>5129</v>
      </c>
      <c r="D234" s="39">
        <f>C234/B234</f>
        <v>9.02915065425694E-3</v>
      </c>
    </row>
    <row r="235" spans="1:15" x14ac:dyDescent="0.25">
      <c r="A235" s="36" t="s">
        <v>404</v>
      </c>
      <c r="B235" s="37">
        <f>H227</f>
        <v>909004</v>
      </c>
      <c r="C235" s="37">
        <f>I227</f>
        <v>53352</v>
      </c>
      <c r="D235" s="150">
        <f>C235/B235</f>
        <v>5.8692811032734729E-2</v>
      </c>
    </row>
    <row r="236" spans="1:15" x14ac:dyDescent="0.25">
      <c r="A236" s="36" t="s">
        <v>405</v>
      </c>
      <c r="B236" s="37">
        <f>K227</f>
        <v>717019</v>
      </c>
      <c r="C236" s="37">
        <f>L227</f>
        <v>57765</v>
      </c>
      <c r="D236" s="150">
        <f>C236/B236</f>
        <v>8.0562718700620206E-2</v>
      </c>
    </row>
    <row r="237" spans="1:15" x14ac:dyDescent="0.25">
      <c r="A237" s="36" t="s">
        <v>406</v>
      </c>
      <c r="B237" s="37">
        <f>B234+B235+B236</f>
        <v>2194072</v>
      </c>
      <c r="C237" s="37">
        <f>C234+C235+C236</f>
        <v>116246</v>
      </c>
      <c r="D237" s="150">
        <f>C237/B237</f>
        <v>5.2981852920050025E-2</v>
      </c>
    </row>
  </sheetData>
  <autoFilter ref="A6:O6">
    <sortState ref="A7:O154">
      <sortCondition ref="A6"/>
    </sortState>
  </autoFilter>
  <mergeCells count="9">
    <mergeCell ref="A232:D232"/>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6" topLeftCell="A40" activePane="bottomLeft" state="frozen"/>
      <selection pane="bottomLeft" activeCell="J57" sqref="J57"/>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3" t="s">
        <v>343</v>
      </c>
      <c r="B3" s="294"/>
      <c r="C3" s="294"/>
      <c r="D3" s="294"/>
      <c r="E3" s="294"/>
      <c r="F3" s="294"/>
      <c r="G3" s="295"/>
      <c r="H3" s="295"/>
      <c r="I3" s="295"/>
      <c r="J3" s="296"/>
    </row>
    <row r="4" spans="1:10" s="93" customFormat="1" x14ac:dyDescent="0.25">
      <c r="A4" s="297" t="s">
        <v>330</v>
      </c>
      <c r="B4" s="297" t="s">
        <v>308</v>
      </c>
      <c r="C4" s="297"/>
      <c r="D4" s="297"/>
      <c r="E4" s="297" t="s">
        <v>340</v>
      </c>
      <c r="F4" s="297"/>
      <c r="G4" s="297"/>
      <c r="H4" s="297" t="s">
        <v>458</v>
      </c>
      <c r="I4" s="297"/>
      <c r="J4" s="297"/>
    </row>
    <row r="5" spans="1:10" s="93" customFormat="1" x14ac:dyDescent="0.25">
      <c r="A5" s="298"/>
      <c r="B5" s="94" t="s">
        <v>312</v>
      </c>
      <c r="C5" s="94" t="s">
        <v>313</v>
      </c>
      <c r="D5" s="94"/>
      <c r="E5" s="298" t="s">
        <v>314</v>
      </c>
      <c r="F5" s="298"/>
      <c r="G5" s="298"/>
      <c r="H5" s="298" t="s">
        <v>314</v>
      </c>
      <c r="I5" s="298"/>
      <c r="J5" s="298"/>
    </row>
    <row r="6" spans="1:10" s="93" customFormat="1" x14ac:dyDescent="0.25">
      <c r="A6" s="94" t="s">
        <v>318</v>
      </c>
      <c r="B6" s="3">
        <f>'OI(Volume)'!B6</f>
        <v>46093</v>
      </c>
      <c r="C6" s="3">
        <f>B6</f>
        <v>46093</v>
      </c>
      <c r="D6" s="94" t="s">
        <v>328</v>
      </c>
      <c r="E6" s="3">
        <f>B6</f>
        <v>46093</v>
      </c>
      <c r="F6" s="94" t="s">
        <v>322</v>
      </c>
      <c r="G6" s="94" t="s">
        <v>328</v>
      </c>
      <c r="H6" s="3">
        <f>E6</f>
        <v>46093</v>
      </c>
      <c r="I6" s="94" t="s">
        <v>322</v>
      </c>
      <c r="J6" s="94" t="s">
        <v>328</v>
      </c>
    </row>
    <row r="7" spans="1:10" x14ac:dyDescent="0.25">
      <c r="A7" s="101" t="str">
        <f>'NIFTY GRP'!C2</f>
        <v>ADANIENT</v>
      </c>
      <c r="B7" s="140">
        <f>VLOOKUP($A7,'Data shares'!$C:$FA,7)</f>
        <v>2002</v>
      </c>
      <c r="C7" s="140">
        <f>VLOOKUP($A7,'Data shares'!$C:$FA,3)</f>
        <v>1998.9</v>
      </c>
      <c r="D7" s="50">
        <f>VLOOKUP($A7,'Data shares'!$C:$FA,6)*100</f>
        <v>1.1900000000000002</v>
      </c>
      <c r="E7" s="51">
        <f>VLOOKUP($A7,'Data shares'!$C:$FA,98)</f>
        <v>31332291</v>
      </c>
      <c r="F7" s="51">
        <f>VLOOKUP($A7,'Data shares'!$C:$FA,99)</f>
        <v>31270491</v>
      </c>
      <c r="G7" s="50">
        <f>VLOOKUP($A7,'Data shares'!$C:$FA,101)*100</f>
        <v>0.2</v>
      </c>
      <c r="H7" s="49">
        <f>VLOOKUP($A7,'Data Vlaue (Cr)'!$C:$FB,99)</f>
        <v>6263</v>
      </c>
      <c r="I7" s="49">
        <f>VLOOKUP($A7,'Data Vlaue (Cr)'!$C:$FB,100)</f>
        <v>6251</v>
      </c>
      <c r="J7" s="49">
        <f>VLOOKUP($A7,'Data Vlaue (Cr)'!$C:$FB,102)*100</f>
        <v>0.2</v>
      </c>
    </row>
    <row r="8" spans="1:10" x14ac:dyDescent="0.25">
      <c r="A8" s="101" t="str">
        <f>'NIFTY GRP'!C3</f>
        <v>ADANIPORTS</v>
      </c>
      <c r="B8" s="140">
        <f>VLOOKUP($A8,'Data shares'!$C:$FA,7)</f>
        <v>1391.5</v>
      </c>
      <c r="C8" s="140">
        <f>VLOOKUP($A8,'Data shares'!$C:$FA,3)</f>
        <v>1397</v>
      </c>
      <c r="D8" s="50">
        <f>VLOOKUP($A8,'Data shares'!$C:$FA,6)*100</f>
        <v>-1.31</v>
      </c>
      <c r="E8" s="51">
        <f>VLOOKUP($A8,'Data shares'!$C:$FA,98)</f>
        <v>37839450</v>
      </c>
      <c r="F8" s="51">
        <f>VLOOKUP($A8,'Data shares'!$C:$FA,99)</f>
        <v>37531175</v>
      </c>
      <c r="G8" s="50">
        <f>VLOOKUP($A8,'Data shares'!$C:$FA,101)*100</f>
        <v>0.82000000000000006</v>
      </c>
      <c r="H8" s="49">
        <f>VLOOKUP($A8,'Data Vlaue (Cr)'!$C:$FB,99)</f>
        <v>5286</v>
      </c>
      <c r="I8" s="49">
        <f>VLOOKUP($A8,'Data Vlaue (Cr)'!$C:$FB,100)</f>
        <v>5243</v>
      </c>
      <c r="J8" s="49">
        <f>VLOOKUP($A8,'Data Vlaue (Cr)'!$C:$FB,102)*100</f>
        <v>0.82000000000000006</v>
      </c>
    </row>
    <row r="9" spans="1:10" x14ac:dyDescent="0.25">
      <c r="A9" s="101" t="str">
        <f>'NIFTY GRP'!C4</f>
        <v>APOLLOHOSP</v>
      </c>
      <c r="B9" s="140">
        <f>VLOOKUP($A9,'Data shares'!$C:$FA,7)</f>
        <v>7574.5</v>
      </c>
      <c r="C9" s="140">
        <f>VLOOKUP($A9,'Data shares'!$C:$FA,3)</f>
        <v>7582.5</v>
      </c>
      <c r="D9" s="50">
        <f>VLOOKUP($A9,'Data shares'!$C:$FA,6)*100</f>
        <v>-1.5599999999999998</v>
      </c>
      <c r="E9" s="51">
        <f>VLOOKUP($A9,'Data shares'!$C:$FA,98)</f>
        <v>4295250</v>
      </c>
      <c r="F9" s="51">
        <f>VLOOKUP($A9,'Data shares'!$C:$FA,99)</f>
        <v>4352875</v>
      </c>
      <c r="G9" s="50">
        <f>VLOOKUP($A9,'Data shares'!$C:$FA,101)*100</f>
        <v>-1.32</v>
      </c>
      <c r="H9" s="49">
        <f>VLOOKUP($A9,'Data Vlaue (Cr)'!$C:$FB,99)</f>
        <v>3257</v>
      </c>
      <c r="I9" s="49">
        <f>VLOOKUP($A9,'Data Vlaue (Cr)'!$C:$FB,100)</f>
        <v>3301</v>
      </c>
      <c r="J9" s="49">
        <f>VLOOKUP($A9,'Data Vlaue (Cr)'!$C:$FB,102)*100</f>
        <v>-1.32</v>
      </c>
    </row>
    <row r="10" spans="1:10" x14ac:dyDescent="0.25">
      <c r="A10" s="101" t="str">
        <f>'NIFTY GRP'!C5</f>
        <v>ASIANPAINT</v>
      </c>
      <c r="B10" s="140">
        <f>VLOOKUP($A10,'Data shares'!$C:$FA,7)</f>
        <v>2221.1999999999998</v>
      </c>
      <c r="C10" s="140">
        <f>VLOOKUP($A10,'Data shares'!$C:$FA,3)</f>
        <v>2226.6</v>
      </c>
      <c r="D10" s="50">
        <f>VLOOKUP($A10,'Data shares'!$C:$FA,6)*100</f>
        <v>-0.35000000000000003</v>
      </c>
      <c r="E10" s="51">
        <f>VLOOKUP($A10,'Data shares'!$C:$FA,98)</f>
        <v>23344250</v>
      </c>
      <c r="F10" s="51">
        <f>VLOOKUP($A10,'Data shares'!$C:$FA,99)</f>
        <v>22916000</v>
      </c>
      <c r="G10" s="50">
        <f>VLOOKUP($A10,'Data shares'!$C:$FA,101)*100</f>
        <v>1.87</v>
      </c>
      <c r="H10" s="49">
        <f>VLOOKUP($A10,'Data Vlaue (Cr)'!$C:$FB,99)</f>
        <v>5198</v>
      </c>
      <c r="I10" s="49">
        <f>VLOOKUP($A10,'Data Vlaue (Cr)'!$C:$FB,100)</f>
        <v>5102</v>
      </c>
      <c r="J10" s="49">
        <f>VLOOKUP($A10,'Data Vlaue (Cr)'!$C:$FB,102)*100</f>
        <v>1.87</v>
      </c>
    </row>
    <row r="11" spans="1:10" x14ac:dyDescent="0.25">
      <c r="A11" s="101" t="str">
        <f>'NIFTY GRP'!C6</f>
        <v>AXISBANK</v>
      </c>
      <c r="B11" s="140">
        <f>VLOOKUP($A11,'Data shares'!$C:$FA,7)</f>
        <v>1234.5</v>
      </c>
      <c r="C11" s="140">
        <f>VLOOKUP($A11,'Data shares'!$C:$FA,3)</f>
        <v>1239.4000000000001</v>
      </c>
      <c r="D11" s="50">
        <f>VLOOKUP($A11,'Data shares'!$C:$FA,6)*100</f>
        <v>-1.66</v>
      </c>
      <c r="E11" s="51">
        <f>VLOOKUP($A11,'Data shares'!$C:$FA,98)</f>
        <v>102102500</v>
      </c>
      <c r="F11" s="51">
        <f>VLOOKUP($A11,'Data shares'!$C:$FA,99)</f>
        <v>98501250</v>
      </c>
      <c r="G11" s="50">
        <f>VLOOKUP($A11,'Data shares'!$C:$FA,101)*100</f>
        <v>3.66</v>
      </c>
      <c r="H11" s="49">
        <f>VLOOKUP($A11,'Data Vlaue (Cr)'!$C:$FB,99)</f>
        <v>12655</v>
      </c>
      <c r="I11" s="49">
        <f>VLOOKUP($A11,'Data Vlaue (Cr)'!$C:$FB,100)</f>
        <v>12208</v>
      </c>
      <c r="J11" s="49">
        <f>VLOOKUP($A11,'Data Vlaue (Cr)'!$C:$FB,102)*100</f>
        <v>3.66</v>
      </c>
    </row>
    <row r="12" spans="1:10" x14ac:dyDescent="0.25">
      <c r="A12" s="101" t="str">
        <f>'NIFTY GRP'!C7</f>
        <v>BAJAJ-AUTO</v>
      </c>
      <c r="B12" s="140">
        <f>VLOOKUP($A12,'Data shares'!$C:$FA,7)</f>
        <v>9162</v>
      </c>
      <c r="C12" s="140">
        <f>VLOOKUP($A12,'Data shares'!$C:$FA,3)</f>
        <v>9127.5</v>
      </c>
      <c r="D12" s="50">
        <f>VLOOKUP($A12,'Data shares'!$C:$FA,6)*100</f>
        <v>-1.94</v>
      </c>
      <c r="E12" s="51">
        <f>VLOOKUP($A12,'Data shares'!$C:$FA,98)</f>
        <v>5993475</v>
      </c>
      <c r="F12" s="51">
        <f>VLOOKUP($A12,'Data shares'!$C:$FA,99)</f>
        <v>5756100</v>
      </c>
      <c r="G12" s="50">
        <f>VLOOKUP($A12,'Data shares'!$C:$FA,101)*100</f>
        <v>4.12</v>
      </c>
      <c r="H12" s="49">
        <f>VLOOKUP($A12,'Data Vlaue (Cr)'!$C:$FB,99)</f>
        <v>5471</v>
      </c>
      <c r="I12" s="49">
        <f>VLOOKUP($A12,'Data Vlaue (Cr)'!$C:$FB,100)</f>
        <v>5254</v>
      </c>
      <c r="J12" s="49">
        <f>VLOOKUP($A12,'Data Vlaue (Cr)'!$C:$FB,102)*100</f>
        <v>4.12</v>
      </c>
    </row>
    <row r="13" spans="1:10" x14ac:dyDescent="0.25">
      <c r="A13" s="101" t="str">
        <f>'NIFTY GRP'!C8</f>
        <v>BAJAJFINSV</v>
      </c>
      <c r="B13" s="140">
        <f>VLOOKUP($A13,'Data shares'!$C:$FA,7)</f>
        <v>1770.8</v>
      </c>
      <c r="C13" s="140">
        <f>VLOOKUP($A13,'Data shares'!$C:$FA,3)</f>
        <v>1773.1</v>
      </c>
      <c r="D13" s="50">
        <f>VLOOKUP($A13,'Data shares'!$C:$FA,6)*100</f>
        <v>-1.3599999999999999</v>
      </c>
      <c r="E13" s="51">
        <f>VLOOKUP($A13,'Data shares'!$C:$FA,98)</f>
        <v>26389250</v>
      </c>
      <c r="F13" s="51">
        <f>VLOOKUP($A13,'Data shares'!$C:$FA,99)</f>
        <v>26189000</v>
      </c>
      <c r="G13" s="50">
        <f>VLOOKUP($A13,'Data shares'!$C:$FA,101)*100</f>
        <v>0.76</v>
      </c>
      <c r="H13" s="49">
        <f>VLOOKUP($A13,'Data Vlaue (Cr)'!$C:$FB,99)</f>
        <v>4679</v>
      </c>
      <c r="I13" s="49">
        <f>VLOOKUP($A13,'Data Vlaue (Cr)'!$C:$FB,100)</f>
        <v>4644</v>
      </c>
      <c r="J13" s="49">
        <f>VLOOKUP($A13,'Data Vlaue (Cr)'!$C:$FB,102)*100</f>
        <v>0.76</v>
      </c>
    </row>
    <row r="14" spans="1:10" x14ac:dyDescent="0.25">
      <c r="A14" s="101" t="str">
        <f>'NIFTY GRP'!C9</f>
        <v>BAJFINANCE</v>
      </c>
      <c r="B14" s="140">
        <f>VLOOKUP($A14,'Data shares'!$C:$FA,7)</f>
        <v>863.1</v>
      </c>
      <c r="C14" s="140">
        <f>VLOOKUP($A14,'Data shares'!$C:$FA,3)</f>
        <v>866.6</v>
      </c>
      <c r="D14" s="50">
        <f>VLOOKUP($A14,'Data shares'!$C:$FA,6)*100</f>
        <v>-3.08</v>
      </c>
      <c r="E14" s="51">
        <f>VLOOKUP($A14,'Data shares'!$C:$FA,98)</f>
        <v>118915500</v>
      </c>
      <c r="F14" s="51">
        <f>VLOOKUP($A14,'Data shares'!$C:$FA,99)</f>
        <v>111499500</v>
      </c>
      <c r="G14" s="50">
        <f>VLOOKUP($A14,'Data shares'!$C:$FA,101)*100</f>
        <v>6.65</v>
      </c>
      <c r="H14" s="49">
        <f>VLOOKUP($A14,'Data Vlaue (Cr)'!$C:$FB,99)</f>
        <v>10305</v>
      </c>
      <c r="I14" s="49">
        <f>VLOOKUP($A14,'Data Vlaue (Cr)'!$C:$FB,100)</f>
        <v>9663</v>
      </c>
      <c r="J14" s="49">
        <f>VLOOKUP($A14,'Data Vlaue (Cr)'!$C:$FB,102)*100</f>
        <v>6.65</v>
      </c>
    </row>
    <row r="15" spans="1:10" x14ac:dyDescent="0.25">
      <c r="A15" s="101" t="str">
        <f>'NIFTY GRP'!C10</f>
        <v>BEL</v>
      </c>
      <c r="B15" s="140">
        <f>VLOOKUP($A15,'Data shares'!$C:$FA,7)</f>
        <v>453.55</v>
      </c>
      <c r="C15" s="140">
        <f>VLOOKUP($A15,'Data shares'!$C:$FA,3)</f>
        <v>454.4</v>
      </c>
      <c r="D15" s="50">
        <f>VLOOKUP($A15,'Data shares'!$C:$FA,6)*100</f>
        <v>-0.31</v>
      </c>
      <c r="E15" s="51">
        <f>VLOOKUP($A15,'Data shares'!$C:$FA,98)</f>
        <v>190448400</v>
      </c>
      <c r="F15" s="51">
        <f>VLOOKUP($A15,'Data shares'!$C:$FA,99)</f>
        <v>187309125</v>
      </c>
      <c r="G15" s="50">
        <f>VLOOKUP($A15,'Data shares'!$C:$FA,101)*100</f>
        <v>1.68</v>
      </c>
      <c r="H15" s="49">
        <f>VLOOKUP($A15,'Data Vlaue (Cr)'!$C:$FB,99)</f>
        <v>8654</v>
      </c>
      <c r="I15" s="49">
        <f>VLOOKUP($A15,'Data Vlaue (Cr)'!$C:$FB,100)</f>
        <v>8511</v>
      </c>
      <c r="J15" s="49">
        <f>VLOOKUP($A15,'Data Vlaue (Cr)'!$C:$FB,102)*100</f>
        <v>1.68</v>
      </c>
    </row>
    <row r="16" spans="1:10" x14ac:dyDescent="0.25">
      <c r="A16" s="101" t="str">
        <f>'NIFTY GRP'!C11</f>
        <v>BHARTIARTL</v>
      </c>
      <c r="B16" s="140">
        <f>VLOOKUP($A16,'Data shares'!$C:$FA,7)</f>
        <v>1801.3</v>
      </c>
      <c r="C16" s="140">
        <f>VLOOKUP($A16,'Data shares'!$C:$FA,3)</f>
        <v>1807.3</v>
      </c>
      <c r="D16" s="50">
        <f>VLOOKUP($A16,'Data shares'!$C:$FA,6)*100</f>
        <v>-0.22</v>
      </c>
      <c r="E16" s="51">
        <f>VLOOKUP($A16,'Data shares'!$C:$FA,98)</f>
        <v>97084775</v>
      </c>
      <c r="F16" s="51">
        <f>VLOOKUP($A16,'Data shares'!$C:$FA,99)</f>
        <v>97659525</v>
      </c>
      <c r="G16" s="50">
        <f>VLOOKUP($A16,'Data shares'!$C:$FA,101)*100</f>
        <v>-0.59</v>
      </c>
      <c r="H16" s="49">
        <f>VLOOKUP($A16,'Data Vlaue (Cr)'!$C:$FB,99)</f>
        <v>17546</v>
      </c>
      <c r="I16" s="49">
        <f>VLOOKUP($A16,'Data Vlaue (Cr)'!$C:$FB,100)</f>
        <v>17650</v>
      </c>
      <c r="J16" s="49">
        <f>VLOOKUP($A16,'Data Vlaue (Cr)'!$C:$FB,102)*100</f>
        <v>-0.59</v>
      </c>
    </row>
    <row r="17" spans="1:10" x14ac:dyDescent="0.25">
      <c r="A17" s="101" t="str">
        <f>'NIFTY GRP'!C12</f>
        <v>CIPLA</v>
      </c>
      <c r="B17" s="140">
        <f>VLOOKUP($A17,'Data shares'!$C:$FA,7)</f>
        <v>1324.3</v>
      </c>
      <c r="C17" s="140">
        <f>VLOOKUP($A17,'Data shares'!$C:$FA,3)</f>
        <v>1329.8</v>
      </c>
      <c r="D17" s="50">
        <f>VLOOKUP($A17,'Data shares'!$C:$FA,6)*100</f>
        <v>-0.03</v>
      </c>
      <c r="E17" s="51">
        <f>VLOOKUP($A17,'Data shares'!$C:$FA,98)</f>
        <v>24705000</v>
      </c>
      <c r="F17" s="51">
        <f>VLOOKUP($A17,'Data shares'!$C:$FA,99)</f>
        <v>23625000</v>
      </c>
      <c r="G17" s="50">
        <f>VLOOKUP($A17,'Data shares'!$C:$FA,101)*100</f>
        <v>4.5699999999999994</v>
      </c>
      <c r="H17" s="49">
        <f>VLOOKUP($A17,'Data Vlaue (Cr)'!$C:$FB,99)</f>
        <v>3285</v>
      </c>
      <c r="I17" s="49">
        <f>VLOOKUP($A17,'Data Vlaue (Cr)'!$C:$FB,100)</f>
        <v>3142</v>
      </c>
      <c r="J17" s="49">
        <f>VLOOKUP($A17,'Data Vlaue (Cr)'!$C:$FB,102)*100</f>
        <v>4.5699999999999994</v>
      </c>
    </row>
    <row r="18" spans="1:10" x14ac:dyDescent="0.25">
      <c r="A18" s="101" t="str">
        <f>'NIFTY GRP'!C13</f>
        <v>COALINDIA</v>
      </c>
      <c r="B18" s="140">
        <f>VLOOKUP($A18,'Data shares'!$C:$FA,7)</f>
        <v>470.1</v>
      </c>
      <c r="C18" s="140">
        <f>VLOOKUP($A18,'Data shares'!$C:$FA,3)</f>
        <v>470.55</v>
      </c>
      <c r="D18" s="50">
        <f>VLOOKUP($A18,'Data shares'!$C:$FA,6)*100</f>
        <v>4.93</v>
      </c>
      <c r="E18" s="51">
        <f>VLOOKUP($A18,'Data shares'!$C:$FA,98)</f>
        <v>113528250</v>
      </c>
      <c r="F18" s="51">
        <f>VLOOKUP($A18,'Data shares'!$C:$FA,99)</f>
        <v>102832200</v>
      </c>
      <c r="G18" s="50">
        <f>VLOOKUP($A18,'Data shares'!$C:$FA,101)*100</f>
        <v>10.4</v>
      </c>
      <c r="H18" s="49">
        <f>VLOOKUP($A18,'Data Vlaue (Cr)'!$C:$FB,99)</f>
        <v>5342</v>
      </c>
      <c r="I18" s="49">
        <f>VLOOKUP($A18,'Data Vlaue (Cr)'!$C:$FB,100)</f>
        <v>4839</v>
      </c>
      <c r="J18" s="49">
        <f>VLOOKUP($A18,'Data Vlaue (Cr)'!$C:$FB,102)*100</f>
        <v>10.4</v>
      </c>
    </row>
    <row r="19" spans="1:10" x14ac:dyDescent="0.25">
      <c r="A19" s="101" t="str">
        <f>'NIFTY GRP'!C14</f>
        <v>DRREDDY</v>
      </c>
      <c r="B19" s="140">
        <f>VLOOKUP($A19,'Data shares'!$C:$FA,7)</f>
        <v>1319</v>
      </c>
      <c r="C19" s="140">
        <f>VLOOKUP($A19,'Data shares'!$C:$FA,3)</f>
        <v>1324.2</v>
      </c>
      <c r="D19" s="50">
        <f>VLOOKUP($A19,'Data shares'!$C:$FA,6)*100</f>
        <v>-0.16999999999999998</v>
      </c>
      <c r="E19" s="51">
        <f>VLOOKUP($A19,'Data shares'!$C:$FA,98)</f>
        <v>29508125</v>
      </c>
      <c r="F19" s="51">
        <f>VLOOKUP($A19,'Data shares'!$C:$FA,99)</f>
        <v>29282500</v>
      </c>
      <c r="G19" s="50">
        <f>VLOOKUP($A19,'Data shares'!$C:$FA,101)*100</f>
        <v>0.77</v>
      </c>
      <c r="H19" s="49">
        <f>VLOOKUP($A19,'Data Vlaue (Cr)'!$C:$FB,99)</f>
        <v>3907</v>
      </c>
      <c r="I19" s="49">
        <f>VLOOKUP($A19,'Data Vlaue (Cr)'!$C:$FB,100)</f>
        <v>3878</v>
      </c>
      <c r="J19" s="49">
        <f>VLOOKUP($A19,'Data Vlaue (Cr)'!$C:$FB,102)*100</f>
        <v>0.77</v>
      </c>
    </row>
    <row r="20" spans="1:10" x14ac:dyDescent="0.25">
      <c r="A20" s="101" t="str">
        <f>'NIFTY GRP'!C15</f>
        <v>EICHERMOT</v>
      </c>
      <c r="B20" s="140">
        <f>VLOOKUP($A20,'Data shares'!$C:$FA,7)</f>
        <v>6975.5</v>
      </c>
      <c r="C20" s="140">
        <f>VLOOKUP($A20,'Data shares'!$C:$FA,3)</f>
        <v>7005</v>
      </c>
      <c r="D20" s="50">
        <f>VLOOKUP($A20,'Data shares'!$C:$FA,6)*100</f>
        <v>-3.74</v>
      </c>
      <c r="E20" s="51">
        <f>VLOOKUP($A20,'Data shares'!$C:$FA,98)</f>
        <v>7581900</v>
      </c>
      <c r="F20" s="51">
        <f>VLOOKUP($A20,'Data shares'!$C:$FA,99)</f>
        <v>6850000</v>
      </c>
      <c r="G20" s="50">
        <f>VLOOKUP($A20,'Data shares'!$C:$FA,101)*100</f>
        <v>10.68</v>
      </c>
      <c r="H20" s="49">
        <f>VLOOKUP($A20,'Data Vlaue (Cr)'!$C:$FB,99)</f>
        <v>5311</v>
      </c>
      <c r="I20" s="49">
        <f>VLOOKUP($A20,'Data Vlaue (Cr)'!$C:$FB,100)</f>
        <v>4798</v>
      </c>
      <c r="J20" s="49">
        <f>VLOOKUP($A20,'Data Vlaue (Cr)'!$C:$FB,102)*100</f>
        <v>10.68</v>
      </c>
    </row>
    <row r="21" spans="1:10" x14ac:dyDescent="0.25">
      <c r="A21" s="101" t="str">
        <f>'NIFTY GRP'!C16</f>
        <v>ETERNAL</v>
      </c>
      <c r="B21" s="140">
        <f>VLOOKUP($A21,'Data shares'!$C:$FA,7)</f>
        <v>221.17</v>
      </c>
      <c r="C21" s="140">
        <f>VLOOKUP($A21,'Data shares'!$C:$FA,3)</f>
        <v>221.99</v>
      </c>
      <c r="D21" s="50">
        <f>VLOOKUP($A21,'Data shares'!$C:$FA,6)*100</f>
        <v>-0.89999999999999991</v>
      </c>
      <c r="E21" s="51">
        <f>VLOOKUP($A21,'Data shares'!$C:$FA,98)</f>
        <v>494205300</v>
      </c>
      <c r="F21" s="51">
        <f>VLOOKUP($A21,'Data shares'!$C:$FA,99)</f>
        <v>490102200</v>
      </c>
      <c r="G21" s="50">
        <f>VLOOKUP($A21,'Data shares'!$C:$FA,101)*100</f>
        <v>0.84</v>
      </c>
      <c r="H21" s="49">
        <f>VLOOKUP($A21,'Data Vlaue (Cr)'!$C:$FB,99)</f>
        <v>10971</v>
      </c>
      <c r="I21" s="49">
        <f>VLOOKUP($A21,'Data Vlaue (Cr)'!$C:$FB,100)</f>
        <v>10880</v>
      </c>
      <c r="J21" s="49">
        <f>VLOOKUP($A21,'Data Vlaue (Cr)'!$C:$FB,102)*100</f>
        <v>0.84</v>
      </c>
    </row>
    <row r="22" spans="1:10" x14ac:dyDescent="0.25">
      <c r="A22" s="101" t="str">
        <f>'NIFTY GRP'!C17</f>
        <v>GRASIM</v>
      </c>
      <c r="B22" s="140">
        <f>VLOOKUP($A22,'Data shares'!$C:$FA,7)</f>
        <v>2673.1</v>
      </c>
      <c r="C22" s="140">
        <f>VLOOKUP($A22,'Data shares'!$C:$FA,3)</f>
        <v>2675.6</v>
      </c>
      <c r="D22" s="50">
        <f>VLOOKUP($A22,'Data shares'!$C:$FA,6)*100</f>
        <v>-2.15</v>
      </c>
      <c r="E22" s="51">
        <f>VLOOKUP($A22,'Data shares'!$C:$FA,98)</f>
        <v>18159250</v>
      </c>
      <c r="F22" s="51">
        <f>VLOOKUP($A22,'Data shares'!$C:$FA,99)</f>
        <v>18004750</v>
      </c>
      <c r="G22" s="50">
        <f>VLOOKUP($A22,'Data shares'!$C:$FA,101)*100</f>
        <v>0.86</v>
      </c>
      <c r="H22" s="49">
        <f>VLOOKUP($A22,'Data Vlaue (Cr)'!$C:$FB,99)</f>
        <v>4859</v>
      </c>
      <c r="I22" s="49">
        <f>VLOOKUP($A22,'Data Vlaue (Cr)'!$C:$FB,100)</f>
        <v>4817</v>
      </c>
      <c r="J22" s="49">
        <f>VLOOKUP($A22,'Data Vlaue (Cr)'!$C:$FB,102)*100</f>
        <v>0.86</v>
      </c>
    </row>
    <row r="23" spans="1:10" x14ac:dyDescent="0.25">
      <c r="A23" s="101" t="str">
        <f>'NIFTY GRP'!C18</f>
        <v>HCLTECH</v>
      </c>
      <c r="B23" s="140">
        <f>VLOOKUP($A23,'Data shares'!$C:$FA,7)</f>
        <v>1358.1</v>
      </c>
      <c r="C23" s="140">
        <f>VLOOKUP($A23,'Data shares'!$C:$FA,3)</f>
        <v>1352.4</v>
      </c>
      <c r="D23" s="50">
        <f>VLOOKUP($A23,'Data shares'!$C:$FA,6)*100</f>
        <v>0.27999999999999997</v>
      </c>
      <c r="E23" s="51">
        <f>VLOOKUP($A23,'Data shares'!$C:$FA,98)</f>
        <v>38261300</v>
      </c>
      <c r="F23" s="51">
        <f>VLOOKUP($A23,'Data shares'!$C:$FA,99)</f>
        <v>36751050</v>
      </c>
      <c r="G23" s="50">
        <f>VLOOKUP($A23,'Data shares'!$C:$FA,101)*100</f>
        <v>4.1099999999999994</v>
      </c>
      <c r="H23" s="49">
        <f>VLOOKUP($A23,'Data Vlaue (Cr)'!$C:$FB,99)</f>
        <v>5174</v>
      </c>
      <c r="I23" s="49">
        <f>VLOOKUP($A23,'Data Vlaue (Cr)'!$C:$FB,100)</f>
        <v>4970</v>
      </c>
      <c r="J23" s="49">
        <f>VLOOKUP($A23,'Data Vlaue (Cr)'!$C:$FB,102)*100</f>
        <v>4.1099999999999994</v>
      </c>
    </row>
    <row r="24" spans="1:10" x14ac:dyDescent="0.25">
      <c r="A24" s="101" t="str">
        <f>'NIFTY GRP'!C19</f>
        <v>HDFCBANK</v>
      </c>
      <c r="B24" s="140">
        <f>VLOOKUP($A24,'Data shares'!$C:$FA,7)</f>
        <v>832.75</v>
      </c>
      <c r="C24" s="140">
        <f>VLOOKUP($A24,'Data shares'!$C:$FA,3)</f>
        <v>835.3</v>
      </c>
      <c r="D24" s="50">
        <f>VLOOKUP($A24,'Data shares'!$C:$FA,6)*100</f>
        <v>-0.32</v>
      </c>
      <c r="E24" s="51">
        <f>VLOOKUP($A24,'Data shares'!$C:$FA,98)</f>
        <v>458392000</v>
      </c>
      <c r="F24" s="51">
        <f>VLOOKUP($A24,'Data shares'!$C:$FA,99)</f>
        <v>462442750</v>
      </c>
      <c r="G24" s="50">
        <f>VLOOKUP($A24,'Data shares'!$C:$FA,101)*100</f>
        <v>-0.88</v>
      </c>
      <c r="H24" s="49">
        <f>VLOOKUP($A24,'Data Vlaue (Cr)'!$C:$FB,99)</f>
        <v>38289</v>
      </c>
      <c r="I24" s="49">
        <f>VLOOKUP($A24,'Data Vlaue (Cr)'!$C:$FB,100)</f>
        <v>38628</v>
      </c>
      <c r="J24" s="49">
        <f>VLOOKUP($A24,'Data Vlaue (Cr)'!$C:$FB,102)*100</f>
        <v>-0.88</v>
      </c>
    </row>
    <row r="25" spans="1:10" x14ac:dyDescent="0.25">
      <c r="A25" s="101" t="str">
        <f>'NIFTY GRP'!C20</f>
        <v>HDFCLIFE</v>
      </c>
      <c r="B25" s="140">
        <f>VLOOKUP($A25,'Data shares'!$C:$FA,7)</f>
        <v>645.70000000000005</v>
      </c>
      <c r="C25" s="140">
        <f>VLOOKUP($A25,'Data shares'!$C:$FA,3)</f>
        <v>646.6</v>
      </c>
      <c r="D25" s="50">
        <f>VLOOKUP($A25,'Data shares'!$C:$FA,6)*100</f>
        <v>-0.37</v>
      </c>
      <c r="E25" s="51">
        <f>VLOOKUP($A25,'Data shares'!$C:$FA,98)</f>
        <v>57720300</v>
      </c>
      <c r="F25" s="51">
        <f>VLOOKUP($A25,'Data shares'!$C:$FA,99)</f>
        <v>57817100</v>
      </c>
      <c r="G25" s="50">
        <f>VLOOKUP($A25,'Data shares'!$C:$FA,101)*100</f>
        <v>-0.16999999999999998</v>
      </c>
      <c r="H25" s="49">
        <f>VLOOKUP($A25,'Data Vlaue (Cr)'!$C:$FB,99)</f>
        <v>3732</v>
      </c>
      <c r="I25" s="49">
        <f>VLOOKUP($A25,'Data Vlaue (Cr)'!$C:$FB,100)</f>
        <v>3738</v>
      </c>
      <c r="J25" s="49">
        <f>VLOOKUP($A25,'Data Vlaue (Cr)'!$C:$FB,102)*100</f>
        <v>-0.16999999999999998</v>
      </c>
    </row>
    <row r="26" spans="1:10" x14ac:dyDescent="0.25">
      <c r="A26" s="101" t="str">
        <f>'NIFTY GRP'!C21</f>
        <v>HINDALCO</v>
      </c>
      <c r="B26" s="140">
        <f>VLOOKUP($A26,'Data shares'!$C:$FA,7)</f>
        <v>969.75</v>
      </c>
      <c r="C26" s="140">
        <f>VLOOKUP($A26,'Data shares'!$C:$FA,3)</f>
        <v>970.9</v>
      </c>
      <c r="D26" s="50">
        <f>VLOOKUP($A26,'Data shares'!$C:$FA,6)*100</f>
        <v>1.1199999999999999</v>
      </c>
      <c r="E26" s="51">
        <f>VLOOKUP($A26,'Data shares'!$C:$FA,98)</f>
        <v>65163000</v>
      </c>
      <c r="F26" s="51">
        <f>VLOOKUP($A26,'Data shares'!$C:$FA,99)</f>
        <v>65377900</v>
      </c>
      <c r="G26" s="50">
        <f>VLOOKUP($A26,'Data shares'!$C:$FA,101)*100</f>
        <v>-0.33</v>
      </c>
      <c r="H26" s="49">
        <f>VLOOKUP($A26,'Data Vlaue (Cr)'!$C:$FB,99)</f>
        <v>6327</v>
      </c>
      <c r="I26" s="49">
        <f>VLOOKUP($A26,'Data Vlaue (Cr)'!$C:$FB,100)</f>
        <v>6348</v>
      </c>
      <c r="J26" s="49">
        <f>VLOOKUP($A26,'Data Vlaue (Cr)'!$C:$FB,102)*100</f>
        <v>-0.33</v>
      </c>
    </row>
    <row r="27" spans="1:10" x14ac:dyDescent="0.25">
      <c r="A27" s="101" t="str">
        <f>'NIFTY GRP'!C22</f>
        <v>HINDUNILVR</v>
      </c>
      <c r="B27" s="140">
        <f>VLOOKUP($A27,'Data shares'!$C:$FA,7)</f>
        <v>2136.9</v>
      </c>
      <c r="C27" s="140">
        <f>VLOOKUP($A27,'Data shares'!$C:$FA,3)</f>
        <v>2139</v>
      </c>
      <c r="D27" s="50">
        <f>VLOOKUP($A27,'Data shares'!$C:$FA,6)*100</f>
        <v>-1.37</v>
      </c>
      <c r="E27" s="51">
        <f>VLOOKUP($A27,'Data shares'!$C:$FA,98)</f>
        <v>26499000</v>
      </c>
      <c r="F27" s="51">
        <f>VLOOKUP($A27,'Data shares'!$C:$FA,99)</f>
        <v>25338600</v>
      </c>
      <c r="G27" s="50">
        <f>VLOOKUP($A27,'Data shares'!$C:$FA,101)*100</f>
        <v>4.58</v>
      </c>
      <c r="H27" s="49">
        <f>VLOOKUP($A27,'Data Vlaue (Cr)'!$C:$FB,99)</f>
        <v>5668</v>
      </c>
      <c r="I27" s="49">
        <f>VLOOKUP($A27,'Data Vlaue (Cr)'!$C:$FB,100)</f>
        <v>5420</v>
      </c>
      <c r="J27" s="49">
        <f>VLOOKUP($A27,'Data Vlaue (Cr)'!$C:$FB,102)*100</f>
        <v>4.58</v>
      </c>
    </row>
    <row r="28" spans="1:10" x14ac:dyDescent="0.25">
      <c r="A28" s="101" t="str">
        <f>'NIFTY GRP'!C23</f>
        <v>ICICIBANK</v>
      </c>
      <c r="B28" s="140">
        <f>VLOOKUP($A28,'Data shares'!$C:$FA,7)</f>
        <v>1266.5</v>
      </c>
      <c r="C28" s="140">
        <f>VLOOKUP($A28,'Data shares'!$C:$FA,3)</f>
        <v>1271.5999999999999</v>
      </c>
      <c r="D28" s="50">
        <f>VLOOKUP($A28,'Data shares'!$C:$FA,6)*100</f>
        <v>-1.9</v>
      </c>
      <c r="E28" s="51">
        <f>VLOOKUP($A28,'Data shares'!$C:$FA,98)</f>
        <v>186146800</v>
      </c>
      <c r="F28" s="51">
        <f>VLOOKUP($A28,'Data shares'!$C:$FA,99)</f>
        <v>181717900</v>
      </c>
      <c r="G28" s="50">
        <f>VLOOKUP($A28,'Data shares'!$C:$FA,101)*100</f>
        <v>2.44</v>
      </c>
      <c r="H28" s="49">
        <f>VLOOKUP($A28,'Data Vlaue (Cr)'!$C:$FB,99)</f>
        <v>23670</v>
      </c>
      <c r="I28" s="49">
        <f>VLOOKUP($A28,'Data Vlaue (Cr)'!$C:$FB,100)</f>
        <v>23107</v>
      </c>
      <c r="J28" s="49">
        <f>VLOOKUP($A28,'Data Vlaue (Cr)'!$C:$FB,102)*100</f>
        <v>2.44</v>
      </c>
    </row>
    <row r="29" spans="1:10" x14ac:dyDescent="0.25">
      <c r="A29" s="101" t="str">
        <f>'NIFTY GRP'!C24</f>
        <v>INDIGO</v>
      </c>
      <c r="B29" s="140">
        <f>VLOOKUP($A29,'Data shares'!$C:$FA,7)</f>
        <v>4251.7</v>
      </c>
      <c r="C29" s="140">
        <f>VLOOKUP($A29,'Data shares'!$C:$FA,3)</f>
        <v>4258.1000000000004</v>
      </c>
      <c r="D29" s="50">
        <f>VLOOKUP($A29,'Data shares'!$C:$FA,6)*100</f>
        <v>-2.2399999999999998</v>
      </c>
      <c r="E29" s="51">
        <f>VLOOKUP($A29,'Data shares'!$C:$FA,98)</f>
        <v>21913500</v>
      </c>
      <c r="F29" s="51">
        <f>VLOOKUP($A29,'Data shares'!$C:$FA,99)</f>
        <v>21936300</v>
      </c>
      <c r="G29" s="50">
        <f>VLOOKUP($A29,'Data shares'!$C:$FA,101)*100</f>
        <v>-0.1</v>
      </c>
      <c r="H29" s="49">
        <f>VLOOKUP($A29,'Data Vlaue (Cr)'!$C:$FB,99)</f>
        <v>9331</v>
      </c>
      <c r="I29" s="49">
        <f>VLOOKUP($A29,'Data Vlaue (Cr)'!$C:$FB,100)</f>
        <v>9341</v>
      </c>
      <c r="J29" s="49">
        <f>VLOOKUP($A29,'Data Vlaue (Cr)'!$C:$FB,102)*100</f>
        <v>-0.1</v>
      </c>
    </row>
    <row r="30" spans="1:10" x14ac:dyDescent="0.25">
      <c r="A30" s="101" t="str">
        <f>'NIFTY GRP'!C25</f>
        <v>INFY</v>
      </c>
      <c r="B30" s="140">
        <f>VLOOKUP($A30,'Data shares'!$C:$FA,7)</f>
        <v>1265.8</v>
      </c>
      <c r="C30" s="140">
        <f>VLOOKUP($A30,'Data shares'!$C:$FA,3)</f>
        <v>1270.2</v>
      </c>
      <c r="D30" s="50">
        <f>VLOOKUP($A30,'Data shares'!$C:$FA,6)*100</f>
        <v>-0.63</v>
      </c>
      <c r="E30" s="51">
        <f>VLOOKUP($A30,'Data shares'!$C:$FA,98)</f>
        <v>139255200</v>
      </c>
      <c r="F30" s="51">
        <f>VLOOKUP($A30,'Data shares'!$C:$FA,99)</f>
        <v>140021600</v>
      </c>
      <c r="G30" s="50">
        <f>VLOOKUP($A30,'Data shares'!$C:$FA,101)*100</f>
        <v>-0.54999999999999993</v>
      </c>
      <c r="H30" s="49">
        <f>VLOOKUP($A30,'Data Vlaue (Cr)'!$C:$FB,99)</f>
        <v>17688</v>
      </c>
      <c r="I30" s="49">
        <f>VLOOKUP($A30,'Data Vlaue (Cr)'!$C:$FB,100)</f>
        <v>17786</v>
      </c>
      <c r="J30" s="49">
        <f>VLOOKUP($A30,'Data Vlaue (Cr)'!$C:$FB,102)*100</f>
        <v>-0.54999999999999993</v>
      </c>
    </row>
    <row r="31" spans="1:10" x14ac:dyDescent="0.25">
      <c r="A31" s="101" t="str">
        <f>'NIFTY GRP'!C26</f>
        <v>ITC</v>
      </c>
      <c r="B31" s="140">
        <f>VLOOKUP($A31,'Data shares'!$C:$FA,7)</f>
        <v>304.10000000000002</v>
      </c>
      <c r="C31" s="140">
        <f>VLOOKUP($A31,'Data shares'!$C:$FA,3)</f>
        <v>304.95</v>
      </c>
      <c r="D31" s="50">
        <f>VLOOKUP($A31,'Data shares'!$C:$FA,6)*100</f>
        <v>-1.4200000000000002</v>
      </c>
      <c r="E31" s="51">
        <f>VLOOKUP($A31,'Data shares'!$C:$FA,98)</f>
        <v>345281600</v>
      </c>
      <c r="F31" s="51">
        <f>VLOOKUP($A31,'Data shares'!$C:$FA,99)</f>
        <v>342256000</v>
      </c>
      <c r="G31" s="50">
        <f>VLOOKUP($A31,'Data shares'!$C:$FA,101)*100</f>
        <v>0.88</v>
      </c>
      <c r="H31" s="49">
        <f>VLOOKUP($A31,'Data Vlaue (Cr)'!$C:$FB,99)</f>
        <v>10529</v>
      </c>
      <c r="I31" s="49">
        <f>VLOOKUP($A31,'Data Vlaue (Cr)'!$C:$FB,100)</f>
        <v>10437</v>
      </c>
      <c r="J31" s="49">
        <f>VLOOKUP($A31,'Data Vlaue (Cr)'!$C:$FB,102)*100</f>
        <v>0.88</v>
      </c>
    </row>
    <row r="32" spans="1:10" x14ac:dyDescent="0.25">
      <c r="A32" s="101" t="str">
        <f>'NIFTY GRP'!C27</f>
        <v>JIOFIN</v>
      </c>
      <c r="B32" s="140">
        <f>VLOOKUP($A32,'Data shares'!$C:$FA,7)</f>
        <v>242.2</v>
      </c>
      <c r="C32" s="140">
        <f>VLOOKUP($A32,'Data shares'!$C:$FA,3)</f>
        <v>242.65</v>
      </c>
      <c r="D32" s="50">
        <f>VLOOKUP($A32,'Data shares'!$C:$FA,6)*100</f>
        <v>1.5699999999999998</v>
      </c>
      <c r="E32" s="51">
        <f>VLOOKUP($A32,'Data shares'!$C:$FA,98)</f>
        <v>269389900</v>
      </c>
      <c r="F32" s="51">
        <f>VLOOKUP($A32,'Data shares'!$C:$FA,99)</f>
        <v>269761200</v>
      </c>
      <c r="G32" s="50">
        <f>VLOOKUP($A32,'Data shares'!$C:$FA,101)*100</f>
        <v>-0.13999999999999999</v>
      </c>
      <c r="H32" s="49">
        <f>VLOOKUP($A32,'Data Vlaue (Cr)'!$C:$FB,99)</f>
        <v>6537</v>
      </c>
      <c r="I32" s="49">
        <f>VLOOKUP($A32,'Data Vlaue (Cr)'!$C:$FB,100)</f>
        <v>6546</v>
      </c>
      <c r="J32" s="49">
        <f>VLOOKUP($A32,'Data Vlaue (Cr)'!$C:$FB,102)*100</f>
        <v>-0.13999999999999999</v>
      </c>
    </row>
    <row r="33" spans="1:10" x14ac:dyDescent="0.25">
      <c r="A33" s="101" t="str">
        <f>'NIFTY GRP'!C28</f>
        <v>JSWSTEEL</v>
      </c>
      <c r="B33" s="140">
        <f>VLOOKUP($A33,'Data shares'!$C:$FA,7)</f>
        <v>1172.5999999999999</v>
      </c>
      <c r="C33" s="140">
        <f>VLOOKUP($A33,'Data shares'!$C:$FA,3)</f>
        <v>1174.4000000000001</v>
      </c>
      <c r="D33" s="50">
        <f>VLOOKUP($A33,'Data shares'!$C:$FA,6)*100</f>
        <v>-0.41000000000000003</v>
      </c>
      <c r="E33" s="51">
        <f>VLOOKUP($A33,'Data shares'!$C:$FA,98)</f>
        <v>63227925</v>
      </c>
      <c r="F33" s="51">
        <f>VLOOKUP($A33,'Data shares'!$C:$FA,99)</f>
        <v>62809425</v>
      </c>
      <c r="G33" s="50">
        <f>VLOOKUP($A33,'Data shares'!$C:$FA,101)*100</f>
        <v>0.67</v>
      </c>
      <c r="H33" s="49">
        <f>VLOOKUP($A33,'Data Vlaue (Cr)'!$C:$FB,99)</f>
        <v>7425</v>
      </c>
      <c r="I33" s="49">
        <f>VLOOKUP($A33,'Data Vlaue (Cr)'!$C:$FB,100)</f>
        <v>7376</v>
      </c>
      <c r="J33" s="49">
        <f>VLOOKUP($A33,'Data Vlaue (Cr)'!$C:$FB,102)*100</f>
        <v>0.67</v>
      </c>
    </row>
    <row r="34" spans="1:10" x14ac:dyDescent="0.25">
      <c r="A34" s="101" t="str">
        <f>'NIFTY GRP'!C29</f>
        <v>KOTAKBANK</v>
      </c>
      <c r="B34" s="140">
        <f>VLOOKUP($A34,'Data shares'!$C:$FA,7)</f>
        <v>375.3</v>
      </c>
      <c r="C34" s="140">
        <f>VLOOKUP($A34,'Data shares'!$C:$FA,3)</f>
        <v>376.75</v>
      </c>
      <c r="D34" s="50">
        <f>VLOOKUP($A34,'Data shares'!$C:$FA,6)*100</f>
        <v>-1.94</v>
      </c>
      <c r="E34" s="51">
        <f>VLOOKUP($A34,'Data shares'!$C:$FA,98)</f>
        <v>289916000</v>
      </c>
      <c r="F34" s="51">
        <f>VLOOKUP($A34,'Data shares'!$C:$FA,99)</f>
        <v>281094000</v>
      </c>
      <c r="G34" s="50">
        <f>VLOOKUP($A34,'Data shares'!$C:$FA,101)*100</f>
        <v>3.1399999999999997</v>
      </c>
      <c r="H34" s="49">
        <f>VLOOKUP($A34,'Data Vlaue (Cr)'!$C:$FB,99)</f>
        <v>10923</v>
      </c>
      <c r="I34" s="49">
        <f>VLOOKUP($A34,'Data Vlaue (Cr)'!$C:$FB,100)</f>
        <v>10590</v>
      </c>
      <c r="J34" s="49">
        <f>VLOOKUP($A34,'Data Vlaue (Cr)'!$C:$FB,102)*100</f>
        <v>3.1399999999999997</v>
      </c>
    </row>
    <row r="35" spans="1:10" x14ac:dyDescent="0.25">
      <c r="A35" s="101" t="str">
        <f>'NIFTY GRP'!C30</f>
        <v>LT</v>
      </c>
      <c r="B35" s="140">
        <f>VLOOKUP($A35,'Data shares'!$C:$FA,7)</f>
        <v>3719.5</v>
      </c>
      <c r="C35" s="140">
        <f>VLOOKUP($A35,'Data shares'!$C:$FA,3)</f>
        <v>3730.9</v>
      </c>
      <c r="D35" s="50">
        <f>VLOOKUP($A35,'Data shares'!$C:$FA,6)*100</f>
        <v>-2.92</v>
      </c>
      <c r="E35" s="51">
        <f>VLOOKUP($A35,'Data shares'!$C:$FA,98)</f>
        <v>33486600</v>
      </c>
      <c r="F35" s="51">
        <f>VLOOKUP($A35,'Data shares'!$C:$FA,99)</f>
        <v>31346350</v>
      </c>
      <c r="G35" s="50">
        <f>VLOOKUP($A35,'Data shares'!$C:$FA,101)*100</f>
        <v>6.83</v>
      </c>
      <c r="H35" s="49">
        <f>VLOOKUP($A35,'Data Vlaue (Cr)'!$C:$FB,99)</f>
        <v>12494</v>
      </c>
      <c r="I35" s="49">
        <f>VLOOKUP($A35,'Data Vlaue (Cr)'!$C:$FB,100)</f>
        <v>11695</v>
      </c>
      <c r="J35" s="49">
        <f>VLOOKUP($A35,'Data Vlaue (Cr)'!$C:$FB,102)*100</f>
        <v>6.83</v>
      </c>
    </row>
    <row r="36" spans="1:10" x14ac:dyDescent="0.25">
      <c r="A36" s="101" t="str">
        <f>'NIFTY GRP'!C31</f>
        <v>M&amp;M</v>
      </c>
      <c r="B36" s="140">
        <f>VLOOKUP($A36,'Data shares'!$C:$FA,7)</f>
        <v>3031.2</v>
      </c>
      <c r="C36" s="140">
        <f>VLOOKUP($A36,'Data shares'!$C:$FA,3)</f>
        <v>3043.3</v>
      </c>
      <c r="D36" s="50">
        <f>VLOOKUP($A36,'Data shares'!$C:$FA,6)*100</f>
        <v>-4.1399999999999997</v>
      </c>
      <c r="E36" s="51">
        <f>VLOOKUP($A36,'Data shares'!$C:$FA,98)</f>
        <v>28936200</v>
      </c>
      <c r="F36" s="51">
        <f>VLOOKUP($A36,'Data shares'!$C:$FA,99)</f>
        <v>26917200</v>
      </c>
      <c r="G36" s="50">
        <f>VLOOKUP($A36,'Data shares'!$C:$FA,101)*100</f>
        <v>7.5</v>
      </c>
      <c r="H36" s="49">
        <f>VLOOKUP($A36,'Data Vlaue (Cr)'!$C:$FB,99)</f>
        <v>8806</v>
      </c>
      <c r="I36" s="49">
        <f>VLOOKUP($A36,'Data Vlaue (Cr)'!$C:$FB,100)</f>
        <v>8192</v>
      </c>
      <c r="J36" s="49">
        <f>VLOOKUP($A36,'Data Vlaue (Cr)'!$C:$FB,102)*100</f>
        <v>7.5</v>
      </c>
    </row>
    <row r="37" spans="1:10" x14ac:dyDescent="0.25">
      <c r="A37" s="101" t="str">
        <f>'NIFTY GRP'!C32</f>
        <v>MARUTI</v>
      </c>
      <c r="B37" s="140">
        <f>VLOOKUP($A37,'Data shares'!$C:$FA,7)</f>
        <v>13011</v>
      </c>
      <c r="C37" s="140">
        <f>VLOOKUP($A37,'Data shares'!$C:$FA,3)</f>
        <v>13059</v>
      </c>
      <c r="D37" s="50">
        <f>VLOOKUP($A37,'Data shares'!$C:$FA,6)*100</f>
        <v>-3.3300000000000005</v>
      </c>
      <c r="E37" s="51">
        <f>VLOOKUP($A37,'Data shares'!$C:$FA,98)</f>
        <v>6659350</v>
      </c>
      <c r="F37" s="51">
        <f>VLOOKUP($A37,'Data shares'!$C:$FA,99)</f>
        <v>6159850</v>
      </c>
      <c r="G37" s="50">
        <f>VLOOKUP($A37,'Data shares'!$C:$FA,101)*100</f>
        <v>8.1100000000000012</v>
      </c>
      <c r="H37" s="49">
        <f>VLOOKUP($A37,'Data Vlaue (Cr)'!$C:$FB,99)</f>
        <v>8696</v>
      </c>
      <c r="I37" s="49">
        <f>VLOOKUP($A37,'Data Vlaue (Cr)'!$C:$FB,100)</f>
        <v>8044</v>
      </c>
      <c r="J37" s="49">
        <f>VLOOKUP($A37,'Data Vlaue (Cr)'!$C:$FB,102)*100</f>
        <v>8.1100000000000012</v>
      </c>
    </row>
    <row r="38" spans="1:10" x14ac:dyDescent="0.25">
      <c r="A38" s="101" t="str">
        <f>'NIFTY GRP'!C33</f>
        <v>MAXHEALTH</v>
      </c>
      <c r="B38" s="140">
        <f>VLOOKUP($A38,'Data shares'!$C:$FA,7)</f>
        <v>1020.4</v>
      </c>
      <c r="C38" s="140">
        <f>VLOOKUP($A38,'Data shares'!$C:$FA,3)</f>
        <v>1022.7</v>
      </c>
      <c r="D38" s="50">
        <f>VLOOKUP($A38,'Data shares'!$C:$FA,6)*100</f>
        <v>-1.02</v>
      </c>
      <c r="E38" s="51">
        <f>VLOOKUP($A38,'Data shares'!$C:$FA,98)</f>
        <v>18439050</v>
      </c>
      <c r="F38" s="51">
        <f>VLOOKUP($A38,'Data shares'!$C:$FA,99)</f>
        <v>18394425</v>
      </c>
      <c r="G38" s="50">
        <f>VLOOKUP($A38,'Data shares'!$C:$FA,101)*100</f>
        <v>0.24</v>
      </c>
      <c r="H38" s="49">
        <f>VLOOKUP($A38,'Data Vlaue (Cr)'!$C:$FB,99)</f>
        <v>1886</v>
      </c>
      <c r="I38" s="49">
        <f>VLOOKUP($A38,'Data Vlaue (Cr)'!$C:$FB,100)</f>
        <v>1881</v>
      </c>
      <c r="J38" s="49">
        <f>VLOOKUP($A38,'Data Vlaue (Cr)'!$C:$FB,102)*100</f>
        <v>0.24</v>
      </c>
    </row>
    <row r="39" spans="1:10" x14ac:dyDescent="0.25">
      <c r="A39" s="101" t="str">
        <f>'NIFTY GRP'!C34</f>
        <v>NESTLEIND</v>
      </c>
      <c r="B39" s="140">
        <f>VLOOKUP($A39,'Data shares'!$C:$FA,7)</f>
        <v>1220.8</v>
      </c>
      <c r="C39" s="140">
        <f>VLOOKUP($A39,'Data shares'!$C:$FA,3)</f>
        <v>1223.0999999999999</v>
      </c>
      <c r="D39" s="50">
        <f>VLOOKUP($A39,'Data shares'!$C:$FA,6)*100</f>
        <v>-0.88</v>
      </c>
      <c r="E39" s="51">
        <f>VLOOKUP($A39,'Data shares'!$C:$FA,98)</f>
        <v>21872000</v>
      </c>
      <c r="F39" s="51">
        <f>VLOOKUP($A39,'Data shares'!$C:$FA,99)</f>
        <v>21819000</v>
      </c>
      <c r="G39" s="50">
        <f>VLOOKUP($A39,'Data shares'!$C:$FA,101)*100</f>
        <v>0.24</v>
      </c>
      <c r="H39" s="49">
        <f>VLOOKUP($A39,'Data Vlaue (Cr)'!$C:$FB,99)</f>
        <v>2675</v>
      </c>
      <c r="I39" s="49">
        <f>VLOOKUP($A39,'Data Vlaue (Cr)'!$C:$FB,100)</f>
        <v>2669</v>
      </c>
      <c r="J39" s="49">
        <f>VLOOKUP($A39,'Data Vlaue (Cr)'!$C:$FB,102)*100</f>
        <v>0.24</v>
      </c>
    </row>
    <row r="40" spans="1:10" x14ac:dyDescent="0.25">
      <c r="A40" s="101" t="str">
        <f>'NIFTY GRP'!C35</f>
        <v>NTPC</v>
      </c>
      <c r="B40" s="140">
        <f>VLOOKUP($A40,'Data shares'!$C:$FA,7)</f>
        <v>390.55</v>
      </c>
      <c r="C40" s="140">
        <f>VLOOKUP($A40,'Data shares'!$C:$FA,3)</f>
        <v>390.9</v>
      </c>
      <c r="D40" s="50">
        <f>VLOOKUP($A40,'Data shares'!$C:$FA,6)*100</f>
        <v>2.8000000000000003</v>
      </c>
      <c r="E40" s="51">
        <f>VLOOKUP($A40,'Data shares'!$C:$FA,98)</f>
        <v>228325500</v>
      </c>
      <c r="F40" s="51">
        <f>VLOOKUP($A40,'Data shares'!$C:$FA,99)</f>
        <v>198072000</v>
      </c>
      <c r="G40" s="50">
        <f>VLOOKUP($A40,'Data shares'!$C:$FA,101)*100</f>
        <v>15.27</v>
      </c>
      <c r="H40" s="49">
        <f>VLOOKUP($A40,'Data Vlaue (Cr)'!$C:$FB,99)</f>
        <v>8925</v>
      </c>
      <c r="I40" s="49">
        <f>VLOOKUP($A40,'Data Vlaue (Cr)'!$C:$FB,100)</f>
        <v>7743</v>
      </c>
      <c r="J40" s="49">
        <f>VLOOKUP($A40,'Data Vlaue (Cr)'!$C:$FB,102)*100</f>
        <v>15.27</v>
      </c>
    </row>
    <row r="41" spans="1:10" x14ac:dyDescent="0.25">
      <c r="A41" s="101" t="str">
        <f>'NIFTY GRP'!C36</f>
        <v>ONGC</v>
      </c>
      <c r="B41" s="140">
        <f>VLOOKUP($A41,'Data shares'!$C:$FA,7)</f>
        <v>270.55</v>
      </c>
      <c r="C41" s="140">
        <f>VLOOKUP($A41,'Data shares'!$C:$FA,3)</f>
        <v>271.5</v>
      </c>
      <c r="D41" s="50">
        <f>VLOOKUP($A41,'Data shares'!$C:$FA,6)*100</f>
        <v>0.2</v>
      </c>
      <c r="E41" s="51">
        <f>VLOOKUP($A41,'Data shares'!$C:$FA,98)</f>
        <v>258183000</v>
      </c>
      <c r="F41" s="51">
        <f>VLOOKUP($A41,'Data shares'!$C:$FA,99)</f>
        <v>254997000</v>
      </c>
      <c r="G41" s="50">
        <f>VLOOKUP($A41,'Data shares'!$C:$FA,101)*100</f>
        <v>1.25</v>
      </c>
      <c r="H41" s="49">
        <f>VLOOKUP($A41,'Data Vlaue (Cr)'!$C:$FB,99)</f>
        <v>7010</v>
      </c>
      <c r="I41" s="49">
        <f>VLOOKUP($A41,'Data Vlaue (Cr)'!$C:$FB,100)</f>
        <v>6923</v>
      </c>
      <c r="J41" s="49">
        <f>VLOOKUP($A41,'Data Vlaue (Cr)'!$C:$FB,102)*100</f>
        <v>1.25</v>
      </c>
    </row>
    <row r="42" spans="1:10" x14ac:dyDescent="0.25">
      <c r="A42" s="101" t="str">
        <f>'NIFTY GRP'!C37</f>
        <v>POWERGRID</v>
      </c>
      <c r="B42" s="140">
        <f>VLOOKUP($A42,'Data shares'!$C:$FA,7)</f>
        <v>303.60000000000002</v>
      </c>
      <c r="C42" s="140">
        <f>VLOOKUP($A42,'Data shares'!$C:$FA,3)</f>
        <v>304.60000000000002</v>
      </c>
      <c r="D42" s="50">
        <f>VLOOKUP($A42,'Data shares'!$C:$FA,6)*100</f>
        <v>1.7999999999999998</v>
      </c>
      <c r="E42" s="51">
        <f>VLOOKUP($A42,'Data shares'!$C:$FA,98)</f>
        <v>138491000</v>
      </c>
      <c r="F42" s="51">
        <f>VLOOKUP($A42,'Data shares'!$C:$FA,99)</f>
        <v>136634700</v>
      </c>
      <c r="G42" s="50">
        <f>VLOOKUP($A42,'Data shares'!$C:$FA,101)*100</f>
        <v>1.3599999999999999</v>
      </c>
      <c r="H42" s="49">
        <f>VLOOKUP($A42,'Data Vlaue (Cr)'!$C:$FB,99)</f>
        <v>4218</v>
      </c>
      <c r="I42" s="49">
        <f>VLOOKUP($A42,'Data Vlaue (Cr)'!$C:$FB,100)</f>
        <v>4162</v>
      </c>
      <c r="J42" s="49">
        <f>VLOOKUP($A42,'Data Vlaue (Cr)'!$C:$FB,102)*100</f>
        <v>1.3599999999999999</v>
      </c>
    </row>
    <row r="43" spans="1:10" x14ac:dyDescent="0.25">
      <c r="A43" s="101" t="str">
        <f>'NIFTY GRP'!C38</f>
        <v>RELIANCE</v>
      </c>
      <c r="B43" s="140">
        <f>VLOOKUP($A43,'Data shares'!$C:$FA,7)</f>
        <v>1392.2</v>
      </c>
      <c r="C43" s="140">
        <f>VLOOKUP($A43,'Data shares'!$C:$FA,3)</f>
        <v>1397</v>
      </c>
      <c r="D43" s="50">
        <f>VLOOKUP($A43,'Data shares'!$C:$FA,6)*100</f>
        <v>0.42</v>
      </c>
      <c r="E43" s="51">
        <f>VLOOKUP($A43,'Data shares'!$C:$FA,98)</f>
        <v>226001000</v>
      </c>
      <c r="F43" s="51">
        <f>VLOOKUP($A43,'Data shares'!$C:$FA,99)</f>
        <v>219268500</v>
      </c>
      <c r="G43" s="50">
        <f>VLOOKUP($A43,'Data shares'!$C:$FA,101)*100</f>
        <v>3.0700000000000003</v>
      </c>
      <c r="H43" s="49">
        <f>VLOOKUP($A43,'Data Vlaue (Cr)'!$C:$FB,99)</f>
        <v>31572</v>
      </c>
      <c r="I43" s="49">
        <f>VLOOKUP($A43,'Data Vlaue (Cr)'!$C:$FB,100)</f>
        <v>30632</v>
      </c>
      <c r="J43" s="49">
        <f>VLOOKUP($A43,'Data Vlaue (Cr)'!$C:$FB,102)*100</f>
        <v>3.0700000000000003</v>
      </c>
    </row>
    <row r="44" spans="1:10" x14ac:dyDescent="0.25">
      <c r="A44" s="101" t="str">
        <f>'NIFTY GRP'!C39</f>
        <v>SBILIFE</v>
      </c>
      <c r="B44" s="140">
        <f>VLOOKUP($A44,'Data shares'!$C:$FA,7)</f>
        <v>1939.4</v>
      </c>
      <c r="C44" s="140">
        <f>VLOOKUP($A44,'Data shares'!$C:$FA,3)</f>
        <v>1941.9</v>
      </c>
      <c r="D44" s="50">
        <f>VLOOKUP($A44,'Data shares'!$C:$FA,6)*100</f>
        <v>0.11</v>
      </c>
      <c r="E44" s="51">
        <f>VLOOKUP($A44,'Data shares'!$C:$FA,98)</f>
        <v>14521875</v>
      </c>
      <c r="F44" s="51">
        <f>VLOOKUP($A44,'Data shares'!$C:$FA,99)</f>
        <v>14495250</v>
      </c>
      <c r="G44" s="50">
        <f>VLOOKUP($A44,'Data shares'!$C:$FA,101)*100</f>
        <v>0.18</v>
      </c>
      <c r="H44" s="49">
        <f>VLOOKUP($A44,'Data Vlaue (Cr)'!$C:$FB,99)</f>
        <v>2820</v>
      </c>
      <c r="I44" s="49">
        <f>VLOOKUP($A44,'Data Vlaue (Cr)'!$C:$FB,100)</f>
        <v>2815</v>
      </c>
      <c r="J44" s="49">
        <f>VLOOKUP($A44,'Data Vlaue (Cr)'!$C:$FB,102)*100</f>
        <v>0.18</v>
      </c>
    </row>
    <row r="45" spans="1:10" x14ac:dyDescent="0.25">
      <c r="A45" s="101" t="str">
        <f>'NIFTY GRP'!C40</f>
        <v>SBIN</v>
      </c>
      <c r="B45" s="140">
        <f>VLOOKUP($A45,'Data shares'!$C:$FA,7)</f>
        <v>1085.2</v>
      </c>
      <c r="C45" s="140">
        <f>VLOOKUP($A45,'Data shares'!$C:$FA,3)</f>
        <v>1088.9000000000001</v>
      </c>
      <c r="D45" s="50">
        <f>VLOOKUP($A45,'Data shares'!$C:$FA,6)*100</f>
        <v>-0.38999999999999996</v>
      </c>
      <c r="E45" s="51">
        <f>VLOOKUP($A45,'Data shares'!$C:$FA,98)</f>
        <v>166989000</v>
      </c>
      <c r="F45" s="51">
        <f>VLOOKUP($A45,'Data shares'!$C:$FA,99)</f>
        <v>160667250</v>
      </c>
      <c r="G45" s="50">
        <f>VLOOKUP($A45,'Data shares'!$C:$FA,101)*100</f>
        <v>3.93</v>
      </c>
      <c r="H45" s="49">
        <f>VLOOKUP($A45,'Data Vlaue (Cr)'!$C:$FB,99)</f>
        <v>18183</v>
      </c>
      <c r="I45" s="49">
        <f>VLOOKUP($A45,'Data Vlaue (Cr)'!$C:$FB,100)</f>
        <v>17495</v>
      </c>
      <c r="J45" s="49">
        <f>VLOOKUP($A45,'Data Vlaue (Cr)'!$C:$FB,102)*100</f>
        <v>3.93</v>
      </c>
    </row>
    <row r="46" spans="1:10" x14ac:dyDescent="0.25">
      <c r="A46" s="101" t="str">
        <f>'NIFTY GRP'!C41</f>
        <v>SHRIRAMFIN</v>
      </c>
      <c r="B46" s="140">
        <f>VLOOKUP($A46,'Data shares'!$C:$FA,7)</f>
        <v>1031.7</v>
      </c>
      <c r="C46" s="140">
        <f>VLOOKUP($A46,'Data shares'!$C:$FA,3)</f>
        <v>1035.5</v>
      </c>
      <c r="D46" s="50">
        <f>VLOOKUP($A46,'Data shares'!$C:$FA,6)*100</f>
        <v>-0.04</v>
      </c>
      <c r="E46" s="51">
        <f>VLOOKUP($A46,'Data shares'!$C:$FA,98)</f>
        <v>63414450</v>
      </c>
      <c r="F46" s="51">
        <f>VLOOKUP($A46,'Data shares'!$C:$FA,99)</f>
        <v>61956675</v>
      </c>
      <c r="G46" s="50">
        <f>VLOOKUP($A46,'Data shares'!$C:$FA,101)*100</f>
        <v>2.35</v>
      </c>
      <c r="H46" s="49">
        <f>VLOOKUP($A46,'Data Vlaue (Cr)'!$C:$FB,99)</f>
        <v>6567</v>
      </c>
      <c r="I46" s="49">
        <f>VLOOKUP($A46,'Data Vlaue (Cr)'!$C:$FB,100)</f>
        <v>6416</v>
      </c>
      <c r="J46" s="49">
        <f>VLOOKUP($A46,'Data Vlaue (Cr)'!$C:$FB,102)*100</f>
        <v>2.35</v>
      </c>
    </row>
    <row r="47" spans="1:10" x14ac:dyDescent="0.25">
      <c r="A47" s="101" t="str">
        <f>'NIFTY GRP'!C42</f>
        <v>SUNPHARMA</v>
      </c>
      <c r="B47" s="140">
        <f>VLOOKUP($A47,'Data shares'!$C:$FA,7)</f>
        <v>1825.3</v>
      </c>
      <c r="C47" s="140">
        <f>VLOOKUP($A47,'Data shares'!$C:$FA,3)</f>
        <v>1827.7</v>
      </c>
      <c r="D47" s="50">
        <f>VLOOKUP($A47,'Data shares'!$C:$FA,6)*100</f>
        <v>0.01</v>
      </c>
      <c r="E47" s="51">
        <f>VLOOKUP($A47,'Data shares'!$C:$FA,98)</f>
        <v>43755250</v>
      </c>
      <c r="F47" s="51">
        <f>VLOOKUP($A47,'Data shares'!$C:$FA,99)</f>
        <v>41624100</v>
      </c>
      <c r="G47" s="50">
        <f>VLOOKUP($A47,'Data shares'!$C:$FA,101)*100</f>
        <v>5.12</v>
      </c>
      <c r="H47" s="49">
        <f>VLOOKUP($A47,'Data Vlaue (Cr)'!$C:$FB,99)</f>
        <v>7997</v>
      </c>
      <c r="I47" s="49">
        <f>VLOOKUP($A47,'Data Vlaue (Cr)'!$C:$FB,100)</f>
        <v>7608</v>
      </c>
      <c r="J47" s="49">
        <f>VLOOKUP($A47,'Data Vlaue (Cr)'!$C:$FB,102)*100</f>
        <v>5.12</v>
      </c>
    </row>
    <row r="48" spans="1:10" x14ac:dyDescent="0.25">
      <c r="A48" s="101" t="str">
        <f>'NIFTY GRP'!C43</f>
        <v>TATACONSUM</v>
      </c>
      <c r="B48" s="140">
        <f>VLOOKUP($A48,'Data shares'!$C:$FA,7)</f>
        <v>1057.8</v>
      </c>
      <c r="C48" s="140">
        <f>VLOOKUP($A48,'Data shares'!$C:$FA,3)</f>
        <v>1061.5</v>
      </c>
      <c r="D48" s="50">
        <f>VLOOKUP($A48,'Data shares'!$C:$FA,6)*100</f>
        <v>-1.4000000000000001</v>
      </c>
      <c r="E48" s="51">
        <f>VLOOKUP($A48,'Data shares'!$C:$FA,98)</f>
        <v>18152750</v>
      </c>
      <c r="F48" s="51">
        <f>VLOOKUP($A48,'Data shares'!$C:$FA,99)</f>
        <v>18035050</v>
      </c>
      <c r="G48" s="50">
        <f>VLOOKUP($A48,'Data shares'!$C:$FA,101)*100</f>
        <v>0.65</v>
      </c>
      <c r="H48" s="49">
        <f>VLOOKUP($A48,'Data Vlaue (Cr)'!$C:$FB,99)</f>
        <v>1927</v>
      </c>
      <c r="I48" s="49">
        <f>VLOOKUP($A48,'Data Vlaue (Cr)'!$C:$FB,100)</f>
        <v>1914</v>
      </c>
      <c r="J48" s="49">
        <f>VLOOKUP($A48,'Data Vlaue (Cr)'!$C:$FB,102)*100</f>
        <v>0.65</v>
      </c>
    </row>
    <row r="49" spans="1:10" x14ac:dyDescent="0.25">
      <c r="A49" s="101" t="str">
        <f>'NIFTY GRP'!C44</f>
        <v>TATASTEEL</v>
      </c>
      <c r="B49" s="140">
        <f>VLOOKUP($A49,'Data shares'!$C:$FA,7)</f>
        <v>193.47</v>
      </c>
      <c r="C49" s="140">
        <f>VLOOKUP($A49,'Data shares'!$C:$FA,3)</f>
        <v>193.92</v>
      </c>
      <c r="D49" s="50">
        <f>VLOOKUP($A49,'Data shares'!$C:$FA,6)*100</f>
        <v>-0.54999999999999993</v>
      </c>
      <c r="E49" s="51">
        <f>VLOOKUP($A49,'Data shares'!$C:$FA,98)</f>
        <v>448530500</v>
      </c>
      <c r="F49" s="51">
        <f>VLOOKUP($A49,'Data shares'!$C:$FA,99)</f>
        <v>446451500</v>
      </c>
      <c r="G49" s="50">
        <f>VLOOKUP($A49,'Data shares'!$C:$FA,101)*100</f>
        <v>0.47000000000000003</v>
      </c>
      <c r="H49" s="49">
        <f>VLOOKUP($A49,'Data Vlaue (Cr)'!$C:$FB,99)</f>
        <v>8698</v>
      </c>
      <c r="I49" s="49">
        <f>VLOOKUP($A49,'Data Vlaue (Cr)'!$C:$FB,100)</f>
        <v>8658</v>
      </c>
      <c r="J49" s="49">
        <f>VLOOKUP($A49,'Data Vlaue (Cr)'!$C:$FB,102)*100</f>
        <v>0.47000000000000003</v>
      </c>
    </row>
    <row r="50" spans="1:10" x14ac:dyDescent="0.25">
      <c r="A50" s="101" t="str">
        <f>'NIFTY GRP'!C45</f>
        <v>TCS</v>
      </c>
      <c r="B50" s="140">
        <f>VLOOKUP($A50,'Data shares'!$C:$FA,7)</f>
        <v>2442.4</v>
      </c>
      <c r="C50" s="140">
        <f>VLOOKUP($A50,'Data shares'!$C:$FA,3)</f>
        <v>2453</v>
      </c>
      <c r="D50" s="50">
        <f>VLOOKUP($A50,'Data shares'!$C:$FA,6)*100</f>
        <v>-0.70000000000000007</v>
      </c>
      <c r="E50" s="51">
        <f>VLOOKUP($A50,'Data shares'!$C:$FA,98)</f>
        <v>59537275</v>
      </c>
      <c r="F50" s="51">
        <f>VLOOKUP($A50,'Data shares'!$C:$FA,99)</f>
        <v>58592100</v>
      </c>
      <c r="G50" s="50">
        <f>VLOOKUP($A50,'Data shares'!$C:$FA,101)*100</f>
        <v>1.6099999999999999</v>
      </c>
      <c r="H50" s="49">
        <f>VLOOKUP($A50,'Data Vlaue (Cr)'!$C:$FB,99)</f>
        <v>14604</v>
      </c>
      <c r="I50" s="49">
        <f>VLOOKUP($A50,'Data Vlaue (Cr)'!$C:$FB,100)</f>
        <v>14373</v>
      </c>
      <c r="J50" s="49">
        <f>VLOOKUP($A50,'Data Vlaue (Cr)'!$C:$FB,102)*100</f>
        <v>1.6099999999999999</v>
      </c>
    </row>
    <row r="51" spans="1:10" x14ac:dyDescent="0.25">
      <c r="A51" s="101" t="str">
        <f>'NIFTY GRP'!C46</f>
        <v>TECHM</v>
      </c>
      <c r="B51" s="140">
        <f>VLOOKUP($A51,'Data shares'!$C:$FA,7)</f>
        <v>1349.8</v>
      </c>
      <c r="C51" s="140">
        <f>VLOOKUP($A51,'Data shares'!$C:$FA,3)</f>
        <v>1351.3</v>
      </c>
      <c r="D51" s="50">
        <f>VLOOKUP($A51,'Data shares'!$C:$FA,6)*100</f>
        <v>1.18</v>
      </c>
      <c r="E51" s="51">
        <f>VLOOKUP($A51,'Data shares'!$C:$FA,98)</f>
        <v>34005600</v>
      </c>
      <c r="F51" s="51">
        <f>VLOOKUP($A51,'Data shares'!$C:$FA,99)</f>
        <v>33637200</v>
      </c>
      <c r="G51" s="50">
        <f>VLOOKUP($A51,'Data shares'!$C:$FA,101)*100</f>
        <v>1.0999999999999999</v>
      </c>
      <c r="H51" s="49">
        <f>VLOOKUP($A51,'Data Vlaue (Cr)'!$C:$FB,99)</f>
        <v>4595</v>
      </c>
      <c r="I51" s="49">
        <f>VLOOKUP($A51,'Data Vlaue (Cr)'!$C:$FB,100)</f>
        <v>4545</v>
      </c>
      <c r="J51" s="49">
        <f>VLOOKUP($A51,'Data Vlaue (Cr)'!$C:$FB,102)*100</f>
        <v>1.0999999999999999</v>
      </c>
    </row>
    <row r="52" spans="1:10" x14ac:dyDescent="0.25">
      <c r="A52" s="101" t="str">
        <f>'NIFTY GRP'!C47</f>
        <v>TITAN</v>
      </c>
      <c r="B52" s="140">
        <f>VLOOKUP($A52,'Data shares'!$C:$FA,7)</f>
        <v>4129.6000000000004</v>
      </c>
      <c r="C52" s="140">
        <f>VLOOKUP($A52,'Data shares'!$C:$FA,3)</f>
        <v>4145.6000000000004</v>
      </c>
      <c r="D52" s="50">
        <f>VLOOKUP($A52,'Data shares'!$C:$FA,6)*100</f>
        <v>0.05</v>
      </c>
      <c r="E52" s="51">
        <f>VLOOKUP($A52,'Data shares'!$C:$FA,98)</f>
        <v>14266175</v>
      </c>
      <c r="F52" s="51">
        <f>VLOOKUP($A52,'Data shares'!$C:$FA,99)</f>
        <v>13841275</v>
      </c>
      <c r="G52" s="50">
        <f>VLOOKUP($A52,'Data shares'!$C:$FA,101)*100</f>
        <v>3.0700000000000003</v>
      </c>
      <c r="H52" s="49">
        <f>VLOOKUP($A52,'Data Vlaue (Cr)'!$C:$FB,99)</f>
        <v>5914</v>
      </c>
      <c r="I52" s="49">
        <f>VLOOKUP($A52,'Data Vlaue (Cr)'!$C:$FB,100)</f>
        <v>5738</v>
      </c>
      <c r="J52" s="49">
        <f>VLOOKUP($A52,'Data Vlaue (Cr)'!$C:$FB,102)*100</f>
        <v>3.0700000000000003</v>
      </c>
    </row>
    <row r="53" spans="1:10" x14ac:dyDescent="0.25">
      <c r="A53" s="101" t="str">
        <f>'NIFTY GRP'!C48</f>
        <v>TMPV</v>
      </c>
      <c r="B53" s="140">
        <f>VLOOKUP($A53,'Data shares'!$C:$FA,7)</f>
        <v>324.55</v>
      </c>
      <c r="C53" s="140">
        <f>VLOOKUP($A53,'Data shares'!$C:$FA,3)</f>
        <v>325.45</v>
      </c>
      <c r="D53" s="50">
        <f>VLOOKUP($A53,'Data shares'!$C:$FA,6)*100</f>
        <v>-3.2099999999999995</v>
      </c>
      <c r="E53" s="51">
        <f>VLOOKUP($A53,'Data shares'!$C:$FA,98)</f>
        <v>151585600</v>
      </c>
      <c r="F53" s="51">
        <f>VLOOKUP($A53,'Data shares'!$C:$FA,99)</f>
        <v>147472000</v>
      </c>
      <c r="G53" s="50">
        <f>VLOOKUP($A53,'Data shares'!$C:$FA,101)*100</f>
        <v>2.79</v>
      </c>
      <c r="H53" s="49">
        <f>VLOOKUP($A53,'Data Vlaue (Cr)'!$C:$FB,99)</f>
        <v>4933</v>
      </c>
      <c r="I53" s="49">
        <f>VLOOKUP($A53,'Data Vlaue (Cr)'!$C:$FB,100)</f>
        <v>4799</v>
      </c>
      <c r="J53" s="49">
        <f>VLOOKUP($A53,'Data Vlaue (Cr)'!$C:$FB,102)*100</f>
        <v>2.79</v>
      </c>
    </row>
    <row r="54" spans="1:10" x14ac:dyDescent="0.25">
      <c r="A54" s="101" t="str">
        <f>'NIFTY GRP'!C49</f>
        <v>TRENT</v>
      </c>
      <c r="B54" s="140">
        <f>VLOOKUP($A54,'Data shares'!$C:$FA,7)</f>
        <v>3533.6</v>
      </c>
      <c r="C54" s="140">
        <f>VLOOKUP($A54,'Data shares'!$C:$FA,3)</f>
        <v>3537.1</v>
      </c>
      <c r="D54" s="50">
        <f>VLOOKUP($A54,'Data shares'!$C:$FA,6)*100</f>
        <v>-2.54</v>
      </c>
      <c r="E54" s="51">
        <f>VLOOKUP($A54,'Data shares'!$C:$FA,98)</f>
        <v>11047700</v>
      </c>
      <c r="F54" s="51">
        <f>VLOOKUP($A54,'Data shares'!$C:$FA,99)</f>
        <v>10611400</v>
      </c>
      <c r="G54" s="50">
        <f>VLOOKUP($A54,'Data shares'!$C:$FA,101)*100</f>
        <v>4.1099999999999994</v>
      </c>
      <c r="H54" s="49">
        <f>VLOOKUP($A54,'Data Vlaue (Cr)'!$C:$FB,99)</f>
        <v>3908</v>
      </c>
      <c r="I54" s="49">
        <f>VLOOKUP($A54,'Data Vlaue (Cr)'!$C:$FB,100)</f>
        <v>3753</v>
      </c>
      <c r="J54" s="49">
        <f>VLOOKUP($A54,'Data Vlaue (Cr)'!$C:$FB,102)*100</f>
        <v>4.1099999999999994</v>
      </c>
    </row>
    <row r="55" spans="1:10" x14ac:dyDescent="0.25">
      <c r="A55" s="101" t="str">
        <f>'NIFTY GRP'!C50</f>
        <v>ULTRACEMCO</v>
      </c>
      <c r="B55" s="140">
        <f>VLOOKUP($A55,'Data shares'!$C:$FA,7)</f>
        <v>11089</v>
      </c>
      <c r="C55" s="140">
        <f>VLOOKUP($A55,'Data shares'!$C:$FA,3)</f>
        <v>11130</v>
      </c>
      <c r="D55" s="50">
        <f>VLOOKUP($A55,'Data shares'!$C:$FA,6)*100</f>
        <v>-2.98</v>
      </c>
      <c r="E55" s="51">
        <f>VLOOKUP($A55,'Data shares'!$C:$FA,98)</f>
        <v>3450950</v>
      </c>
      <c r="F55" s="51">
        <f>VLOOKUP($A55,'Data shares'!$C:$FA,99)</f>
        <v>3358350</v>
      </c>
      <c r="G55" s="50">
        <f>VLOOKUP($A55,'Data shares'!$C:$FA,101)*100</f>
        <v>2.76</v>
      </c>
      <c r="H55" s="49">
        <f>VLOOKUP($A55,'Data Vlaue (Cr)'!$C:$FB,99)</f>
        <v>3841</v>
      </c>
      <c r="I55" s="49">
        <f>VLOOKUP($A55,'Data Vlaue (Cr)'!$C:$FB,100)</f>
        <v>3738</v>
      </c>
      <c r="J55" s="49">
        <f>VLOOKUP($A55,'Data Vlaue (Cr)'!$C:$FB,102)*100</f>
        <v>2.76</v>
      </c>
    </row>
    <row r="56" spans="1:10" x14ac:dyDescent="0.25">
      <c r="A56" s="101" t="str">
        <f>'NIFTY GRP'!C51</f>
        <v>WIPRO</v>
      </c>
      <c r="B56" s="140">
        <f>VLOOKUP($A56,'Data shares'!$C:$FA,7)</f>
        <v>202.51</v>
      </c>
      <c r="C56" s="140">
        <f>VLOOKUP($A56,'Data shares'!$C:$FA,3)</f>
        <v>201.83</v>
      </c>
      <c r="D56" s="50">
        <f>VLOOKUP($A56,'Data shares'!$C:$FA,6)*100</f>
        <v>6.9999999999999993E-2</v>
      </c>
      <c r="E56" s="51">
        <f>VLOOKUP($A56,'Data shares'!$C:$FA,98)</f>
        <v>324804000</v>
      </c>
      <c r="F56" s="51">
        <f>VLOOKUP($A56,'Data shares'!$C:$FA,99)</f>
        <v>313428000</v>
      </c>
      <c r="G56" s="50">
        <f>VLOOKUP($A56,'Data shares'!$C:$FA,101)*100</f>
        <v>3.63</v>
      </c>
      <c r="H56" s="49">
        <f>VLOOKUP($A56,'Data Vlaue (Cr)'!$C:$FB,99)</f>
        <v>6556</v>
      </c>
      <c r="I56" s="49">
        <f>VLOOKUP($A56,'Data Vlaue (Cr)'!$C:$FB,100)</f>
        <v>6326</v>
      </c>
      <c r="J56" s="49">
        <f>VLOOKUP($A56,'Data Vlaue (Cr)'!$C:$FB,102)*100</f>
        <v>3.63</v>
      </c>
    </row>
    <row r="57" spans="1:10" x14ac:dyDescent="0.25">
      <c r="A57" s="101"/>
      <c r="B57" s="140"/>
      <c r="C57" s="140"/>
      <c r="D57" s="50"/>
      <c r="E57" s="51"/>
      <c r="F57" s="51"/>
      <c r="G57" s="50"/>
      <c r="H57" s="49"/>
      <c r="I57" s="49"/>
      <c r="J57" s="49"/>
    </row>
    <row r="58" spans="1:10" x14ac:dyDescent="0.25">
      <c r="A58" s="102"/>
      <c r="B58" s="17"/>
      <c r="C58" s="17"/>
      <c r="D58" s="17"/>
      <c r="E58" s="17"/>
      <c r="F58" s="17"/>
      <c r="G58" s="17"/>
      <c r="H58" s="17"/>
      <c r="I58" s="17"/>
      <c r="J58" s="17"/>
    </row>
    <row r="59" spans="1:10" x14ac:dyDescent="0.25">
      <c r="A59" s="102"/>
      <c r="B59" s="17"/>
      <c r="C59" s="17"/>
      <c r="D59" s="17"/>
      <c r="E59" s="17"/>
      <c r="F59" s="17"/>
      <c r="G59" s="17"/>
      <c r="H59" s="17"/>
      <c r="I59" s="17"/>
      <c r="J59" s="17"/>
    </row>
    <row r="60" spans="1:10" x14ac:dyDescent="0.25">
      <c r="A60" s="126" t="s">
        <v>391</v>
      </c>
      <c r="B60" s="122"/>
      <c r="C60" s="122"/>
      <c r="D60" s="122"/>
      <c r="E60" s="127">
        <f>SUM(E7:E58)</f>
        <v>5601054316</v>
      </c>
      <c r="F60" s="127">
        <f>SUM(F7:F58)</f>
        <v>5478784691</v>
      </c>
      <c r="G60" s="128">
        <f>(E60-F60)/F60</f>
        <v>2.2316924627619028E-2</v>
      </c>
      <c r="H60" s="127">
        <f>SUM(H7:H58)</f>
        <v>435107</v>
      </c>
      <c r="I60" s="127">
        <f>SUM(I7:I58)</f>
        <v>424587</v>
      </c>
      <c r="J60" s="128">
        <f>(H60-I60)/I60</f>
        <v>2.4777018608671486E-2</v>
      </c>
    </row>
    <row r="61" spans="1:10" x14ac:dyDescent="0.25">
      <c r="A61" s="126" t="s">
        <v>398</v>
      </c>
      <c r="B61" s="122"/>
      <c r="C61" s="122"/>
      <c r="D61" s="122"/>
      <c r="E61" s="125">
        <f>E60/10000000</f>
        <v>560.10543159999997</v>
      </c>
      <c r="F61" s="125">
        <f>F60/10000000</f>
        <v>547.87846909999996</v>
      </c>
      <c r="G61" s="128">
        <f>(E61-F61)/F61</f>
        <v>2.2316924627619052E-2</v>
      </c>
      <c r="H61" s="129">
        <f>H60/10000000</f>
        <v>4.3510699999999999E-2</v>
      </c>
      <c r="I61" s="129">
        <f>I60/10000000</f>
        <v>4.2458700000000002E-2</v>
      </c>
      <c r="J61" s="128">
        <f>(H61-I61)/I61</f>
        <v>2.4777018608671424E-2</v>
      </c>
    </row>
    <row r="66" spans="1:3" x14ac:dyDescent="0.25">
      <c r="A66" s="43"/>
      <c r="B66" s="43"/>
      <c r="C66" s="44"/>
    </row>
    <row r="67" spans="1:3" ht="34.5" x14ac:dyDescent="0.25">
      <c r="A67" s="95" t="s">
        <v>411</v>
      </c>
      <c r="B67" s="45"/>
      <c r="C67" s="45" t="s">
        <v>385</v>
      </c>
    </row>
    <row r="68" spans="1:3" x14ac:dyDescent="0.25">
      <c r="A68" s="22" t="s">
        <v>412</v>
      </c>
      <c r="B68" s="22" t="s">
        <v>413</v>
      </c>
      <c r="C68" s="22" t="s">
        <v>414</v>
      </c>
    </row>
    <row r="69" spans="1:3" x14ac:dyDescent="0.25">
      <c r="A69" s="38">
        <f>H60</f>
        <v>435107</v>
      </c>
      <c r="B69" s="38">
        <f>I60</f>
        <v>424587</v>
      </c>
      <c r="C69" s="42">
        <f>J60</f>
        <v>2.4777018608671486E-2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201" activePane="bottomLeft" state="frozen"/>
      <selection pane="bottomLeft" activeCell="A218" sqref="A218:O218"/>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9" t="s">
        <v>356</v>
      </c>
      <c r="B3" s="300"/>
      <c r="C3" s="300"/>
      <c r="D3" s="300"/>
      <c r="E3" s="300"/>
      <c r="F3" s="300"/>
      <c r="G3" s="300"/>
      <c r="H3" s="300"/>
      <c r="I3" s="300"/>
      <c r="J3" s="300"/>
      <c r="K3" s="300"/>
      <c r="L3" s="300"/>
      <c r="M3" s="300"/>
      <c r="N3" s="300"/>
      <c r="O3" s="301"/>
    </row>
    <row r="4" spans="1:15" s="93" customFormat="1" x14ac:dyDescent="0.25">
      <c r="A4" s="286" t="s">
        <v>330</v>
      </c>
      <c r="B4" s="288" t="s">
        <v>308</v>
      </c>
      <c r="C4" s="290"/>
      <c r="D4" s="288" t="s">
        <v>357</v>
      </c>
      <c r="E4" s="289"/>
      <c r="F4" s="289"/>
      <c r="G4" s="289"/>
      <c r="H4" s="289"/>
      <c r="I4" s="289"/>
      <c r="J4" s="289"/>
      <c r="K4" s="289"/>
      <c r="L4" s="289"/>
      <c r="M4" s="289"/>
      <c r="N4" s="289"/>
      <c r="O4" s="290"/>
    </row>
    <row r="5" spans="1:15" s="93" customFormat="1" x14ac:dyDescent="0.25">
      <c r="A5" s="287"/>
      <c r="B5" s="302" t="s">
        <v>312</v>
      </c>
      <c r="C5" s="292"/>
      <c r="D5" s="302" t="s">
        <v>357</v>
      </c>
      <c r="E5" s="291"/>
      <c r="F5" s="292"/>
      <c r="G5" s="302" t="s">
        <v>358</v>
      </c>
      <c r="H5" s="291"/>
      <c r="I5" s="292"/>
      <c r="J5" s="302" t="s">
        <v>359</v>
      </c>
      <c r="K5" s="291"/>
      <c r="L5" s="292"/>
      <c r="M5" s="302" t="s">
        <v>360</v>
      </c>
      <c r="N5" s="291"/>
      <c r="O5" s="292"/>
    </row>
    <row r="6" spans="1:15" s="93" customFormat="1" x14ac:dyDescent="0.25">
      <c r="A6" s="76" t="s">
        <v>318</v>
      </c>
      <c r="B6" s="3">
        <f>'Nifty Baskets'!B6</f>
        <v>46093</v>
      </c>
      <c r="C6" s="76" t="s">
        <v>328</v>
      </c>
      <c r="D6" s="3">
        <f>B6</f>
        <v>46093</v>
      </c>
      <c r="E6" s="76" t="s">
        <v>322</v>
      </c>
      <c r="F6" s="76" t="s">
        <v>328</v>
      </c>
      <c r="G6" s="3">
        <f>D6</f>
        <v>46093</v>
      </c>
      <c r="H6" s="76" t="s">
        <v>322</v>
      </c>
      <c r="I6" s="76" t="s">
        <v>328</v>
      </c>
      <c r="J6" s="3">
        <f>D6</f>
        <v>46093</v>
      </c>
      <c r="K6" s="76" t="s">
        <v>322</v>
      </c>
      <c r="L6" s="76" t="s">
        <v>328</v>
      </c>
      <c r="M6" s="3">
        <f>D6</f>
        <v>46093</v>
      </c>
      <c r="N6" s="76" t="s">
        <v>322</v>
      </c>
      <c r="O6" s="76" t="s">
        <v>328</v>
      </c>
    </row>
    <row r="7" spans="1:15" x14ac:dyDescent="0.25">
      <c r="A7" s="101" t="str">
        <f>'Data Vlaue (Cr)'!C2</f>
        <v>360ONE</v>
      </c>
      <c r="B7" s="50">
        <f>VLOOKUP($A7,'Data Vlaue (Cr)'!$C:$FB,8)</f>
        <v>1043.4000000000001</v>
      </c>
      <c r="C7" s="50">
        <f>VLOOKUP($A7,'Data Vlaue (Cr)'!$C:$FB,11)*100</f>
        <v>-0.44999999999999996</v>
      </c>
      <c r="D7" s="50">
        <f>VLOOKUP($A7,'Data Vlaue (Cr)'!$C:$FB,143)</f>
        <v>237</v>
      </c>
      <c r="E7" s="50">
        <f>VLOOKUP($A7,'Data Vlaue (Cr)'!$C:$FB,144)</f>
        <v>170.23</v>
      </c>
      <c r="F7" s="50">
        <f>VLOOKUP($A7,'Data Vlaue (Cr)'!$C:$FB,146)*100</f>
        <v>39.22</v>
      </c>
      <c r="G7" s="49">
        <f>VLOOKUP($A7,'Data Vlaue (Cr)'!$C:$FB,43)</f>
        <v>83</v>
      </c>
      <c r="H7" s="49">
        <f>VLOOKUP($A7,'Data Vlaue (Cr)'!$C:$FB,44)</f>
        <v>75</v>
      </c>
      <c r="I7" s="49">
        <f>VLOOKUP($A7,'Data Vlaue (Cr)'!$C:$FB,46)*100</f>
        <v>10.17</v>
      </c>
      <c r="J7" s="51">
        <f>VLOOKUP($A7,'Data Vlaue (Cr)'!$C:$FB,59)</f>
        <v>103</v>
      </c>
      <c r="K7" s="51">
        <f>VLOOKUP($A7,'Data Vlaue (Cr)'!$C:$FB,60)</f>
        <v>68</v>
      </c>
      <c r="L7" s="51">
        <f>VLOOKUP($A7,'Data Vlaue (Cr)'!$C:$FB,62)*100</f>
        <v>51.349999999999994</v>
      </c>
      <c r="M7" s="51">
        <f>VLOOKUP($A7,'Data Vlaue (Cr)'!$C:$FB,63)</f>
        <v>46</v>
      </c>
      <c r="N7" s="51">
        <f>VLOOKUP($A7,'Data Vlaue (Cr)'!$C:$FB,64)</f>
        <v>22</v>
      </c>
      <c r="O7" s="51">
        <f>VLOOKUP($A7,'Data Vlaue (Cr)'!$C:$FB,66)*100</f>
        <v>107.49</v>
      </c>
    </row>
    <row r="8" spans="1:15" x14ac:dyDescent="0.25">
      <c r="A8" s="101" t="str">
        <f>'Data Vlaue (Cr)'!C3</f>
        <v>ABB</v>
      </c>
      <c r="B8" s="50">
        <f>VLOOKUP($A8,'Data Vlaue (Cr)'!$C:$FB,8)</f>
        <v>6409</v>
      </c>
      <c r="C8" s="50">
        <f>VLOOKUP($A8,'Data Vlaue (Cr)'!$C:$FB,11)*100</f>
        <v>2.0500000000000003</v>
      </c>
      <c r="D8" s="50">
        <f>VLOOKUP($A8,'Data Vlaue (Cr)'!$C:$FB,143)</f>
        <v>4955.92</v>
      </c>
      <c r="E8" s="50">
        <f>VLOOKUP($A8,'Data Vlaue (Cr)'!$C:$FB,144)</f>
        <v>4845.9799999999996</v>
      </c>
      <c r="F8" s="50">
        <f>VLOOKUP($A8,'Data Vlaue (Cr)'!$C:$FB,146)*100</f>
        <v>2.27</v>
      </c>
      <c r="G8" s="49">
        <f>VLOOKUP($A8,'Data Vlaue (Cr)'!$C:$FB,43)</f>
        <v>546</v>
      </c>
      <c r="H8" s="49">
        <f>VLOOKUP($A8,'Data Vlaue (Cr)'!$C:$FB,44)</f>
        <v>473</v>
      </c>
      <c r="I8" s="49">
        <f>VLOOKUP($A8,'Data Vlaue (Cr)'!$C:$FB,46)*100</f>
        <v>15.32</v>
      </c>
      <c r="J8" s="51">
        <f>VLOOKUP($A8,'Data Vlaue (Cr)'!$C:$FB,59)</f>
        <v>3048</v>
      </c>
      <c r="K8" s="51">
        <f>VLOOKUP($A8,'Data Vlaue (Cr)'!$C:$FB,60)</f>
        <v>3342</v>
      </c>
      <c r="L8" s="51">
        <f>VLOOKUP($A8,'Data Vlaue (Cr)'!$C:$FB,62)*100</f>
        <v>-8.7900000000000009</v>
      </c>
      <c r="M8" s="51">
        <f>VLOOKUP($A8,'Data Vlaue (Cr)'!$C:$FB,63)</f>
        <v>1325</v>
      </c>
      <c r="N8" s="51">
        <f>VLOOKUP($A8,'Data Vlaue (Cr)'!$C:$FB,64)</f>
        <v>1000</v>
      </c>
      <c r="O8" s="51">
        <f>VLOOKUP($A8,'Data Vlaue (Cr)'!$C:$FB,66)*100</f>
        <v>32.54</v>
      </c>
    </row>
    <row r="9" spans="1:15" x14ac:dyDescent="0.25">
      <c r="A9" s="101" t="str">
        <f>'Data Vlaue (Cr)'!C4</f>
        <v>ABCAPITAL</v>
      </c>
      <c r="B9" s="50">
        <f>VLOOKUP($A9,'Data Vlaue (Cr)'!$C:$FB,8)</f>
        <v>319.95</v>
      </c>
      <c r="C9" s="50">
        <f>VLOOKUP($A9,'Data Vlaue (Cr)'!$C:$FB,11)*100</f>
        <v>-1.1900000000000002</v>
      </c>
      <c r="D9" s="50">
        <f>VLOOKUP($A9,'Data Vlaue (Cr)'!$C:$FB,143)</f>
        <v>1028.6500000000001</v>
      </c>
      <c r="E9" s="50">
        <f>VLOOKUP($A9,'Data Vlaue (Cr)'!$C:$FB,144)</f>
        <v>1130.75</v>
      </c>
      <c r="F9" s="50">
        <f>VLOOKUP($A9,'Data Vlaue (Cr)'!$C:$FB,146)*100</f>
        <v>-9.0300000000000011</v>
      </c>
      <c r="G9" s="49">
        <f>VLOOKUP($A9,'Data Vlaue (Cr)'!$C:$FB,43)</f>
        <v>253</v>
      </c>
      <c r="H9" s="49">
        <f>VLOOKUP($A9,'Data Vlaue (Cr)'!$C:$FB,44)</f>
        <v>263</v>
      </c>
      <c r="I9" s="49">
        <f>VLOOKUP($A9,'Data Vlaue (Cr)'!$C:$FB,46)*100</f>
        <v>-3.9699999999999998</v>
      </c>
      <c r="J9" s="51">
        <f>VLOOKUP($A9,'Data Vlaue (Cr)'!$C:$FB,59)</f>
        <v>490</v>
      </c>
      <c r="K9" s="51">
        <f>VLOOKUP($A9,'Data Vlaue (Cr)'!$C:$FB,60)</f>
        <v>455</v>
      </c>
      <c r="L9" s="51">
        <f>VLOOKUP($A9,'Data Vlaue (Cr)'!$C:$FB,62)*100</f>
        <v>7.51</v>
      </c>
      <c r="M9" s="51">
        <f>VLOOKUP($A9,'Data Vlaue (Cr)'!$C:$FB,63)</f>
        <v>252</v>
      </c>
      <c r="N9" s="51">
        <f>VLOOKUP($A9,'Data Vlaue (Cr)'!$C:$FB,64)</f>
        <v>357</v>
      </c>
      <c r="O9" s="51">
        <f>VLOOKUP($A9,'Data Vlaue (Cr)'!$C:$FB,66)*100</f>
        <v>-29.270000000000003</v>
      </c>
    </row>
    <row r="10" spans="1:15" x14ac:dyDescent="0.25">
      <c r="A10" s="101" t="str">
        <f>'Data Vlaue (Cr)'!C5</f>
        <v>ADANIENSOL</v>
      </c>
      <c r="B10" s="50">
        <f>VLOOKUP($A10,'Data Vlaue (Cr)'!$C:$FB,8)</f>
        <v>1004.4</v>
      </c>
      <c r="C10" s="50">
        <f>VLOOKUP($A10,'Data Vlaue (Cr)'!$C:$FB,11)*100</f>
        <v>1.25</v>
      </c>
      <c r="D10" s="50">
        <f>VLOOKUP($A10,'Data Vlaue (Cr)'!$C:$FB,143)</f>
        <v>855.6</v>
      </c>
      <c r="E10" s="50">
        <f>VLOOKUP($A10,'Data Vlaue (Cr)'!$C:$FB,144)</f>
        <v>1408.51</v>
      </c>
      <c r="F10" s="50">
        <f>VLOOKUP($A10,'Data Vlaue (Cr)'!$C:$FB,146)*100</f>
        <v>-39.26</v>
      </c>
      <c r="G10" s="49">
        <f>VLOOKUP($A10,'Data Vlaue (Cr)'!$C:$FB,43)</f>
        <v>174</v>
      </c>
      <c r="H10" s="49">
        <f>VLOOKUP($A10,'Data Vlaue (Cr)'!$C:$FB,44)</f>
        <v>158</v>
      </c>
      <c r="I10" s="49">
        <f>VLOOKUP($A10,'Data Vlaue (Cr)'!$C:$FB,46)*100</f>
        <v>9.66</v>
      </c>
      <c r="J10" s="51">
        <f>VLOOKUP($A10,'Data Vlaue (Cr)'!$C:$FB,59)</f>
        <v>519</v>
      </c>
      <c r="K10" s="51">
        <f>VLOOKUP($A10,'Data Vlaue (Cr)'!$C:$FB,60)</f>
        <v>934</v>
      </c>
      <c r="L10" s="51">
        <f>VLOOKUP($A10,'Data Vlaue (Cr)'!$C:$FB,62)*100</f>
        <v>-44.42</v>
      </c>
      <c r="M10" s="51">
        <f>VLOOKUP($A10,'Data Vlaue (Cr)'!$C:$FB,63)</f>
        <v>134</v>
      </c>
      <c r="N10" s="51">
        <f>VLOOKUP($A10,'Data Vlaue (Cr)'!$C:$FB,64)</f>
        <v>252</v>
      </c>
      <c r="O10" s="51">
        <f>VLOOKUP($A10,'Data Vlaue (Cr)'!$C:$FB,66)*100</f>
        <v>-46.839999999999996</v>
      </c>
    </row>
    <row r="11" spans="1:15" x14ac:dyDescent="0.25">
      <c r="A11" s="101" t="str">
        <f>'Data Vlaue (Cr)'!C6</f>
        <v>ADANIENT</v>
      </c>
      <c r="B11" s="50">
        <f>VLOOKUP($A11,'Data Vlaue (Cr)'!$C:$FB,8)</f>
        <v>2002</v>
      </c>
      <c r="C11" s="50">
        <f>VLOOKUP($A11,'Data Vlaue (Cr)'!$C:$FB,11)*100</f>
        <v>1.38</v>
      </c>
      <c r="D11" s="50">
        <f>VLOOKUP($A11,'Data Vlaue (Cr)'!$C:$FB,143)</f>
        <v>3567.89</v>
      </c>
      <c r="E11" s="50">
        <f>VLOOKUP($A11,'Data Vlaue (Cr)'!$C:$FB,144)</f>
        <v>1954.63</v>
      </c>
      <c r="F11" s="50">
        <f>VLOOKUP($A11,'Data Vlaue (Cr)'!$C:$FB,146)*100</f>
        <v>82.54</v>
      </c>
      <c r="G11" s="49">
        <f>VLOOKUP($A11,'Data Vlaue (Cr)'!$C:$FB,43)</f>
        <v>828</v>
      </c>
      <c r="H11" s="49">
        <f>VLOOKUP($A11,'Data Vlaue (Cr)'!$C:$FB,44)</f>
        <v>345</v>
      </c>
      <c r="I11" s="49">
        <f>VLOOKUP($A11,'Data Vlaue (Cr)'!$C:$FB,46)*100</f>
        <v>140.32</v>
      </c>
      <c r="J11" s="51">
        <f>VLOOKUP($A11,'Data Vlaue (Cr)'!$C:$FB,59)</f>
        <v>1745</v>
      </c>
      <c r="K11" s="51">
        <f>VLOOKUP($A11,'Data Vlaue (Cr)'!$C:$FB,60)</f>
        <v>982</v>
      </c>
      <c r="L11" s="51">
        <f>VLOOKUP($A11,'Data Vlaue (Cr)'!$C:$FB,62)*100</f>
        <v>77.7</v>
      </c>
      <c r="M11" s="51">
        <f>VLOOKUP($A11,'Data Vlaue (Cr)'!$C:$FB,63)</f>
        <v>876</v>
      </c>
      <c r="N11" s="51">
        <f>VLOOKUP($A11,'Data Vlaue (Cr)'!$C:$FB,64)</f>
        <v>555</v>
      </c>
      <c r="O11" s="51">
        <f>VLOOKUP($A11,'Data Vlaue (Cr)'!$C:$FB,66)*100</f>
        <v>57.75</v>
      </c>
    </row>
    <row r="12" spans="1:15" x14ac:dyDescent="0.25">
      <c r="A12" s="101" t="str">
        <f>'Data Vlaue (Cr)'!C7</f>
        <v>ADANIGREEN</v>
      </c>
      <c r="B12" s="50">
        <f>VLOOKUP($A12,'Data Vlaue (Cr)'!$C:$FB,8)</f>
        <v>866.55</v>
      </c>
      <c r="C12" s="50">
        <f>VLOOKUP($A12,'Data Vlaue (Cr)'!$C:$FB,11)*100</f>
        <v>1.9900000000000002</v>
      </c>
      <c r="D12" s="50">
        <f>VLOOKUP($A12,'Data Vlaue (Cr)'!$C:$FB,143)</f>
        <v>2081.35</v>
      </c>
      <c r="E12" s="50">
        <f>VLOOKUP($A12,'Data Vlaue (Cr)'!$C:$FB,144)</f>
        <v>1011.21</v>
      </c>
      <c r="F12" s="50">
        <f>VLOOKUP($A12,'Data Vlaue (Cr)'!$C:$FB,146)*100</f>
        <v>105.83</v>
      </c>
      <c r="G12" s="49">
        <f>VLOOKUP($A12,'Data Vlaue (Cr)'!$C:$FB,43)</f>
        <v>476</v>
      </c>
      <c r="H12" s="49">
        <f>VLOOKUP($A12,'Data Vlaue (Cr)'!$C:$FB,44)</f>
        <v>217</v>
      </c>
      <c r="I12" s="49">
        <f>VLOOKUP($A12,'Data Vlaue (Cr)'!$C:$FB,46)*100</f>
        <v>119.49000000000001</v>
      </c>
      <c r="J12" s="51">
        <f>VLOOKUP($A12,'Data Vlaue (Cr)'!$C:$FB,59)</f>
        <v>1187</v>
      </c>
      <c r="K12" s="51">
        <f>VLOOKUP($A12,'Data Vlaue (Cr)'!$C:$FB,60)</f>
        <v>552</v>
      </c>
      <c r="L12" s="51">
        <f>VLOOKUP($A12,'Data Vlaue (Cr)'!$C:$FB,62)*100</f>
        <v>114.94</v>
      </c>
      <c r="M12" s="51">
        <f>VLOOKUP($A12,'Data Vlaue (Cr)'!$C:$FB,63)</f>
        <v>333</v>
      </c>
      <c r="N12" s="51">
        <f>VLOOKUP($A12,'Data Vlaue (Cr)'!$C:$FB,64)</f>
        <v>199</v>
      </c>
      <c r="O12" s="51">
        <f>VLOOKUP($A12,'Data Vlaue (Cr)'!$C:$FB,66)*100</f>
        <v>67.58</v>
      </c>
    </row>
    <row r="13" spans="1:15" x14ac:dyDescent="0.25">
      <c r="A13" s="101" t="str">
        <f>'Data Vlaue (Cr)'!C8</f>
        <v>ADANIPORTS</v>
      </c>
      <c r="B13" s="50">
        <f>VLOOKUP($A13,'Data Vlaue (Cr)'!$C:$FB,8)</f>
        <v>1391.5</v>
      </c>
      <c r="C13" s="50">
        <f>VLOOKUP($A13,'Data Vlaue (Cr)'!$C:$FB,11)*100</f>
        <v>-1.37</v>
      </c>
      <c r="D13" s="50">
        <f>VLOOKUP($A13,'Data Vlaue (Cr)'!$C:$FB,143)</f>
        <v>3014.89</v>
      </c>
      <c r="E13" s="50">
        <f>VLOOKUP($A13,'Data Vlaue (Cr)'!$C:$FB,144)</f>
        <v>3145.93</v>
      </c>
      <c r="F13" s="50">
        <f>VLOOKUP($A13,'Data Vlaue (Cr)'!$C:$FB,146)*100</f>
        <v>-4.17</v>
      </c>
      <c r="G13" s="49">
        <f>VLOOKUP($A13,'Data Vlaue (Cr)'!$C:$FB,43)</f>
        <v>393</v>
      </c>
      <c r="H13" s="49">
        <f>VLOOKUP($A13,'Data Vlaue (Cr)'!$C:$FB,44)</f>
        <v>485</v>
      </c>
      <c r="I13" s="49">
        <f>VLOOKUP($A13,'Data Vlaue (Cr)'!$C:$FB,46)*100</f>
        <v>-18.850000000000001</v>
      </c>
      <c r="J13" s="51">
        <f>VLOOKUP($A13,'Data Vlaue (Cr)'!$C:$FB,59)</f>
        <v>1299</v>
      </c>
      <c r="K13" s="51">
        <f>VLOOKUP($A13,'Data Vlaue (Cr)'!$C:$FB,60)</f>
        <v>1313</v>
      </c>
      <c r="L13" s="51">
        <f>VLOOKUP($A13,'Data Vlaue (Cr)'!$C:$FB,62)*100</f>
        <v>-1.0900000000000001</v>
      </c>
      <c r="M13" s="51">
        <f>VLOOKUP($A13,'Data Vlaue (Cr)'!$C:$FB,63)</f>
        <v>1219</v>
      </c>
      <c r="N13" s="51">
        <f>VLOOKUP($A13,'Data Vlaue (Cr)'!$C:$FB,64)</f>
        <v>1188</v>
      </c>
      <c r="O13" s="51">
        <f>VLOOKUP($A13,'Data Vlaue (Cr)'!$C:$FB,66)*100</f>
        <v>2.5499999999999998</v>
      </c>
    </row>
    <row r="14" spans="1:15" x14ac:dyDescent="0.25">
      <c r="A14" s="101" t="str">
        <f>'Data Vlaue (Cr)'!C9</f>
        <v>ALKEM</v>
      </c>
      <c r="B14" s="50">
        <f>VLOOKUP($A14,'Data Vlaue (Cr)'!$C:$FB,8)</f>
        <v>5444</v>
      </c>
      <c r="C14" s="50">
        <f>VLOOKUP($A14,'Data Vlaue (Cr)'!$C:$FB,11)*100</f>
        <v>-1.81</v>
      </c>
      <c r="D14" s="50">
        <f>VLOOKUP($A14,'Data Vlaue (Cr)'!$C:$FB,143)</f>
        <v>263.64</v>
      </c>
      <c r="E14" s="50">
        <f>VLOOKUP($A14,'Data Vlaue (Cr)'!$C:$FB,144)</f>
        <v>293.35000000000002</v>
      </c>
      <c r="F14" s="50">
        <f>VLOOKUP($A14,'Data Vlaue (Cr)'!$C:$FB,146)*100</f>
        <v>-10.130000000000001</v>
      </c>
      <c r="G14" s="49">
        <f>VLOOKUP($A14,'Data Vlaue (Cr)'!$C:$FB,43)</f>
        <v>87</v>
      </c>
      <c r="H14" s="49">
        <f>VLOOKUP($A14,'Data Vlaue (Cr)'!$C:$FB,44)</f>
        <v>63</v>
      </c>
      <c r="I14" s="49">
        <f>VLOOKUP($A14,'Data Vlaue (Cr)'!$C:$FB,46)*100</f>
        <v>39.08</v>
      </c>
      <c r="J14" s="51">
        <f>VLOOKUP($A14,'Data Vlaue (Cr)'!$C:$FB,59)</f>
        <v>115</v>
      </c>
      <c r="K14" s="51">
        <f>VLOOKUP($A14,'Data Vlaue (Cr)'!$C:$FB,60)</f>
        <v>174</v>
      </c>
      <c r="L14" s="51">
        <f>VLOOKUP($A14,'Data Vlaue (Cr)'!$C:$FB,62)*100</f>
        <v>-33.910000000000004</v>
      </c>
      <c r="M14" s="51">
        <f>VLOOKUP($A14,'Data Vlaue (Cr)'!$C:$FB,63)</f>
        <v>54</v>
      </c>
      <c r="N14" s="51">
        <f>VLOOKUP($A14,'Data Vlaue (Cr)'!$C:$FB,64)</f>
        <v>44</v>
      </c>
      <c r="O14" s="51">
        <f>VLOOKUP($A14,'Data Vlaue (Cr)'!$C:$FB,66)*100</f>
        <v>23.09</v>
      </c>
    </row>
    <row r="15" spans="1:15" x14ac:dyDescent="0.25">
      <c r="A15" s="101" t="str">
        <f>'Data Vlaue (Cr)'!C10</f>
        <v>AMBER</v>
      </c>
      <c r="B15" s="50">
        <f>VLOOKUP($A15,'Data Vlaue (Cr)'!$C:$FB,8)</f>
        <v>6929.5</v>
      </c>
      <c r="C15" s="50">
        <f>VLOOKUP($A15,'Data Vlaue (Cr)'!$C:$FB,11)*100</f>
        <v>-5.18</v>
      </c>
      <c r="D15" s="50">
        <f>VLOOKUP($A15,'Data Vlaue (Cr)'!$C:$FB,143)</f>
        <v>3530.6</v>
      </c>
      <c r="E15" s="50">
        <f>VLOOKUP($A15,'Data Vlaue (Cr)'!$C:$FB,144)</f>
        <v>1792.75</v>
      </c>
      <c r="F15" s="50">
        <f>VLOOKUP($A15,'Data Vlaue (Cr)'!$C:$FB,146)*100</f>
        <v>96.94</v>
      </c>
      <c r="G15" s="49">
        <f>VLOOKUP($A15,'Data Vlaue (Cr)'!$C:$FB,43)</f>
        <v>555</v>
      </c>
      <c r="H15" s="49">
        <f>VLOOKUP($A15,'Data Vlaue (Cr)'!$C:$FB,44)</f>
        <v>243</v>
      </c>
      <c r="I15" s="49">
        <f>VLOOKUP($A15,'Data Vlaue (Cr)'!$C:$FB,46)*100</f>
        <v>128.75</v>
      </c>
      <c r="J15" s="51">
        <f>VLOOKUP($A15,'Data Vlaue (Cr)'!$C:$FB,59)</f>
        <v>1524</v>
      </c>
      <c r="K15" s="51">
        <f>VLOOKUP($A15,'Data Vlaue (Cr)'!$C:$FB,60)</f>
        <v>983</v>
      </c>
      <c r="L15" s="51">
        <f>VLOOKUP($A15,'Data Vlaue (Cr)'!$C:$FB,62)*100</f>
        <v>54.96</v>
      </c>
      <c r="M15" s="51">
        <f>VLOOKUP($A15,'Data Vlaue (Cr)'!$C:$FB,63)</f>
        <v>1227</v>
      </c>
      <c r="N15" s="51">
        <f>VLOOKUP($A15,'Data Vlaue (Cr)'!$C:$FB,64)</f>
        <v>382</v>
      </c>
      <c r="O15" s="51">
        <f>VLOOKUP($A15,'Data Vlaue (Cr)'!$C:$FB,66)*100</f>
        <v>221.36</v>
      </c>
    </row>
    <row r="16" spans="1:15" x14ac:dyDescent="0.25">
      <c r="A16" s="101" t="str">
        <f>'Data Vlaue (Cr)'!C11</f>
        <v>AMBUJACEM</v>
      </c>
      <c r="B16" s="50">
        <f>VLOOKUP($A16,'Data Vlaue (Cr)'!$C:$FB,8)</f>
        <v>446.45</v>
      </c>
      <c r="C16" s="50">
        <f>VLOOKUP($A16,'Data Vlaue (Cr)'!$C:$FB,11)*100</f>
        <v>-2.48</v>
      </c>
      <c r="D16" s="50">
        <f>VLOOKUP($A16,'Data Vlaue (Cr)'!$C:$FB,143)</f>
        <v>806.62</v>
      </c>
      <c r="E16" s="50">
        <f>VLOOKUP($A16,'Data Vlaue (Cr)'!$C:$FB,144)</f>
        <v>697.78</v>
      </c>
      <c r="F16" s="50">
        <f>VLOOKUP($A16,'Data Vlaue (Cr)'!$C:$FB,146)*100</f>
        <v>15.6</v>
      </c>
      <c r="G16" s="49">
        <f>VLOOKUP($A16,'Data Vlaue (Cr)'!$C:$FB,43)</f>
        <v>330</v>
      </c>
      <c r="H16" s="49">
        <f>VLOOKUP($A16,'Data Vlaue (Cr)'!$C:$FB,44)</f>
        <v>182</v>
      </c>
      <c r="I16" s="49">
        <f>VLOOKUP($A16,'Data Vlaue (Cr)'!$C:$FB,46)*100</f>
        <v>81.52000000000001</v>
      </c>
      <c r="J16" s="51">
        <f>VLOOKUP($A16,'Data Vlaue (Cr)'!$C:$FB,59)</f>
        <v>304</v>
      </c>
      <c r="K16" s="51">
        <f>VLOOKUP($A16,'Data Vlaue (Cr)'!$C:$FB,60)</f>
        <v>325</v>
      </c>
      <c r="L16" s="51">
        <f>VLOOKUP($A16,'Data Vlaue (Cr)'!$C:$FB,62)*100</f>
        <v>-6.41</v>
      </c>
      <c r="M16" s="51">
        <f>VLOOKUP($A16,'Data Vlaue (Cr)'!$C:$FB,63)</f>
        <v>140</v>
      </c>
      <c r="N16" s="51">
        <f>VLOOKUP($A16,'Data Vlaue (Cr)'!$C:$FB,64)</f>
        <v>148</v>
      </c>
      <c r="O16" s="51">
        <f>VLOOKUP($A16,'Data Vlaue (Cr)'!$C:$FB,66)*100</f>
        <v>-5.37</v>
      </c>
    </row>
    <row r="17" spans="1:15" x14ac:dyDescent="0.25">
      <c r="A17" s="101" t="str">
        <f>'Data Vlaue (Cr)'!C12</f>
        <v>ANGELONE</v>
      </c>
      <c r="B17" s="50">
        <f>VLOOKUP($A17,'Data Vlaue (Cr)'!$C:$FB,8)</f>
        <v>213.07</v>
      </c>
      <c r="C17" s="50">
        <f>VLOOKUP($A17,'Data Vlaue (Cr)'!$C:$FB,11)*100</f>
        <v>-2.5</v>
      </c>
      <c r="D17" s="50">
        <f>VLOOKUP($A17,'Data Vlaue (Cr)'!$C:$FB,143)</f>
        <v>781.12</v>
      </c>
      <c r="E17" s="50">
        <f>VLOOKUP($A17,'Data Vlaue (Cr)'!$C:$FB,144)</f>
        <v>651.78</v>
      </c>
      <c r="F17" s="50">
        <f>VLOOKUP($A17,'Data Vlaue (Cr)'!$C:$FB,146)*100</f>
        <v>19.84</v>
      </c>
      <c r="G17" s="49">
        <f>VLOOKUP($A17,'Data Vlaue (Cr)'!$C:$FB,43)</f>
        <v>240</v>
      </c>
      <c r="H17" s="49">
        <f>VLOOKUP($A17,'Data Vlaue (Cr)'!$C:$FB,44)</f>
        <v>153</v>
      </c>
      <c r="I17" s="49">
        <f>VLOOKUP($A17,'Data Vlaue (Cr)'!$C:$FB,46)*100</f>
        <v>56.620000000000005</v>
      </c>
      <c r="J17" s="51">
        <f>VLOOKUP($A17,'Data Vlaue (Cr)'!$C:$FB,59)</f>
        <v>324</v>
      </c>
      <c r="K17" s="51">
        <f>VLOOKUP($A17,'Data Vlaue (Cr)'!$C:$FB,60)</f>
        <v>300</v>
      </c>
      <c r="L17" s="51">
        <f>VLOOKUP($A17,'Data Vlaue (Cr)'!$C:$FB,62)*100</f>
        <v>7.8100000000000005</v>
      </c>
      <c r="M17" s="51">
        <f>VLOOKUP($A17,'Data Vlaue (Cr)'!$C:$FB,63)</f>
        <v>180</v>
      </c>
      <c r="N17" s="51">
        <f>VLOOKUP($A17,'Data Vlaue (Cr)'!$C:$FB,64)</f>
        <v>147</v>
      </c>
      <c r="O17" s="51">
        <f>VLOOKUP($A17,'Data Vlaue (Cr)'!$C:$FB,66)*100</f>
        <v>22.37</v>
      </c>
    </row>
    <row r="18" spans="1:15" x14ac:dyDescent="0.25">
      <c r="A18" s="101" t="str">
        <f>'Data Vlaue (Cr)'!C13</f>
        <v>APLAPOLLO</v>
      </c>
      <c r="B18" s="50">
        <f>VLOOKUP($A18,'Data Vlaue (Cr)'!$C:$FB,8)</f>
        <v>2009.2</v>
      </c>
      <c r="C18" s="50">
        <f>VLOOKUP($A18,'Data Vlaue (Cr)'!$C:$FB,11)*100</f>
        <v>-0.35000000000000003</v>
      </c>
      <c r="D18" s="50">
        <f>VLOOKUP($A18,'Data Vlaue (Cr)'!$C:$FB,143)</f>
        <v>1224.6199999999999</v>
      </c>
      <c r="E18" s="50">
        <f>VLOOKUP($A18,'Data Vlaue (Cr)'!$C:$FB,144)</f>
        <v>2444.7199999999998</v>
      </c>
      <c r="F18" s="50">
        <f>VLOOKUP($A18,'Data Vlaue (Cr)'!$C:$FB,146)*100</f>
        <v>-49.91</v>
      </c>
      <c r="G18" s="49">
        <f>VLOOKUP($A18,'Data Vlaue (Cr)'!$C:$FB,43)</f>
        <v>258</v>
      </c>
      <c r="H18" s="49">
        <f>VLOOKUP($A18,'Data Vlaue (Cr)'!$C:$FB,44)</f>
        <v>376</v>
      </c>
      <c r="I18" s="49">
        <f>VLOOKUP($A18,'Data Vlaue (Cr)'!$C:$FB,46)*100</f>
        <v>-31.35</v>
      </c>
      <c r="J18" s="51">
        <f>VLOOKUP($A18,'Data Vlaue (Cr)'!$C:$FB,59)</f>
        <v>560</v>
      </c>
      <c r="K18" s="51">
        <f>VLOOKUP($A18,'Data Vlaue (Cr)'!$C:$FB,60)</f>
        <v>973</v>
      </c>
      <c r="L18" s="51">
        <f>VLOOKUP($A18,'Data Vlaue (Cr)'!$C:$FB,62)*100</f>
        <v>-42.480000000000004</v>
      </c>
      <c r="M18" s="51">
        <f>VLOOKUP($A18,'Data Vlaue (Cr)'!$C:$FB,63)</f>
        <v>366</v>
      </c>
      <c r="N18" s="51">
        <f>VLOOKUP($A18,'Data Vlaue (Cr)'!$C:$FB,64)</f>
        <v>986</v>
      </c>
      <c r="O18" s="51">
        <f>VLOOKUP($A18,'Data Vlaue (Cr)'!$C:$FB,66)*100</f>
        <v>-62.839999999999996</v>
      </c>
    </row>
    <row r="19" spans="1:15" x14ac:dyDescent="0.25">
      <c r="A19" s="101" t="str">
        <f>'Data Vlaue (Cr)'!C14</f>
        <v>APOLLOHOSP</v>
      </c>
      <c r="B19" s="50">
        <f>VLOOKUP($A19,'Data Vlaue (Cr)'!$C:$FB,8)</f>
        <v>7574.5</v>
      </c>
      <c r="C19" s="50">
        <f>VLOOKUP($A19,'Data Vlaue (Cr)'!$C:$FB,11)*100</f>
        <v>-1.43</v>
      </c>
      <c r="D19" s="50">
        <f>VLOOKUP($A19,'Data Vlaue (Cr)'!$C:$FB,143)</f>
        <v>1985.79</v>
      </c>
      <c r="E19" s="50">
        <f>VLOOKUP($A19,'Data Vlaue (Cr)'!$C:$FB,144)</f>
        <v>1786.12</v>
      </c>
      <c r="F19" s="50">
        <f>VLOOKUP($A19,'Data Vlaue (Cr)'!$C:$FB,146)*100</f>
        <v>11.18</v>
      </c>
      <c r="G19" s="49">
        <f>VLOOKUP($A19,'Data Vlaue (Cr)'!$C:$FB,43)</f>
        <v>367</v>
      </c>
      <c r="H19" s="49">
        <f>VLOOKUP($A19,'Data Vlaue (Cr)'!$C:$FB,44)</f>
        <v>192</v>
      </c>
      <c r="I19" s="49">
        <f>VLOOKUP($A19,'Data Vlaue (Cr)'!$C:$FB,46)*100</f>
        <v>91.25</v>
      </c>
      <c r="J19" s="51">
        <f>VLOOKUP($A19,'Data Vlaue (Cr)'!$C:$FB,59)</f>
        <v>1008</v>
      </c>
      <c r="K19" s="51">
        <f>VLOOKUP($A19,'Data Vlaue (Cr)'!$C:$FB,60)</f>
        <v>826</v>
      </c>
      <c r="L19" s="51">
        <f>VLOOKUP($A19,'Data Vlaue (Cr)'!$C:$FB,62)*100</f>
        <v>22</v>
      </c>
      <c r="M19" s="51">
        <f>VLOOKUP($A19,'Data Vlaue (Cr)'!$C:$FB,63)</f>
        <v>559</v>
      </c>
      <c r="N19" s="51">
        <f>VLOOKUP($A19,'Data Vlaue (Cr)'!$C:$FB,64)</f>
        <v>708</v>
      </c>
      <c r="O19" s="51">
        <f>VLOOKUP($A19,'Data Vlaue (Cr)'!$C:$FB,66)*100</f>
        <v>-21.05</v>
      </c>
    </row>
    <row r="20" spans="1:15" x14ac:dyDescent="0.25">
      <c r="A20" s="101" t="str">
        <f>'Data Vlaue (Cr)'!C15</f>
        <v>ASHOKLEY</v>
      </c>
      <c r="B20" s="50">
        <f>VLOOKUP($A20,'Data Vlaue (Cr)'!$C:$FB,8)</f>
        <v>178.47</v>
      </c>
      <c r="C20" s="50">
        <f>VLOOKUP($A20,'Data Vlaue (Cr)'!$C:$FB,11)*100</f>
        <v>-3.35</v>
      </c>
      <c r="D20" s="50">
        <f>VLOOKUP($A20,'Data Vlaue (Cr)'!$C:$FB,143)</f>
        <v>5292.64</v>
      </c>
      <c r="E20" s="50">
        <f>VLOOKUP($A20,'Data Vlaue (Cr)'!$C:$FB,144)</f>
        <v>3351.41</v>
      </c>
      <c r="F20" s="50">
        <f>VLOOKUP($A20,'Data Vlaue (Cr)'!$C:$FB,146)*100</f>
        <v>57.92</v>
      </c>
      <c r="G20" s="49">
        <f>VLOOKUP($A20,'Data Vlaue (Cr)'!$C:$FB,43)</f>
        <v>1073</v>
      </c>
      <c r="H20" s="49">
        <f>VLOOKUP($A20,'Data Vlaue (Cr)'!$C:$FB,44)</f>
        <v>704</v>
      </c>
      <c r="I20" s="49">
        <f>VLOOKUP($A20,'Data Vlaue (Cr)'!$C:$FB,46)*100</f>
        <v>52.44</v>
      </c>
      <c r="J20" s="51">
        <f>VLOOKUP($A20,'Data Vlaue (Cr)'!$C:$FB,59)</f>
        <v>2366</v>
      </c>
      <c r="K20" s="51">
        <f>VLOOKUP($A20,'Data Vlaue (Cr)'!$C:$FB,60)</f>
        <v>1441</v>
      </c>
      <c r="L20" s="51">
        <f>VLOOKUP($A20,'Data Vlaue (Cr)'!$C:$FB,62)*100</f>
        <v>64.13</v>
      </c>
      <c r="M20" s="51">
        <f>VLOOKUP($A20,'Data Vlaue (Cr)'!$C:$FB,63)</f>
        <v>1607</v>
      </c>
      <c r="N20" s="51">
        <f>VLOOKUP($A20,'Data Vlaue (Cr)'!$C:$FB,64)</f>
        <v>899</v>
      </c>
      <c r="O20" s="51">
        <f>VLOOKUP($A20,'Data Vlaue (Cr)'!$C:$FB,66)*100</f>
        <v>78.759999999999991</v>
      </c>
    </row>
    <row r="21" spans="1:15" x14ac:dyDescent="0.25">
      <c r="A21" s="101" t="str">
        <f>'Data Vlaue (Cr)'!C16</f>
        <v>ASIANPAINT</v>
      </c>
      <c r="B21" s="50">
        <f>VLOOKUP($A21,'Data Vlaue (Cr)'!$C:$FB,8)</f>
        <v>2221.1999999999998</v>
      </c>
      <c r="C21" s="50">
        <f>VLOOKUP($A21,'Data Vlaue (Cr)'!$C:$FB,11)*100</f>
        <v>-0.48</v>
      </c>
      <c r="D21" s="50">
        <f>VLOOKUP($A21,'Data Vlaue (Cr)'!$C:$FB,143)</f>
        <v>2500.08</v>
      </c>
      <c r="E21" s="50">
        <f>VLOOKUP($A21,'Data Vlaue (Cr)'!$C:$FB,144)</f>
        <v>2377.1999999999998</v>
      </c>
      <c r="F21" s="50">
        <f>VLOOKUP($A21,'Data Vlaue (Cr)'!$C:$FB,146)*100</f>
        <v>5.17</v>
      </c>
      <c r="G21" s="49">
        <f>VLOOKUP($A21,'Data Vlaue (Cr)'!$C:$FB,43)</f>
        <v>275</v>
      </c>
      <c r="H21" s="49">
        <f>VLOOKUP($A21,'Data Vlaue (Cr)'!$C:$FB,44)</f>
        <v>258</v>
      </c>
      <c r="I21" s="49">
        <f>VLOOKUP($A21,'Data Vlaue (Cr)'!$C:$FB,46)*100</f>
        <v>6.72</v>
      </c>
      <c r="J21" s="51">
        <f>VLOOKUP($A21,'Data Vlaue (Cr)'!$C:$FB,59)</f>
        <v>1058</v>
      </c>
      <c r="K21" s="51">
        <f>VLOOKUP($A21,'Data Vlaue (Cr)'!$C:$FB,60)</f>
        <v>1043</v>
      </c>
      <c r="L21" s="51">
        <f>VLOOKUP($A21,'Data Vlaue (Cr)'!$C:$FB,62)*100</f>
        <v>1.51</v>
      </c>
      <c r="M21" s="51">
        <f>VLOOKUP($A21,'Data Vlaue (Cr)'!$C:$FB,63)</f>
        <v>1114</v>
      </c>
      <c r="N21" s="51">
        <f>VLOOKUP($A21,'Data Vlaue (Cr)'!$C:$FB,64)</f>
        <v>1000</v>
      </c>
      <c r="O21" s="51">
        <f>VLOOKUP($A21,'Data Vlaue (Cr)'!$C:$FB,66)*100</f>
        <v>11.39</v>
      </c>
    </row>
    <row r="22" spans="1:15" x14ac:dyDescent="0.25">
      <c r="A22" s="101" t="str">
        <f>'Data Vlaue (Cr)'!C17</f>
        <v>ASTRAL</v>
      </c>
      <c r="B22" s="50">
        <f>VLOOKUP($A22,'Data Vlaue (Cr)'!$C:$FB,8)</f>
        <v>1696</v>
      </c>
      <c r="C22" s="50">
        <f>VLOOKUP($A22,'Data Vlaue (Cr)'!$C:$FB,11)*100</f>
        <v>-2.88</v>
      </c>
      <c r="D22" s="50">
        <f>VLOOKUP($A22,'Data Vlaue (Cr)'!$C:$FB,143)</f>
        <v>3938.24</v>
      </c>
      <c r="E22" s="50">
        <f>VLOOKUP($A22,'Data Vlaue (Cr)'!$C:$FB,144)</f>
        <v>6437.27</v>
      </c>
      <c r="F22" s="50">
        <f>VLOOKUP($A22,'Data Vlaue (Cr)'!$C:$FB,146)*100</f>
        <v>-38.82</v>
      </c>
      <c r="G22" s="49">
        <f>VLOOKUP($A22,'Data Vlaue (Cr)'!$C:$FB,43)</f>
        <v>474</v>
      </c>
      <c r="H22" s="49">
        <f>VLOOKUP($A22,'Data Vlaue (Cr)'!$C:$FB,44)</f>
        <v>887</v>
      </c>
      <c r="I22" s="49">
        <f>VLOOKUP($A22,'Data Vlaue (Cr)'!$C:$FB,46)*100</f>
        <v>-46.51</v>
      </c>
      <c r="J22" s="51">
        <f>VLOOKUP($A22,'Data Vlaue (Cr)'!$C:$FB,59)</f>
        <v>1974</v>
      </c>
      <c r="K22" s="51">
        <f>VLOOKUP($A22,'Data Vlaue (Cr)'!$C:$FB,60)</f>
        <v>4296</v>
      </c>
      <c r="L22" s="51">
        <f>VLOOKUP($A22,'Data Vlaue (Cr)'!$C:$FB,62)*100</f>
        <v>-54.05</v>
      </c>
      <c r="M22" s="51">
        <f>VLOOKUP($A22,'Data Vlaue (Cr)'!$C:$FB,63)</f>
        <v>1406</v>
      </c>
      <c r="N22" s="51">
        <f>VLOOKUP($A22,'Data Vlaue (Cr)'!$C:$FB,64)</f>
        <v>973</v>
      </c>
      <c r="O22" s="51">
        <f>VLOOKUP($A22,'Data Vlaue (Cr)'!$C:$FB,66)*100</f>
        <v>44.47</v>
      </c>
    </row>
    <row r="23" spans="1:15" x14ac:dyDescent="0.25">
      <c r="A23" s="101" t="str">
        <f>'Data Vlaue (Cr)'!C18</f>
        <v>AUBANK</v>
      </c>
      <c r="B23" s="50">
        <f>VLOOKUP($A23,'Data Vlaue (Cr)'!$C:$FB,8)</f>
        <v>902.2</v>
      </c>
      <c r="C23" s="50">
        <f>VLOOKUP($A23,'Data Vlaue (Cr)'!$C:$FB,11)*100</f>
        <v>-1.76</v>
      </c>
      <c r="D23" s="50">
        <f>VLOOKUP($A23,'Data Vlaue (Cr)'!$C:$FB,143)</f>
        <v>1765.34</v>
      </c>
      <c r="E23" s="50">
        <f>VLOOKUP($A23,'Data Vlaue (Cr)'!$C:$FB,144)</f>
        <v>1800.98</v>
      </c>
      <c r="F23" s="50">
        <f>VLOOKUP($A23,'Data Vlaue (Cr)'!$C:$FB,146)*100</f>
        <v>-1.9800000000000002</v>
      </c>
      <c r="G23" s="49">
        <f>VLOOKUP($A23,'Data Vlaue (Cr)'!$C:$FB,43)</f>
        <v>381</v>
      </c>
      <c r="H23" s="49">
        <f>VLOOKUP($A23,'Data Vlaue (Cr)'!$C:$FB,44)</f>
        <v>335</v>
      </c>
      <c r="I23" s="49">
        <f>VLOOKUP($A23,'Data Vlaue (Cr)'!$C:$FB,46)*100</f>
        <v>13.68</v>
      </c>
      <c r="J23" s="51">
        <f>VLOOKUP($A23,'Data Vlaue (Cr)'!$C:$FB,59)</f>
        <v>762</v>
      </c>
      <c r="K23" s="51">
        <f>VLOOKUP($A23,'Data Vlaue (Cr)'!$C:$FB,60)</f>
        <v>743</v>
      </c>
      <c r="L23" s="51">
        <f>VLOOKUP($A23,'Data Vlaue (Cr)'!$C:$FB,62)*100</f>
        <v>2.54</v>
      </c>
      <c r="M23" s="51">
        <f>VLOOKUP($A23,'Data Vlaue (Cr)'!$C:$FB,63)</f>
        <v>564</v>
      </c>
      <c r="N23" s="51">
        <f>VLOOKUP($A23,'Data Vlaue (Cr)'!$C:$FB,64)</f>
        <v>631</v>
      </c>
      <c r="O23" s="51">
        <f>VLOOKUP($A23,'Data Vlaue (Cr)'!$C:$FB,66)*100</f>
        <v>-10.54</v>
      </c>
    </row>
    <row r="24" spans="1:15" x14ac:dyDescent="0.25">
      <c r="A24" s="101" t="str">
        <f>'Data Vlaue (Cr)'!C19</f>
        <v>AUROPHARMA</v>
      </c>
      <c r="B24" s="50">
        <f>VLOOKUP($A24,'Data Vlaue (Cr)'!$C:$FB,8)</f>
        <v>1311.9</v>
      </c>
      <c r="C24" s="50">
        <f>VLOOKUP($A24,'Data Vlaue (Cr)'!$C:$FB,11)*100</f>
        <v>0.54</v>
      </c>
      <c r="D24" s="50">
        <f>VLOOKUP($A24,'Data Vlaue (Cr)'!$C:$FB,143)</f>
        <v>3143.54</v>
      </c>
      <c r="E24" s="50">
        <f>VLOOKUP($A24,'Data Vlaue (Cr)'!$C:$FB,144)</f>
        <v>3373.92</v>
      </c>
      <c r="F24" s="50">
        <f>VLOOKUP($A24,'Data Vlaue (Cr)'!$C:$FB,146)*100</f>
        <v>-6.83</v>
      </c>
      <c r="G24" s="49">
        <f>VLOOKUP($A24,'Data Vlaue (Cr)'!$C:$FB,43)</f>
        <v>490</v>
      </c>
      <c r="H24" s="49">
        <f>VLOOKUP($A24,'Data Vlaue (Cr)'!$C:$FB,44)</f>
        <v>535</v>
      </c>
      <c r="I24" s="49">
        <f>VLOOKUP($A24,'Data Vlaue (Cr)'!$C:$FB,46)*100</f>
        <v>-8.4599999999999991</v>
      </c>
      <c r="J24" s="51">
        <f>VLOOKUP($A24,'Data Vlaue (Cr)'!$C:$FB,59)</f>
        <v>1439</v>
      </c>
      <c r="K24" s="51">
        <f>VLOOKUP($A24,'Data Vlaue (Cr)'!$C:$FB,60)</f>
        <v>2029</v>
      </c>
      <c r="L24" s="51">
        <f>VLOOKUP($A24,'Data Vlaue (Cr)'!$C:$FB,62)*100</f>
        <v>-29.099999999999998</v>
      </c>
      <c r="M24" s="51">
        <f>VLOOKUP($A24,'Data Vlaue (Cr)'!$C:$FB,63)</f>
        <v>1199</v>
      </c>
      <c r="N24" s="51">
        <f>VLOOKUP($A24,'Data Vlaue (Cr)'!$C:$FB,64)</f>
        <v>749</v>
      </c>
      <c r="O24" s="51">
        <f>VLOOKUP($A24,'Data Vlaue (Cr)'!$C:$FB,66)*100</f>
        <v>60.18</v>
      </c>
    </row>
    <row r="25" spans="1:15" x14ac:dyDescent="0.25">
      <c r="A25" s="101" t="str">
        <f>'Data Vlaue (Cr)'!C20</f>
        <v>AXISBANK</v>
      </c>
      <c r="B25" s="50">
        <f>VLOOKUP($A25,'Data Vlaue (Cr)'!$C:$FB,8)</f>
        <v>1234.5</v>
      </c>
      <c r="C25" s="50">
        <f>VLOOKUP($A25,'Data Vlaue (Cr)'!$C:$FB,11)*100</f>
        <v>-1.7000000000000002</v>
      </c>
      <c r="D25" s="50">
        <f>VLOOKUP($A25,'Data Vlaue (Cr)'!$C:$FB,143)</f>
        <v>7459.84</v>
      </c>
      <c r="E25" s="50">
        <f>VLOOKUP($A25,'Data Vlaue (Cr)'!$C:$FB,144)</f>
        <v>10838.51</v>
      </c>
      <c r="F25" s="50">
        <f>VLOOKUP($A25,'Data Vlaue (Cr)'!$C:$FB,146)*100</f>
        <v>-31.169999999999998</v>
      </c>
      <c r="G25" s="49">
        <f>VLOOKUP($A25,'Data Vlaue (Cr)'!$C:$FB,43)</f>
        <v>1292</v>
      </c>
      <c r="H25" s="49">
        <f>VLOOKUP($A25,'Data Vlaue (Cr)'!$C:$FB,44)</f>
        <v>2237</v>
      </c>
      <c r="I25" s="49">
        <f>VLOOKUP($A25,'Data Vlaue (Cr)'!$C:$FB,46)*100</f>
        <v>-42.230000000000004</v>
      </c>
      <c r="J25" s="51">
        <f>VLOOKUP($A25,'Data Vlaue (Cr)'!$C:$FB,59)</f>
        <v>3596</v>
      </c>
      <c r="K25" s="51">
        <f>VLOOKUP($A25,'Data Vlaue (Cr)'!$C:$FB,60)</f>
        <v>4789</v>
      </c>
      <c r="L25" s="51">
        <f>VLOOKUP($A25,'Data Vlaue (Cr)'!$C:$FB,62)*100</f>
        <v>-24.91</v>
      </c>
      <c r="M25" s="51">
        <f>VLOOKUP($A25,'Data Vlaue (Cr)'!$C:$FB,63)</f>
        <v>2330</v>
      </c>
      <c r="N25" s="51">
        <f>VLOOKUP($A25,'Data Vlaue (Cr)'!$C:$FB,64)</f>
        <v>3236</v>
      </c>
      <c r="O25" s="51">
        <f>VLOOKUP($A25,'Data Vlaue (Cr)'!$C:$FB,66)*100</f>
        <v>-28.000000000000004</v>
      </c>
    </row>
    <row r="26" spans="1:15" x14ac:dyDescent="0.25">
      <c r="A26" s="101" t="str">
        <f>'Data Vlaue (Cr)'!C21</f>
        <v>BAJAJ-AUTO</v>
      </c>
      <c r="B26" s="50">
        <f>VLOOKUP($A26,'Data Vlaue (Cr)'!$C:$FB,8)</f>
        <v>9162</v>
      </c>
      <c r="C26" s="50">
        <f>VLOOKUP($A26,'Data Vlaue (Cr)'!$C:$FB,11)*100</f>
        <v>-1.77</v>
      </c>
      <c r="D26" s="50">
        <f>VLOOKUP($A26,'Data Vlaue (Cr)'!$C:$FB,143)</f>
        <v>4024.86</v>
      </c>
      <c r="E26" s="50">
        <f>VLOOKUP($A26,'Data Vlaue (Cr)'!$C:$FB,144)</f>
        <v>5124</v>
      </c>
      <c r="F26" s="50">
        <f>VLOOKUP($A26,'Data Vlaue (Cr)'!$C:$FB,146)*100</f>
        <v>-21.45</v>
      </c>
      <c r="G26" s="49">
        <f>VLOOKUP($A26,'Data Vlaue (Cr)'!$C:$FB,43)</f>
        <v>652</v>
      </c>
      <c r="H26" s="49">
        <f>VLOOKUP($A26,'Data Vlaue (Cr)'!$C:$FB,44)</f>
        <v>618</v>
      </c>
      <c r="I26" s="49">
        <f>VLOOKUP($A26,'Data Vlaue (Cr)'!$C:$FB,46)*100</f>
        <v>5.59</v>
      </c>
      <c r="J26" s="51">
        <f>VLOOKUP($A26,'Data Vlaue (Cr)'!$C:$FB,59)</f>
        <v>1895</v>
      </c>
      <c r="K26" s="51">
        <f>VLOOKUP($A26,'Data Vlaue (Cr)'!$C:$FB,60)</f>
        <v>2370</v>
      </c>
      <c r="L26" s="51">
        <f>VLOOKUP($A26,'Data Vlaue (Cr)'!$C:$FB,62)*100</f>
        <v>-20.059999999999999</v>
      </c>
      <c r="M26" s="51">
        <f>VLOOKUP($A26,'Data Vlaue (Cr)'!$C:$FB,63)</f>
        <v>1335</v>
      </c>
      <c r="N26" s="51">
        <f>VLOOKUP($A26,'Data Vlaue (Cr)'!$C:$FB,64)</f>
        <v>1833</v>
      </c>
      <c r="O26" s="51">
        <f>VLOOKUP($A26,'Data Vlaue (Cr)'!$C:$FB,66)*100</f>
        <v>-27.16</v>
      </c>
    </row>
    <row r="27" spans="1:15" x14ac:dyDescent="0.25">
      <c r="A27" s="101" t="str">
        <f>'Data Vlaue (Cr)'!C22</f>
        <v>BAJAJFINSV</v>
      </c>
      <c r="B27" s="50">
        <f>VLOOKUP($A27,'Data Vlaue (Cr)'!$C:$FB,8)</f>
        <v>1770.8</v>
      </c>
      <c r="C27" s="50">
        <f>VLOOKUP($A27,'Data Vlaue (Cr)'!$C:$FB,11)*100</f>
        <v>-1.3599999999999999</v>
      </c>
      <c r="D27" s="50">
        <f>VLOOKUP($A27,'Data Vlaue (Cr)'!$C:$FB,143)</f>
        <v>1865.42</v>
      </c>
      <c r="E27" s="50">
        <f>VLOOKUP($A27,'Data Vlaue (Cr)'!$C:$FB,144)</f>
        <v>4078.6</v>
      </c>
      <c r="F27" s="50">
        <f>VLOOKUP($A27,'Data Vlaue (Cr)'!$C:$FB,146)*100</f>
        <v>-54.26</v>
      </c>
      <c r="G27" s="49">
        <f>VLOOKUP($A27,'Data Vlaue (Cr)'!$C:$FB,43)</f>
        <v>227</v>
      </c>
      <c r="H27" s="49">
        <f>VLOOKUP($A27,'Data Vlaue (Cr)'!$C:$FB,44)</f>
        <v>324</v>
      </c>
      <c r="I27" s="49">
        <f>VLOOKUP($A27,'Data Vlaue (Cr)'!$C:$FB,46)*100</f>
        <v>-29.849999999999998</v>
      </c>
      <c r="J27" s="51">
        <f>VLOOKUP($A27,'Data Vlaue (Cr)'!$C:$FB,59)</f>
        <v>1041</v>
      </c>
      <c r="K27" s="51">
        <f>VLOOKUP($A27,'Data Vlaue (Cr)'!$C:$FB,60)</f>
        <v>2280</v>
      </c>
      <c r="L27" s="51">
        <f>VLOOKUP($A27,'Data Vlaue (Cr)'!$C:$FB,62)*100</f>
        <v>-54.339999999999996</v>
      </c>
      <c r="M27" s="51">
        <f>VLOOKUP($A27,'Data Vlaue (Cr)'!$C:$FB,63)</f>
        <v>520</v>
      </c>
      <c r="N27" s="51">
        <f>VLOOKUP($A27,'Data Vlaue (Cr)'!$C:$FB,64)</f>
        <v>1255</v>
      </c>
      <c r="O27" s="51">
        <f>VLOOKUP($A27,'Data Vlaue (Cr)'!$C:$FB,66)*100</f>
        <v>-58.599999999999994</v>
      </c>
    </row>
    <row r="28" spans="1:15" x14ac:dyDescent="0.25">
      <c r="A28" s="101" t="str">
        <f>'Data Vlaue (Cr)'!C23</f>
        <v>BAJAJHLDNG</v>
      </c>
      <c r="B28" s="50">
        <f>VLOOKUP($A28,'Data Vlaue (Cr)'!$C:$FB,8)</f>
        <v>9789</v>
      </c>
      <c r="C28" s="50">
        <f>VLOOKUP($A28,'Data Vlaue (Cr)'!$C:$FB,11)*100</f>
        <v>-3.81</v>
      </c>
      <c r="D28" s="50">
        <f>VLOOKUP($A28,'Data Vlaue (Cr)'!$C:$FB,143)</f>
        <v>240.09</v>
      </c>
      <c r="E28" s="50">
        <f>VLOOKUP($A28,'Data Vlaue (Cr)'!$C:$FB,144)</f>
        <v>177.94</v>
      </c>
      <c r="F28" s="50">
        <f>VLOOKUP($A28,'Data Vlaue (Cr)'!$C:$FB,146)*100</f>
        <v>34.92</v>
      </c>
      <c r="G28" s="49">
        <f>VLOOKUP($A28,'Data Vlaue (Cr)'!$C:$FB,43)</f>
        <v>45</v>
      </c>
      <c r="H28" s="49">
        <f>VLOOKUP($A28,'Data Vlaue (Cr)'!$C:$FB,44)</f>
        <v>48</v>
      </c>
      <c r="I28" s="49">
        <f>VLOOKUP($A28,'Data Vlaue (Cr)'!$C:$FB,46)*100</f>
        <v>-7.6</v>
      </c>
      <c r="J28" s="51">
        <f>VLOOKUP($A28,'Data Vlaue (Cr)'!$C:$FB,59)</f>
        <v>108</v>
      </c>
      <c r="K28" s="51">
        <f>VLOOKUP($A28,'Data Vlaue (Cr)'!$C:$FB,60)</f>
        <v>81</v>
      </c>
      <c r="L28" s="51">
        <f>VLOOKUP($A28,'Data Vlaue (Cr)'!$C:$FB,62)*100</f>
        <v>34.35</v>
      </c>
      <c r="M28" s="51">
        <f>VLOOKUP($A28,'Data Vlaue (Cr)'!$C:$FB,63)</f>
        <v>74</v>
      </c>
      <c r="N28" s="51">
        <f>VLOOKUP($A28,'Data Vlaue (Cr)'!$C:$FB,64)</f>
        <v>33</v>
      </c>
      <c r="O28" s="51">
        <f>VLOOKUP($A28,'Data Vlaue (Cr)'!$C:$FB,66)*100</f>
        <v>123.77</v>
      </c>
    </row>
    <row r="29" spans="1:15" x14ac:dyDescent="0.25">
      <c r="A29" s="101" t="str">
        <f>'Data Vlaue (Cr)'!C24</f>
        <v>BAJFINANCE</v>
      </c>
      <c r="B29" s="50">
        <f>VLOOKUP($A29,'Data Vlaue (Cr)'!$C:$FB,8)</f>
        <v>863.1</v>
      </c>
      <c r="C29" s="50">
        <f>VLOOKUP($A29,'Data Vlaue (Cr)'!$C:$FB,11)*100</f>
        <v>-3.42</v>
      </c>
      <c r="D29" s="50">
        <f>VLOOKUP($A29,'Data Vlaue (Cr)'!$C:$FB,143)</f>
        <v>6401.81</v>
      </c>
      <c r="E29" s="50">
        <f>VLOOKUP($A29,'Data Vlaue (Cr)'!$C:$FB,144)</f>
        <v>7325.34</v>
      </c>
      <c r="F29" s="50">
        <f>VLOOKUP($A29,'Data Vlaue (Cr)'!$C:$FB,146)*100</f>
        <v>-12.61</v>
      </c>
      <c r="G29" s="49">
        <f>VLOOKUP($A29,'Data Vlaue (Cr)'!$C:$FB,43)</f>
        <v>1145</v>
      </c>
      <c r="H29" s="49">
        <f>VLOOKUP($A29,'Data Vlaue (Cr)'!$C:$FB,44)</f>
        <v>1082</v>
      </c>
      <c r="I29" s="49">
        <f>VLOOKUP($A29,'Data Vlaue (Cr)'!$C:$FB,46)*100</f>
        <v>5.81</v>
      </c>
      <c r="J29" s="51">
        <f>VLOOKUP($A29,'Data Vlaue (Cr)'!$C:$FB,59)</f>
        <v>2766</v>
      </c>
      <c r="K29" s="51">
        <f>VLOOKUP($A29,'Data Vlaue (Cr)'!$C:$FB,60)</f>
        <v>2845</v>
      </c>
      <c r="L29" s="51">
        <f>VLOOKUP($A29,'Data Vlaue (Cr)'!$C:$FB,62)*100</f>
        <v>-2.77</v>
      </c>
      <c r="M29" s="51">
        <f>VLOOKUP($A29,'Data Vlaue (Cr)'!$C:$FB,63)</f>
        <v>2189</v>
      </c>
      <c r="N29" s="51">
        <f>VLOOKUP($A29,'Data Vlaue (Cr)'!$C:$FB,64)</f>
        <v>2886</v>
      </c>
      <c r="O29" s="51">
        <f>VLOOKUP($A29,'Data Vlaue (Cr)'!$C:$FB,66)*100</f>
        <v>-24.15</v>
      </c>
    </row>
    <row r="30" spans="1:15" x14ac:dyDescent="0.25">
      <c r="A30" s="101" t="str">
        <f>'Data Vlaue (Cr)'!C25</f>
        <v>BANDHANBNK</v>
      </c>
      <c r="B30" s="50">
        <f>VLOOKUP($A30,'Data Vlaue (Cr)'!$C:$FB,8)</f>
        <v>178.01</v>
      </c>
      <c r="C30" s="50">
        <f>VLOOKUP($A30,'Data Vlaue (Cr)'!$C:$FB,11)*100</f>
        <v>-2.44</v>
      </c>
      <c r="D30" s="50">
        <f>VLOOKUP($A30,'Data Vlaue (Cr)'!$C:$FB,143)</f>
        <v>776.81</v>
      </c>
      <c r="E30" s="50">
        <f>VLOOKUP($A30,'Data Vlaue (Cr)'!$C:$FB,144)</f>
        <v>1040.82</v>
      </c>
      <c r="F30" s="50">
        <f>VLOOKUP($A30,'Data Vlaue (Cr)'!$C:$FB,146)*100</f>
        <v>-25.369999999999997</v>
      </c>
      <c r="G30" s="49">
        <f>VLOOKUP($A30,'Data Vlaue (Cr)'!$C:$FB,43)</f>
        <v>262</v>
      </c>
      <c r="H30" s="49">
        <f>VLOOKUP($A30,'Data Vlaue (Cr)'!$C:$FB,44)</f>
        <v>306</v>
      </c>
      <c r="I30" s="49">
        <f>VLOOKUP($A30,'Data Vlaue (Cr)'!$C:$FB,46)*100</f>
        <v>-14.649999999999999</v>
      </c>
      <c r="J30" s="51">
        <f>VLOOKUP($A30,'Data Vlaue (Cr)'!$C:$FB,59)</f>
        <v>313</v>
      </c>
      <c r="K30" s="51">
        <f>VLOOKUP($A30,'Data Vlaue (Cr)'!$C:$FB,60)</f>
        <v>470</v>
      </c>
      <c r="L30" s="51">
        <f>VLOOKUP($A30,'Data Vlaue (Cr)'!$C:$FB,62)*100</f>
        <v>-33.4</v>
      </c>
      <c r="M30" s="51">
        <f>VLOOKUP($A30,'Data Vlaue (Cr)'!$C:$FB,63)</f>
        <v>176</v>
      </c>
      <c r="N30" s="51">
        <f>VLOOKUP($A30,'Data Vlaue (Cr)'!$C:$FB,64)</f>
        <v>210</v>
      </c>
      <c r="O30" s="51">
        <f>VLOOKUP($A30,'Data Vlaue (Cr)'!$C:$FB,66)*100</f>
        <v>-16.329999999999998</v>
      </c>
    </row>
    <row r="31" spans="1:15" x14ac:dyDescent="0.25">
      <c r="A31" s="101" t="str">
        <f>'Data Vlaue (Cr)'!C26</f>
        <v>BANKBARODA</v>
      </c>
      <c r="B31" s="50">
        <f>VLOOKUP($A31,'Data Vlaue (Cr)'!$C:$FB,8)</f>
        <v>289.2</v>
      </c>
      <c r="C31" s="50">
        <f>VLOOKUP($A31,'Data Vlaue (Cr)'!$C:$FB,11)*100</f>
        <v>-0.03</v>
      </c>
      <c r="D31" s="50">
        <f>VLOOKUP($A31,'Data Vlaue (Cr)'!$C:$FB,143)</f>
        <v>2393.69</v>
      </c>
      <c r="E31" s="50">
        <f>VLOOKUP($A31,'Data Vlaue (Cr)'!$C:$FB,144)</f>
        <v>1809.95</v>
      </c>
      <c r="F31" s="50">
        <f>VLOOKUP($A31,'Data Vlaue (Cr)'!$C:$FB,146)*100</f>
        <v>32.25</v>
      </c>
      <c r="G31" s="49">
        <f>VLOOKUP($A31,'Data Vlaue (Cr)'!$C:$FB,43)</f>
        <v>479</v>
      </c>
      <c r="H31" s="49">
        <f>VLOOKUP($A31,'Data Vlaue (Cr)'!$C:$FB,44)</f>
        <v>461</v>
      </c>
      <c r="I31" s="49">
        <f>VLOOKUP($A31,'Data Vlaue (Cr)'!$C:$FB,46)*100</f>
        <v>3.88</v>
      </c>
      <c r="J31" s="51">
        <f>VLOOKUP($A31,'Data Vlaue (Cr)'!$C:$FB,59)</f>
        <v>1084</v>
      </c>
      <c r="K31" s="51">
        <f>VLOOKUP($A31,'Data Vlaue (Cr)'!$C:$FB,60)</f>
        <v>698</v>
      </c>
      <c r="L31" s="51">
        <f>VLOOKUP($A31,'Data Vlaue (Cr)'!$C:$FB,62)*100</f>
        <v>55.25</v>
      </c>
      <c r="M31" s="51">
        <f>VLOOKUP($A31,'Data Vlaue (Cr)'!$C:$FB,63)</f>
        <v>767</v>
      </c>
      <c r="N31" s="51">
        <f>VLOOKUP($A31,'Data Vlaue (Cr)'!$C:$FB,64)</f>
        <v>592</v>
      </c>
      <c r="O31" s="51">
        <f>VLOOKUP($A31,'Data Vlaue (Cr)'!$C:$FB,66)*100</f>
        <v>29.62</v>
      </c>
    </row>
    <row r="32" spans="1:15" x14ac:dyDescent="0.25">
      <c r="A32" s="101" t="str">
        <f>'Data Vlaue (Cr)'!C27</f>
        <v>BANKINDIA</v>
      </c>
      <c r="B32" s="50">
        <f>VLOOKUP($A32,'Data Vlaue (Cr)'!$C:$FB,8)</f>
        <v>154.78</v>
      </c>
      <c r="C32" s="50">
        <f>VLOOKUP($A32,'Data Vlaue (Cr)'!$C:$FB,11)*100</f>
        <v>0.31</v>
      </c>
      <c r="D32" s="50">
        <f>VLOOKUP($A32,'Data Vlaue (Cr)'!$C:$FB,143)</f>
        <v>483.37</v>
      </c>
      <c r="E32" s="50">
        <f>VLOOKUP($A32,'Data Vlaue (Cr)'!$C:$FB,144)</f>
        <v>449.42</v>
      </c>
      <c r="F32" s="50">
        <f>VLOOKUP($A32,'Data Vlaue (Cr)'!$C:$FB,146)*100</f>
        <v>7.55</v>
      </c>
      <c r="G32" s="49">
        <f>VLOOKUP($A32,'Data Vlaue (Cr)'!$C:$FB,43)</f>
        <v>164</v>
      </c>
      <c r="H32" s="49">
        <f>VLOOKUP($A32,'Data Vlaue (Cr)'!$C:$FB,44)</f>
        <v>201</v>
      </c>
      <c r="I32" s="49">
        <f>VLOOKUP($A32,'Data Vlaue (Cr)'!$C:$FB,46)*100</f>
        <v>-18.260000000000002</v>
      </c>
      <c r="J32" s="51">
        <f>VLOOKUP($A32,'Data Vlaue (Cr)'!$C:$FB,59)</f>
        <v>201</v>
      </c>
      <c r="K32" s="51">
        <f>VLOOKUP($A32,'Data Vlaue (Cr)'!$C:$FB,60)</f>
        <v>141</v>
      </c>
      <c r="L32" s="51">
        <f>VLOOKUP($A32,'Data Vlaue (Cr)'!$C:$FB,62)*100</f>
        <v>42.65</v>
      </c>
      <c r="M32" s="51">
        <f>VLOOKUP($A32,'Data Vlaue (Cr)'!$C:$FB,63)</f>
        <v>108</v>
      </c>
      <c r="N32" s="51">
        <f>VLOOKUP($A32,'Data Vlaue (Cr)'!$C:$FB,64)</f>
        <v>93</v>
      </c>
      <c r="O32" s="51">
        <f>VLOOKUP($A32,'Data Vlaue (Cr)'!$C:$FB,66)*100</f>
        <v>16.05</v>
      </c>
    </row>
    <row r="33" spans="1:15" x14ac:dyDescent="0.25">
      <c r="A33" s="101" t="str">
        <f>'Data Vlaue (Cr)'!C28</f>
        <v>BANKNIFTY</v>
      </c>
      <c r="B33" s="50">
        <f>VLOOKUP($A33,'Data Vlaue (Cr)'!$C:$FB,8)</f>
        <v>55100.95</v>
      </c>
      <c r="C33" s="50">
        <f>VLOOKUP($A33,'Data Vlaue (Cr)'!$C:$FB,11)*100</f>
        <v>-1.1400000000000001</v>
      </c>
      <c r="D33" s="50">
        <f>VLOOKUP($A33,'Data Vlaue (Cr)'!$C:$FB,143)</f>
        <v>439141.9</v>
      </c>
      <c r="E33" s="50">
        <f>VLOOKUP($A33,'Data Vlaue (Cr)'!$C:$FB,144)</f>
        <v>442252.9</v>
      </c>
      <c r="F33" s="50">
        <f>VLOOKUP($A33,'Data Vlaue (Cr)'!$C:$FB,146)*100</f>
        <v>-0.70000000000000007</v>
      </c>
      <c r="G33" s="49">
        <f>VLOOKUP($A33,'Data Vlaue (Cr)'!$C:$FB,43)</f>
        <v>9530</v>
      </c>
      <c r="H33" s="49">
        <f>VLOOKUP($A33,'Data Vlaue (Cr)'!$C:$FB,44)</f>
        <v>9766</v>
      </c>
      <c r="I33" s="49">
        <f>VLOOKUP($A33,'Data Vlaue (Cr)'!$C:$FB,46)*100</f>
        <v>-2.42</v>
      </c>
      <c r="J33" s="51">
        <f>VLOOKUP($A33,'Data Vlaue (Cr)'!$C:$FB,59)</f>
        <v>241494</v>
      </c>
      <c r="K33" s="51">
        <f>VLOOKUP($A33,'Data Vlaue (Cr)'!$C:$FB,60)</f>
        <v>221485</v>
      </c>
      <c r="L33" s="51">
        <f>VLOOKUP($A33,'Data Vlaue (Cr)'!$C:$FB,62)*100</f>
        <v>9.0300000000000011</v>
      </c>
      <c r="M33" s="51">
        <f>VLOOKUP($A33,'Data Vlaue (Cr)'!$C:$FB,63)</f>
        <v>175029</v>
      </c>
      <c r="N33" s="51">
        <f>VLOOKUP($A33,'Data Vlaue (Cr)'!$C:$FB,64)</f>
        <v>191814</v>
      </c>
      <c r="O33" s="51">
        <f>VLOOKUP($A33,'Data Vlaue (Cr)'!$C:$FB,66)*100</f>
        <v>-8.75</v>
      </c>
    </row>
    <row r="34" spans="1:15" x14ac:dyDescent="0.25">
      <c r="A34" s="101" t="str">
        <f>'Data Vlaue (Cr)'!C29</f>
        <v>BDL</v>
      </c>
      <c r="B34" s="50">
        <f>VLOOKUP($A34,'Data Vlaue (Cr)'!$C:$FB,8)</f>
        <v>1349.4</v>
      </c>
      <c r="C34" s="50">
        <f>VLOOKUP($A34,'Data Vlaue (Cr)'!$C:$FB,11)*100</f>
        <v>-0.77999999999999992</v>
      </c>
      <c r="D34" s="50">
        <f>VLOOKUP($A34,'Data Vlaue (Cr)'!$C:$FB,143)</f>
        <v>794.11</v>
      </c>
      <c r="E34" s="50">
        <f>VLOOKUP($A34,'Data Vlaue (Cr)'!$C:$FB,144)</f>
        <v>1650.62</v>
      </c>
      <c r="F34" s="50">
        <f>VLOOKUP($A34,'Data Vlaue (Cr)'!$C:$FB,146)*100</f>
        <v>-51.89</v>
      </c>
      <c r="G34" s="49">
        <f>VLOOKUP($A34,'Data Vlaue (Cr)'!$C:$FB,43)</f>
        <v>135</v>
      </c>
      <c r="H34" s="49">
        <f>VLOOKUP($A34,'Data Vlaue (Cr)'!$C:$FB,44)</f>
        <v>315</v>
      </c>
      <c r="I34" s="49">
        <f>VLOOKUP($A34,'Data Vlaue (Cr)'!$C:$FB,46)*100</f>
        <v>-57.08</v>
      </c>
      <c r="J34" s="51">
        <f>VLOOKUP($A34,'Data Vlaue (Cr)'!$C:$FB,59)</f>
        <v>453</v>
      </c>
      <c r="K34" s="51">
        <f>VLOOKUP($A34,'Data Vlaue (Cr)'!$C:$FB,60)</f>
        <v>909</v>
      </c>
      <c r="L34" s="51">
        <f>VLOOKUP($A34,'Data Vlaue (Cr)'!$C:$FB,62)*100</f>
        <v>-50.160000000000004</v>
      </c>
      <c r="M34" s="51">
        <f>VLOOKUP($A34,'Data Vlaue (Cr)'!$C:$FB,63)</f>
        <v>183</v>
      </c>
      <c r="N34" s="51">
        <f>VLOOKUP($A34,'Data Vlaue (Cr)'!$C:$FB,64)</f>
        <v>345</v>
      </c>
      <c r="O34" s="51">
        <f>VLOOKUP($A34,'Data Vlaue (Cr)'!$C:$FB,66)*100</f>
        <v>-47.010000000000005</v>
      </c>
    </row>
    <row r="35" spans="1:15" x14ac:dyDescent="0.25">
      <c r="A35" s="101" t="str">
        <f>'Data Vlaue (Cr)'!C30</f>
        <v>BEL</v>
      </c>
      <c r="B35" s="50">
        <f>VLOOKUP($A35,'Data Vlaue (Cr)'!$C:$FB,8)</f>
        <v>453.55</v>
      </c>
      <c r="C35" s="50">
        <f>VLOOKUP($A35,'Data Vlaue (Cr)'!$C:$FB,11)*100</f>
        <v>-0.12</v>
      </c>
      <c r="D35" s="50">
        <f>VLOOKUP($A35,'Data Vlaue (Cr)'!$C:$FB,143)</f>
        <v>4892.75</v>
      </c>
      <c r="E35" s="50">
        <f>VLOOKUP($A35,'Data Vlaue (Cr)'!$C:$FB,144)</f>
        <v>5244.61</v>
      </c>
      <c r="F35" s="50">
        <f>VLOOKUP($A35,'Data Vlaue (Cr)'!$C:$FB,146)*100</f>
        <v>-6.7100000000000009</v>
      </c>
      <c r="G35" s="49">
        <f>VLOOKUP($A35,'Data Vlaue (Cr)'!$C:$FB,43)</f>
        <v>791</v>
      </c>
      <c r="H35" s="49">
        <f>VLOOKUP($A35,'Data Vlaue (Cr)'!$C:$FB,44)</f>
        <v>796</v>
      </c>
      <c r="I35" s="49">
        <f>VLOOKUP($A35,'Data Vlaue (Cr)'!$C:$FB,46)*100</f>
        <v>-0.70000000000000007</v>
      </c>
      <c r="J35" s="51">
        <f>VLOOKUP($A35,'Data Vlaue (Cr)'!$C:$FB,59)</f>
        <v>2552</v>
      </c>
      <c r="K35" s="51">
        <f>VLOOKUP($A35,'Data Vlaue (Cr)'!$C:$FB,60)</f>
        <v>2611</v>
      </c>
      <c r="L35" s="51">
        <f>VLOOKUP($A35,'Data Vlaue (Cr)'!$C:$FB,62)*100</f>
        <v>-2.25</v>
      </c>
      <c r="M35" s="51">
        <f>VLOOKUP($A35,'Data Vlaue (Cr)'!$C:$FB,63)</f>
        <v>1415</v>
      </c>
      <c r="N35" s="51">
        <f>VLOOKUP($A35,'Data Vlaue (Cr)'!$C:$FB,64)</f>
        <v>1646</v>
      </c>
      <c r="O35" s="51">
        <f>VLOOKUP($A35,'Data Vlaue (Cr)'!$C:$FB,66)*100</f>
        <v>-14.04</v>
      </c>
    </row>
    <row r="36" spans="1:15" x14ac:dyDescent="0.25">
      <c r="A36" s="101" t="str">
        <f>'Data Vlaue (Cr)'!C31</f>
        <v>BHARATFORG</v>
      </c>
      <c r="B36" s="50">
        <f>VLOOKUP($A36,'Data Vlaue (Cr)'!$C:$FB,8)</f>
        <v>1779.6</v>
      </c>
      <c r="C36" s="50">
        <f>VLOOKUP($A36,'Data Vlaue (Cr)'!$C:$FB,11)*100</f>
        <v>-0.97</v>
      </c>
      <c r="D36" s="50">
        <f>VLOOKUP($A36,'Data Vlaue (Cr)'!$C:$FB,143)</f>
        <v>3630.52</v>
      </c>
      <c r="E36" s="50">
        <f>VLOOKUP($A36,'Data Vlaue (Cr)'!$C:$FB,144)</f>
        <v>1754.49</v>
      </c>
      <c r="F36" s="50">
        <f>VLOOKUP($A36,'Data Vlaue (Cr)'!$C:$FB,146)*100</f>
        <v>106.92999999999999</v>
      </c>
      <c r="G36" s="49">
        <f>VLOOKUP($A36,'Data Vlaue (Cr)'!$C:$FB,43)</f>
        <v>642</v>
      </c>
      <c r="H36" s="49">
        <f>VLOOKUP($A36,'Data Vlaue (Cr)'!$C:$FB,44)</f>
        <v>358</v>
      </c>
      <c r="I36" s="49">
        <f>VLOOKUP($A36,'Data Vlaue (Cr)'!$C:$FB,46)*100</f>
        <v>79.52</v>
      </c>
      <c r="J36" s="51">
        <f>VLOOKUP($A36,'Data Vlaue (Cr)'!$C:$FB,59)</f>
        <v>1629</v>
      </c>
      <c r="K36" s="51">
        <f>VLOOKUP($A36,'Data Vlaue (Cr)'!$C:$FB,60)</f>
        <v>675</v>
      </c>
      <c r="L36" s="51">
        <f>VLOOKUP($A36,'Data Vlaue (Cr)'!$C:$FB,62)*100</f>
        <v>141.38999999999999</v>
      </c>
      <c r="M36" s="51">
        <f>VLOOKUP($A36,'Data Vlaue (Cr)'!$C:$FB,63)</f>
        <v>1227</v>
      </c>
      <c r="N36" s="51">
        <f>VLOOKUP($A36,'Data Vlaue (Cr)'!$C:$FB,64)</f>
        <v>640</v>
      </c>
      <c r="O36" s="51">
        <f>VLOOKUP($A36,'Data Vlaue (Cr)'!$C:$FB,66)*100</f>
        <v>91.8</v>
      </c>
    </row>
    <row r="37" spans="1:15" x14ac:dyDescent="0.25">
      <c r="A37" s="101" t="str">
        <f>'Data Vlaue (Cr)'!C32</f>
        <v>BHARTIARTL</v>
      </c>
      <c r="B37" s="50">
        <f>VLOOKUP($A37,'Data Vlaue (Cr)'!$C:$FB,8)</f>
        <v>1801.3</v>
      </c>
      <c r="C37" s="50">
        <f>VLOOKUP($A37,'Data Vlaue (Cr)'!$C:$FB,11)*100</f>
        <v>-0.32</v>
      </c>
      <c r="D37" s="50">
        <f>VLOOKUP($A37,'Data Vlaue (Cr)'!$C:$FB,143)</f>
        <v>7301.15</v>
      </c>
      <c r="E37" s="50">
        <f>VLOOKUP($A37,'Data Vlaue (Cr)'!$C:$FB,144)</f>
        <v>11138.99</v>
      </c>
      <c r="F37" s="50">
        <f>VLOOKUP($A37,'Data Vlaue (Cr)'!$C:$FB,146)*100</f>
        <v>-34.449999999999996</v>
      </c>
      <c r="G37" s="49">
        <f>VLOOKUP($A37,'Data Vlaue (Cr)'!$C:$FB,43)</f>
        <v>1209</v>
      </c>
      <c r="H37" s="49">
        <f>VLOOKUP($A37,'Data Vlaue (Cr)'!$C:$FB,44)</f>
        <v>1561</v>
      </c>
      <c r="I37" s="49">
        <f>VLOOKUP($A37,'Data Vlaue (Cr)'!$C:$FB,46)*100</f>
        <v>-22.59</v>
      </c>
      <c r="J37" s="51">
        <f>VLOOKUP($A37,'Data Vlaue (Cr)'!$C:$FB,59)</f>
        <v>3869</v>
      </c>
      <c r="K37" s="51">
        <f>VLOOKUP($A37,'Data Vlaue (Cr)'!$C:$FB,60)</f>
        <v>5724</v>
      </c>
      <c r="L37" s="51">
        <f>VLOOKUP($A37,'Data Vlaue (Cr)'!$C:$FB,62)*100</f>
        <v>-32.4</v>
      </c>
      <c r="M37" s="51">
        <f>VLOOKUP($A37,'Data Vlaue (Cr)'!$C:$FB,63)</f>
        <v>2007</v>
      </c>
      <c r="N37" s="51">
        <f>VLOOKUP($A37,'Data Vlaue (Cr)'!$C:$FB,64)</f>
        <v>3440</v>
      </c>
      <c r="O37" s="51">
        <f>VLOOKUP($A37,'Data Vlaue (Cr)'!$C:$FB,66)*100</f>
        <v>-41.67</v>
      </c>
    </row>
    <row r="38" spans="1:15" x14ac:dyDescent="0.25">
      <c r="A38" s="101" t="str">
        <f>'Data Vlaue (Cr)'!C33</f>
        <v>BHEL</v>
      </c>
      <c r="B38" s="50">
        <f>VLOOKUP($A38,'Data Vlaue (Cr)'!$C:$FB,8)</f>
        <v>267.85000000000002</v>
      </c>
      <c r="C38" s="50">
        <f>VLOOKUP($A38,'Data Vlaue (Cr)'!$C:$FB,11)*100</f>
        <v>4.7300000000000004</v>
      </c>
      <c r="D38" s="50">
        <f>VLOOKUP($A38,'Data Vlaue (Cr)'!$C:$FB,143)</f>
        <v>5035.6899999999996</v>
      </c>
      <c r="E38" s="50">
        <f>VLOOKUP($A38,'Data Vlaue (Cr)'!$C:$FB,144)</f>
        <v>2032.68</v>
      </c>
      <c r="F38" s="50">
        <f>VLOOKUP($A38,'Data Vlaue (Cr)'!$C:$FB,146)*100</f>
        <v>147.74</v>
      </c>
      <c r="G38" s="49">
        <f>VLOOKUP($A38,'Data Vlaue (Cr)'!$C:$FB,43)</f>
        <v>905</v>
      </c>
      <c r="H38" s="49">
        <f>VLOOKUP($A38,'Data Vlaue (Cr)'!$C:$FB,44)</f>
        <v>369</v>
      </c>
      <c r="I38" s="49">
        <f>VLOOKUP($A38,'Data Vlaue (Cr)'!$C:$FB,46)*100</f>
        <v>145.15</v>
      </c>
      <c r="J38" s="51">
        <f>VLOOKUP($A38,'Data Vlaue (Cr)'!$C:$FB,59)</f>
        <v>2695</v>
      </c>
      <c r="K38" s="51">
        <f>VLOOKUP($A38,'Data Vlaue (Cr)'!$C:$FB,60)</f>
        <v>958</v>
      </c>
      <c r="L38" s="51">
        <f>VLOOKUP($A38,'Data Vlaue (Cr)'!$C:$FB,62)*100</f>
        <v>181.38</v>
      </c>
      <c r="M38" s="51">
        <f>VLOOKUP($A38,'Data Vlaue (Cr)'!$C:$FB,63)</f>
        <v>1375</v>
      </c>
      <c r="N38" s="51">
        <f>VLOOKUP($A38,'Data Vlaue (Cr)'!$C:$FB,64)</f>
        <v>726</v>
      </c>
      <c r="O38" s="51">
        <f>VLOOKUP($A38,'Data Vlaue (Cr)'!$C:$FB,66)*100</f>
        <v>89.53</v>
      </c>
    </row>
    <row r="39" spans="1:15" x14ac:dyDescent="0.25">
      <c r="A39" s="101" t="str">
        <f>'Data Vlaue (Cr)'!C34</f>
        <v>BIOCON</v>
      </c>
      <c r="B39" s="50">
        <f>VLOOKUP($A39,'Data Vlaue (Cr)'!$C:$FB,8)</f>
        <v>392.2</v>
      </c>
      <c r="C39" s="50">
        <f>VLOOKUP($A39,'Data Vlaue (Cr)'!$C:$FB,11)*100</f>
        <v>-0.8</v>
      </c>
      <c r="D39" s="50">
        <f>VLOOKUP($A39,'Data Vlaue (Cr)'!$C:$FB,143)</f>
        <v>1747.54</v>
      </c>
      <c r="E39" s="50">
        <f>VLOOKUP($A39,'Data Vlaue (Cr)'!$C:$FB,144)</f>
        <v>2800.53</v>
      </c>
      <c r="F39" s="50">
        <f>VLOOKUP($A39,'Data Vlaue (Cr)'!$C:$FB,146)*100</f>
        <v>-37.6</v>
      </c>
      <c r="G39" s="49">
        <f>VLOOKUP($A39,'Data Vlaue (Cr)'!$C:$FB,43)</f>
        <v>294</v>
      </c>
      <c r="H39" s="49">
        <f>VLOOKUP($A39,'Data Vlaue (Cr)'!$C:$FB,44)</f>
        <v>372</v>
      </c>
      <c r="I39" s="49">
        <f>VLOOKUP($A39,'Data Vlaue (Cr)'!$C:$FB,46)*100</f>
        <v>-20.87</v>
      </c>
      <c r="J39" s="51">
        <f>VLOOKUP($A39,'Data Vlaue (Cr)'!$C:$FB,59)</f>
        <v>922</v>
      </c>
      <c r="K39" s="51">
        <f>VLOOKUP($A39,'Data Vlaue (Cr)'!$C:$FB,60)</f>
        <v>1753</v>
      </c>
      <c r="L39" s="51">
        <f>VLOOKUP($A39,'Data Vlaue (Cr)'!$C:$FB,62)*100</f>
        <v>-47.39</v>
      </c>
      <c r="M39" s="51">
        <f>VLOOKUP($A39,'Data Vlaue (Cr)'!$C:$FB,63)</f>
        <v>491</v>
      </c>
      <c r="N39" s="51">
        <f>VLOOKUP($A39,'Data Vlaue (Cr)'!$C:$FB,64)</f>
        <v>556</v>
      </c>
      <c r="O39" s="51">
        <f>VLOOKUP($A39,'Data Vlaue (Cr)'!$C:$FB,66)*100</f>
        <v>-11.75</v>
      </c>
    </row>
    <row r="40" spans="1:15" x14ac:dyDescent="0.25">
      <c r="A40" s="101" t="str">
        <f>'Data Vlaue (Cr)'!C35</f>
        <v>BLUESTARCO</v>
      </c>
      <c r="B40" s="50">
        <f>VLOOKUP($A40,'Data Vlaue (Cr)'!$C:$FB,8)</f>
        <v>1953.5</v>
      </c>
      <c r="C40" s="50">
        <f>VLOOKUP($A40,'Data Vlaue (Cr)'!$C:$FB,11)*100</f>
        <v>0.64</v>
      </c>
      <c r="D40" s="50">
        <f>VLOOKUP($A40,'Data Vlaue (Cr)'!$C:$FB,143)</f>
        <v>842.1</v>
      </c>
      <c r="E40" s="50">
        <f>VLOOKUP($A40,'Data Vlaue (Cr)'!$C:$FB,144)</f>
        <v>2260.56</v>
      </c>
      <c r="F40" s="50">
        <f>VLOOKUP($A40,'Data Vlaue (Cr)'!$C:$FB,146)*100</f>
        <v>-62.749999999999993</v>
      </c>
      <c r="G40" s="49">
        <f>VLOOKUP($A40,'Data Vlaue (Cr)'!$C:$FB,43)</f>
        <v>248</v>
      </c>
      <c r="H40" s="49">
        <f>VLOOKUP($A40,'Data Vlaue (Cr)'!$C:$FB,44)</f>
        <v>275</v>
      </c>
      <c r="I40" s="49">
        <f>VLOOKUP($A40,'Data Vlaue (Cr)'!$C:$FB,46)*100</f>
        <v>-9.86</v>
      </c>
      <c r="J40" s="51">
        <f>VLOOKUP($A40,'Data Vlaue (Cr)'!$C:$FB,59)</f>
        <v>473</v>
      </c>
      <c r="K40" s="51">
        <f>VLOOKUP($A40,'Data Vlaue (Cr)'!$C:$FB,60)</f>
        <v>1570</v>
      </c>
      <c r="L40" s="51">
        <f>VLOOKUP($A40,'Data Vlaue (Cr)'!$C:$FB,62)*100</f>
        <v>-69.88</v>
      </c>
      <c r="M40" s="51">
        <f>VLOOKUP($A40,'Data Vlaue (Cr)'!$C:$FB,63)</f>
        <v>93</v>
      </c>
      <c r="N40" s="51">
        <f>VLOOKUP($A40,'Data Vlaue (Cr)'!$C:$FB,64)</f>
        <v>302</v>
      </c>
      <c r="O40" s="51">
        <f>VLOOKUP($A40,'Data Vlaue (Cr)'!$C:$FB,66)*100</f>
        <v>-69.39</v>
      </c>
    </row>
    <row r="41" spans="1:15" x14ac:dyDescent="0.25">
      <c r="A41" s="101" t="str">
        <f>'Data Vlaue (Cr)'!C36</f>
        <v>BOSCHLTD</v>
      </c>
      <c r="B41" s="50">
        <f>VLOOKUP($A41,'Data Vlaue (Cr)'!$C:$FB,8)</f>
        <v>31305</v>
      </c>
      <c r="C41" s="50">
        <f>VLOOKUP($A41,'Data Vlaue (Cr)'!$C:$FB,11)*100</f>
        <v>-1.29</v>
      </c>
      <c r="D41" s="50">
        <f>VLOOKUP($A41,'Data Vlaue (Cr)'!$C:$FB,143)</f>
        <v>654.41</v>
      </c>
      <c r="E41" s="50">
        <f>VLOOKUP($A41,'Data Vlaue (Cr)'!$C:$FB,144)</f>
        <v>1354.77</v>
      </c>
      <c r="F41" s="50">
        <f>VLOOKUP($A41,'Data Vlaue (Cr)'!$C:$FB,146)*100</f>
        <v>-51.7</v>
      </c>
      <c r="G41" s="49">
        <f>VLOOKUP($A41,'Data Vlaue (Cr)'!$C:$FB,43)</f>
        <v>127</v>
      </c>
      <c r="H41" s="49">
        <f>VLOOKUP($A41,'Data Vlaue (Cr)'!$C:$FB,44)</f>
        <v>108</v>
      </c>
      <c r="I41" s="49">
        <f>VLOOKUP($A41,'Data Vlaue (Cr)'!$C:$FB,46)*100</f>
        <v>17.27</v>
      </c>
      <c r="J41" s="51">
        <f>VLOOKUP($A41,'Data Vlaue (Cr)'!$C:$FB,59)</f>
        <v>318</v>
      </c>
      <c r="K41" s="51">
        <f>VLOOKUP($A41,'Data Vlaue (Cr)'!$C:$FB,60)</f>
        <v>681</v>
      </c>
      <c r="L41" s="51">
        <f>VLOOKUP($A41,'Data Vlaue (Cr)'!$C:$FB,62)*100</f>
        <v>-53.23</v>
      </c>
      <c r="M41" s="51">
        <f>VLOOKUP($A41,'Data Vlaue (Cr)'!$C:$FB,63)</f>
        <v>179</v>
      </c>
      <c r="N41" s="51">
        <f>VLOOKUP($A41,'Data Vlaue (Cr)'!$C:$FB,64)</f>
        <v>489</v>
      </c>
      <c r="O41" s="51">
        <f>VLOOKUP($A41,'Data Vlaue (Cr)'!$C:$FB,66)*100</f>
        <v>-63.360000000000007</v>
      </c>
    </row>
    <row r="42" spans="1:15" x14ac:dyDescent="0.25">
      <c r="A42" s="101" t="str">
        <f>'Data Vlaue (Cr)'!C37</f>
        <v>BPCL</v>
      </c>
      <c r="B42" s="50">
        <f>VLOOKUP($A42,'Data Vlaue (Cr)'!$C:$FB,8)</f>
        <v>326.35000000000002</v>
      </c>
      <c r="C42" s="50">
        <f>VLOOKUP($A42,'Data Vlaue (Cr)'!$C:$FB,11)*100</f>
        <v>0.4</v>
      </c>
      <c r="D42" s="50">
        <f>VLOOKUP($A42,'Data Vlaue (Cr)'!$C:$FB,143)</f>
        <v>2307.08</v>
      </c>
      <c r="E42" s="50">
        <f>VLOOKUP($A42,'Data Vlaue (Cr)'!$C:$FB,144)</f>
        <v>1821.47</v>
      </c>
      <c r="F42" s="50">
        <f>VLOOKUP($A42,'Data Vlaue (Cr)'!$C:$FB,146)*100</f>
        <v>26.66</v>
      </c>
      <c r="G42" s="49">
        <f>VLOOKUP($A42,'Data Vlaue (Cr)'!$C:$FB,43)</f>
        <v>307</v>
      </c>
      <c r="H42" s="49">
        <f>VLOOKUP($A42,'Data Vlaue (Cr)'!$C:$FB,44)</f>
        <v>316</v>
      </c>
      <c r="I42" s="49">
        <f>VLOOKUP($A42,'Data Vlaue (Cr)'!$C:$FB,46)*100</f>
        <v>-2.7199999999999998</v>
      </c>
      <c r="J42" s="51">
        <f>VLOOKUP($A42,'Data Vlaue (Cr)'!$C:$FB,59)</f>
        <v>982</v>
      </c>
      <c r="K42" s="51">
        <f>VLOOKUP($A42,'Data Vlaue (Cr)'!$C:$FB,60)</f>
        <v>841</v>
      </c>
      <c r="L42" s="51">
        <f>VLOOKUP($A42,'Data Vlaue (Cr)'!$C:$FB,62)*100</f>
        <v>16.68</v>
      </c>
      <c r="M42" s="51">
        <f>VLOOKUP($A42,'Data Vlaue (Cr)'!$C:$FB,63)</f>
        <v>972</v>
      </c>
      <c r="N42" s="51">
        <f>VLOOKUP($A42,'Data Vlaue (Cr)'!$C:$FB,64)</f>
        <v>596</v>
      </c>
      <c r="O42" s="51">
        <f>VLOOKUP($A42,'Data Vlaue (Cr)'!$C:$FB,66)*100</f>
        <v>63.070000000000007</v>
      </c>
    </row>
    <row r="43" spans="1:15" x14ac:dyDescent="0.25">
      <c r="A43" s="101" t="str">
        <f>'Data Vlaue (Cr)'!C38</f>
        <v>BRITANNIA</v>
      </c>
      <c r="B43" s="50">
        <f>VLOOKUP($A43,'Data Vlaue (Cr)'!$C:$FB,8)</f>
        <v>5787</v>
      </c>
      <c r="C43" s="50">
        <f>VLOOKUP($A43,'Data Vlaue (Cr)'!$C:$FB,11)*100</f>
        <v>-2.27</v>
      </c>
      <c r="D43" s="50">
        <f>VLOOKUP($A43,'Data Vlaue (Cr)'!$C:$FB,143)</f>
        <v>1996.93</v>
      </c>
      <c r="E43" s="50">
        <f>VLOOKUP($A43,'Data Vlaue (Cr)'!$C:$FB,144)</f>
        <v>1013.57</v>
      </c>
      <c r="F43" s="50">
        <f>VLOOKUP($A43,'Data Vlaue (Cr)'!$C:$FB,146)*100</f>
        <v>97.02</v>
      </c>
      <c r="G43" s="49">
        <f>VLOOKUP($A43,'Data Vlaue (Cr)'!$C:$FB,43)</f>
        <v>573</v>
      </c>
      <c r="H43" s="49">
        <f>VLOOKUP($A43,'Data Vlaue (Cr)'!$C:$FB,44)</f>
        <v>203</v>
      </c>
      <c r="I43" s="49">
        <f>VLOOKUP($A43,'Data Vlaue (Cr)'!$C:$FB,46)*100</f>
        <v>182.53</v>
      </c>
      <c r="J43" s="51">
        <f>VLOOKUP($A43,'Data Vlaue (Cr)'!$C:$FB,59)</f>
        <v>658</v>
      </c>
      <c r="K43" s="51">
        <f>VLOOKUP($A43,'Data Vlaue (Cr)'!$C:$FB,60)</f>
        <v>280</v>
      </c>
      <c r="L43" s="51">
        <f>VLOOKUP($A43,'Data Vlaue (Cr)'!$C:$FB,62)*100</f>
        <v>135.39000000000001</v>
      </c>
      <c r="M43" s="51">
        <f>VLOOKUP($A43,'Data Vlaue (Cr)'!$C:$FB,63)</f>
        <v>753</v>
      </c>
      <c r="N43" s="51">
        <f>VLOOKUP($A43,'Data Vlaue (Cr)'!$C:$FB,64)</f>
        <v>497</v>
      </c>
      <c r="O43" s="51">
        <f>VLOOKUP($A43,'Data Vlaue (Cr)'!$C:$FB,66)*100</f>
        <v>51.300000000000004</v>
      </c>
    </row>
    <row r="44" spans="1:15" x14ac:dyDescent="0.25">
      <c r="A44" s="101" t="str">
        <f>'Data Vlaue (Cr)'!C39</f>
        <v>BSE</v>
      </c>
      <c r="B44" s="50">
        <f>VLOOKUP($A44,'Data Vlaue (Cr)'!$C:$FB,8)</f>
        <v>2850.6</v>
      </c>
      <c r="C44" s="50">
        <f>VLOOKUP($A44,'Data Vlaue (Cr)'!$C:$FB,11)*100</f>
        <v>0.47000000000000003</v>
      </c>
      <c r="D44" s="50">
        <f>VLOOKUP($A44,'Data Vlaue (Cr)'!$C:$FB,143)</f>
        <v>7241.61</v>
      </c>
      <c r="E44" s="50">
        <f>VLOOKUP($A44,'Data Vlaue (Cr)'!$C:$FB,144)</f>
        <v>6977.57</v>
      </c>
      <c r="F44" s="50">
        <f>VLOOKUP($A44,'Data Vlaue (Cr)'!$C:$FB,146)*100</f>
        <v>3.7800000000000002</v>
      </c>
      <c r="G44" s="49">
        <f>VLOOKUP($A44,'Data Vlaue (Cr)'!$C:$FB,43)</f>
        <v>863</v>
      </c>
      <c r="H44" s="49">
        <f>VLOOKUP($A44,'Data Vlaue (Cr)'!$C:$FB,44)</f>
        <v>808</v>
      </c>
      <c r="I44" s="49">
        <f>VLOOKUP($A44,'Data Vlaue (Cr)'!$C:$FB,46)*100</f>
        <v>6.77</v>
      </c>
      <c r="J44" s="51">
        <f>VLOOKUP($A44,'Data Vlaue (Cr)'!$C:$FB,59)</f>
        <v>3327</v>
      </c>
      <c r="K44" s="51">
        <f>VLOOKUP($A44,'Data Vlaue (Cr)'!$C:$FB,60)</f>
        <v>3128</v>
      </c>
      <c r="L44" s="51">
        <f>VLOOKUP($A44,'Data Vlaue (Cr)'!$C:$FB,62)*100</f>
        <v>6.39</v>
      </c>
      <c r="M44" s="51">
        <f>VLOOKUP($A44,'Data Vlaue (Cr)'!$C:$FB,63)</f>
        <v>2986</v>
      </c>
      <c r="N44" s="51">
        <f>VLOOKUP($A44,'Data Vlaue (Cr)'!$C:$FB,64)</f>
        <v>2902</v>
      </c>
      <c r="O44" s="51">
        <f>VLOOKUP($A44,'Data Vlaue (Cr)'!$C:$FB,66)*100</f>
        <v>2.91</v>
      </c>
    </row>
    <row r="45" spans="1:15" x14ac:dyDescent="0.25">
      <c r="A45" s="101" t="str">
        <f>'Data Vlaue (Cr)'!C40</f>
        <v>CAMS</v>
      </c>
      <c r="B45" s="50">
        <f>VLOOKUP($A45,'Data Vlaue (Cr)'!$C:$FB,8)</f>
        <v>663.75</v>
      </c>
      <c r="C45" s="50">
        <f>VLOOKUP($A45,'Data Vlaue (Cr)'!$C:$FB,11)*100</f>
        <v>-1.8399999999999999</v>
      </c>
      <c r="D45" s="50">
        <f>VLOOKUP($A45,'Data Vlaue (Cr)'!$C:$FB,143)</f>
        <v>363.03</v>
      </c>
      <c r="E45" s="50">
        <f>VLOOKUP($A45,'Data Vlaue (Cr)'!$C:$FB,144)</f>
        <v>385.51</v>
      </c>
      <c r="F45" s="50">
        <f>VLOOKUP($A45,'Data Vlaue (Cr)'!$C:$FB,146)*100</f>
        <v>-5.83</v>
      </c>
      <c r="G45" s="49">
        <f>VLOOKUP($A45,'Data Vlaue (Cr)'!$C:$FB,43)</f>
        <v>112</v>
      </c>
      <c r="H45" s="49">
        <f>VLOOKUP($A45,'Data Vlaue (Cr)'!$C:$FB,44)</f>
        <v>141</v>
      </c>
      <c r="I45" s="49">
        <f>VLOOKUP($A45,'Data Vlaue (Cr)'!$C:$FB,46)*100</f>
        <v>-20.22</v>
      </c>
      <c r="J45" s="51">
        <f>VLOOKUP($A45,'Data Vlaue (Cr)'!$C:$FB,59)</f>
        <v>137</v>
      </c>
      <c r="K45" s="51">
        <f>VLOOKUP($A45,'Data Vlaue (Cr)'!$C:$FB,60)</f>
        <v>154</v>
      </c>
      <c r="L45" s="51">
        <f>VLOOKUP($A45,'Data Vlaue (Cr)'!$C:$FB,62)*100</f>
        <v>-11.55</v>
      </c>
      <c r="M45" s="51">
        <f>VLOOKUP($A45,'Data Vlaue (Cr)'!$C:$FB,63)</f>
        <v>106</v>
      </c>
      <c r="N45" s="51">
        <f>VLOOKUP($A45,'Data Vlaue (Cr)'!$C:$FB,64)</f>
        <v>76</v>
      </c>
      <c r="O45" s="51">
        <f>VLOOKUP($A45,'Data Vlaue (Cr)'!$C:$FB,66)*100</f>
        <v>38.85</v>
      </c>
    </row>
    <row r="46" spans="1:15" x14ac:dyDescent="0.25">
      <c r="A46" s="101" t="str">
        <f>'Data Vlaue (Cr)'!C41</f>
        <v>CANBK</v>
      </c>
      <c r="B46" s="50">
        <f>VLOOKUP($A46,'Data Vlaue (Cr)'!$C:$FB,8)</f>
        <v>140.34</v>
      </c>
      <c r="C46" s="50">
        <f>VLOOKUP($A46,'Data Vlaue (Cr)'!$C:$FB,11)*100</f>
        <v>0.67</v>
      </c>
      <c r="D46" s="50">
        <f>VLOOKUP($A46,'Data Vlaue (Cr)'!$C:$FB,143)</f>
        <v>2731.21</v>
      </c>
      <c r="E46" s="50">
        <f>VLOOKUP($A46,'Data Vlaue (Cr)'!$C:$FB,144)</f>
        <v>1531.89</v>
      </c>
      <c r="F46" s="50">
        <f>VLOOKUP($A46,'Data Vlaue (Cr)'!$C:$FB,146)*100</f>
        <v>78.290000000000006</v>
      </c>
      <c r="G46" s="49">
        <f>VLOOKUP($A46,'Data Vlaue (Cr)'!$C:$FB,43)</f>
        <v>714</v>
      </c>
      <c r="H46" s="49">
        <f>VLOOKUP($A46,'Data Vlaue (Cr)'!$C:$FB,44)</f>
        <v>413</v>
      </c>
      <c r="I46" s="49">
        <f>VLOOKUP($A46,'Data Vlaue (Cr)'!$C:$FB,46)*100</f>
        <v>72.95</v>
      </c>
      <c r="J46" s="51">
        <f>VLOOKUP($A46,'Data Vlaue (Cr)'!$C:$FB,59)</f>
        <v>1235</v>
      </c>
      <c r="K46" s="51">
        <f>VLOOKUP($A46,'Data Vlaue (Cr)'!$C:$FB,60)</f>
        <v>665</v>
      </c>
      <c r="L46" s="51">
        <f>VLOOKUP($A46,'Data Vlaue (Cr)'!$C:$FB,62)*100</f>
        <v>85.81</v>
      </c>
      <c r="M46" s="51">
        <f>VLOOKUP($A46,'Data Vlaue (Cr)'!$C:$FB,63)</f>
        <v>691</v>
      </c>
      <c r="N46" s="51">
        <f>VLOOKUP($A46,'Data Vlaue (Cr)'!$C:$FB,64)</f>
        <v>394</v>
      </c>
      <c r="O46" s="51">
        <f>VLOOKUP($A46,'Data Vlaue (Cr)'!$C:$FB,66)*100</f>
        <v>75.47</v>
      </c>
    </row>
    <row r="47" spans="1:15" x14ac:dyDescent="0.25">
      <c r="A47" s="101" t="str">
        <f>'Data Vlaue (Cr)'!C42</f>
        <v>CDSL</v>
      </c>
      <c r="B47" s="50">
        <f>VLOOKUP($A47,'Data Vlaue (Cr)'!$C:$FB,8)</f>
        <v>1210.8</v>
      </c>
      <c r="C47" s="50">
        <f>VLOOKUP($A47,'Data Vlaue (Cr)'!$C:$FB,11)*100</f>
        <v>-0.71000000000000008</v>
      </c>
      <c r="D47" s="50">
        <f>VLOOKUP($A47,'Data Vlaue (Cr)'!$C:$FB,143)</f>
        <v>1410.17</v>
      </c>
      <c r="E47" s="50">
        <f>VLOOKUP($A47,'Data Vlaue (Cr)'!$C:$FB,144)</f>
        <v>1271.3399999999999</v>
      </c>
      <c r="F47" s="50">
        <f>VLOOKUP($A47,'Data Vlaue (Cr)'!$C:$FB,146)*100</f>
        <v>10.92</v>
      </c>
      <c r="G47" s="49">
        <f>VLOOKUP($A47,'Data Vlaue (Cr)'!$C:$FB,43)</f>
        <v>264</v>
      </c>
      <c r="H47" s="49">
        <f>VLOOKUP($A47,'Data Vlaue (Cr)'!$C:$FB,44)</f>
        <v>188</v>
      </c>
      <c r="I47" s="49">
        <f>VLOOKUP($A47,'Data Vlaue (Cr)'!$C:$FB,46)*100</f>
        <v>40.6</v>
      </c>
      <c r="J47" s="51">
        <f>VLOOKUP($A47,'Data Vlaue (Cr)'!$C:$FB,59)</f>
        <v>766</v>
      </c>
      <c r="K47" s="51">
        <f>VLOOKUP($A47,'Data Vlaue (Cr)'!$C:$FB,60)</f>
        <v>658</v>
      </c>
      <c r="L47" s="51">
        <f>VLOOKUP($A47,'Data Vlaue (Cr)'!$C:$FB,62)*100</f>
        <v>16.3</v>
      </c>
      <c r="M47" s="51">
        <f>VLOOKUP($A47,'Data Vlaue (Cr)'!$C:$FB,63)</f>
        <v>324</v>
      </c>
      <c r="N47" s="51">
        <f>VLOOKUP($A47,'Data Vlaue (Cr)'!$C:$FB,64)</f>
        <v>343</v>
      </c>
      <c r="O47" s="51">
        <f>VLOOKUP($A47,'Data Vlaue (Cr)'!$C:$FB,66)*100</f>
        <v>-5.4899999999999993</v>
      </c>
    </row>
    <row r="48" spans="1:15" x14ac:dyDescent="0.25">
      <c r="A48" s="101" t="str">
        <f>'Data Vlaue (Cr)'!C43</f>
        <v>CGPOWER</v>
      </c>
      <c r="B48" s="50">
        <f>VLOOKUP($A48,'Data Vlaue (Cr)'!$C:$FB,8)</f>
        <v>737.3</v>
      </c>
      <c r="C48" s="50">
        <f>VLOOKUP($A48,'Data Vlaue (Cr)'!$C:$FB,11)*100</f>
        <v>1.51</v>
      </c>
      <c r="D48" s="50">
        <f>VLOOKUP($A48,'Data Vlaue (Cr)'!$C:$FB,143)</f>
        <v>2017.38</v>
      </c>
      <c r="E48" s="50">
        <f>VLOOKUP($A48,'Data Vlaue (Cr)'!$C:$FB,144)</f>
        <v>1359.37</v>
      </c>
      <c r="F48" s="50">
        <f>VLOOKUP($A48,'Data Vlaue (Cr)'!$C:$FB,146)*100</f>
        <v>48.41</v>
      </c>
      <c r="G48" s="49">
        <f>VLOOKUP($A48,'Data Vlaue (Cr)'!$C:$FB,43)</f>
        <v>356</v>
      </c>
      <c r="H48" s="49">
        <f>VLOOKUP($A48,'Data Vlaue (Cr)'!$C:$FB,44)</f>
        <v>240</v>
      </c>
      <c r="I48" s="49">
        <f>VLOOKUP($A48,'Data Vlaue (Cr)'!$C:$FB,46)*100</f>
        <v>48.480000000000004</v>
      </c>
      <c r="J48" s="51">
        <f>VLOOKUP($A48,'Data Vlaue (Cr)'!$C:$FB,59)</f>
        <v>1220</v>
      </c>
      <c r="K48" s="51">
        <f>VLOOKUP($A48,'Data Vlaue (Cr)'!$C:$FB,60)</f>
        <v>782</v>
      </c>
      <c r="L48" s="51">
        <f>VLOOKUP($A48,'Data Vlaue (Cr)'!$C:$FB,62)*100</f>
        <v>56.03</v>
      </c>
      <c r="M48" s="51">
        <f>VLOOKUP($A48,'Data Vlaue (Cr)'!$C:$FB,63)</f>
        <v>398</v>
      </c>
      <c r="N48" s="51">
        <f>VLOOKUP($A48,'Data Vlaue (Cr)'!$C:$FB,64)</f>
        <v>303</v>
      </c>
      <c r="O48" s="51">
        <f>VLOOKUP($A48,'Data Vlaue (Cr)'!$C:$FB,66)*100</f>
        <v>31.430000000000003</v>
      </c>
    </row>
    <row r="49" spans="1:15" x14ac:dyDescent="0.25">
      <c r="A49" s="101" t="str">
        <f>'Data Vlaue (Cr)'!C44</f>
        <v>CHOLAFIN</v>
      </c>
      <c r="B49" s="50">
        <f>VLOOKUP($A49,'Data Vlaue (Cr)'!$C:$FB,8)</f>
        <v>1526.1</v>
      </c>
      <c r="C49" s="50">
        <f>VLOOKUP($A49,'Data Vlaue (Cr)'!$C:$FB,11)*100</f>
        <v>-2.0099999999999998</v>
      </c>
      <c r="D49" s="50">
        <f>VLOOKUP($A49,'Data Vlaue (Cr)'!$C:$FB,143)</f>
        <v>1537.84</v>
      </c>
      <c r="E49" s="50">
        <f>VLOOKUP($A49,'Data Vlaue (Cr)'!$C:$FB,144)</f>
        <v>1918.88</v>
      </c>
      <c r="F49" s="50">
        <f>VLOOKUP($A49,'Data Vlaue (Cr)'!$C:$FB,146)*100</f>
        <v>-19.86</v>
      </c>
      <c r="G49" s="49">
        <f>VLOOKUP($A49,'Data Vlaue (Cr)'!$C:$FB,43)</f>
        <v>378</v>
      </c>
      <c r="H49" s="49">
        <f>VLOOKUP($A49,'Data Vlaue (Cr)'!$C:$FB,44)</f>
        <v>431</v>
      </c>
      <c r="I49" s="49">
        <f>VLOOKUP($A49,'Data Vlaue (Cr)'!$C:$FB,46)*100</f>
        <v>-12.139999999999999</v>
      </c>
      <c r="J49" s="51">
        <f>VLOOKUP($A49,'Data Vlaue (Cr)'!$C:$FB,59)</f>
        <v>618</v>
      </c>
      <c r="K49" s="51">
        <f>VLOOKUP($A49,'Data Vlaue (Cr)'!$C:$FB,60)</f>
        <v>648</v>
      </c>
      <c r="L49" s="51">
        <f>VLOOKUP($A49,'Data Vlaue (Cr)'!$C:$FB,62)*100</f>
        <v>-4.5999999999999996</v>
      </c>
      <c r="M49" s="51">
        <f>VLOOKUP($A49,'Data Vlaue (Cr)'!$C:$FB,63)</f>
        <v>485</v>
      </c>
      <c r="N49" s="51">
        <f>VLOOKUP($A49,'Data Vlaue (Cr)'!$C:$FB,64)</f>
        <v>734</v>
      </c>
      <c r="O49" s="51">
        <f>VLOOKUP($A49,'Data Vlaue (Cr)'!$C:$FB,66)*100</f>
        <v>-33.839999999999996</v>
      </c>
    </row>
    <row r="50" spans="1:15" x14ac:dyDescent="0.25">
      <c r="A50" s="101" t="str">
        <f>'Data Vlaue (Cr)'!C45</f>
        <v>CIPLA</v>
      </c>
      <c r="B50" s="50">
        <f>VLOOKUP($A50,'Data Vlaue (Cr)'!$C:$FB,8)</f>
        <v>1324.3</v>
      </c>
      <c r="C50" s="50">
        <f>VLOOKUP($A50,'Data Vlaue (Cr)'!$C:$FB,11)*100</f>
        <v>-0.38999999999999996</v>
      </c>
      <c r="D50" s="50">
        <f>VLOOKUP($A50,'Data Vlaue (Cr)'!$C:$FB,143)</f>
        <v>1884.25</v>
      </c>
      <c r="E50" s="50">
        <f>VLOOKUP($A50,'Data Vlaue (Cr)'!$C:$FB,144)</f>
        <v>1018.67</v>
      </c>
      <c r="F50" s="50">
        <f>VLOOKUP($A50,'Data Vlaue (Cr)'!$C:$FB,146)*100</f>
        <v>84.97</v>
      </c>
      <c r="G50" s="49">
        <f>VLOOKUP($A50,'Data Vlaue (Cr)'!$C:$FB,43)</f>
        <v>198</v>
      </c>
      <c r="H50" s="49">
        <f>VLOOKUP($A50,'Data Vlaue (Cr)'!$C:$FB,44)</f>
        <v>190</v>
      </c>
      <c r="I50" s="49">
        <f>VLOOKUP($A50,'Data Vlaue (Cr)'!$C:$FB,46)*100</f>
        <v>3.93</v>
      </c>
      <c r="J50" s="51">
        <f>VLOOKUP($A50,'Data Vlaue (Cr)'!$C:$FB,59)</f>
        <v>1247</v>
      </c>
      <c r="K50" s="51">
        <f>VLOOKUP($A50,'Data Vlaue (Cr)'!$C:$FB,60)</f>
        <v>604</v>
      </c>
      <c r="L50" s="51">
        <f>VLOOKUP($A50,'Data Vlaue (Cr)'!$C:$FB,62)*100</f>
        <v>106.27</v>
      </c>
      <c r="M50" s="51">
        <f>VLOOKUP($A50,'Data Vlaue (Cr)'!$C:$FB,63)</f>
        <v>401</v>
      </c>
      <c r="N50" s="51">
        <f>VLOOKUP($A50,'Data Vlaue (Cr)'!$C:$FB,64)</f>
        <v>202</v>
      </c>
      <c r="O50" s="51">
        <f>VLOOKUP($A50,'Data Vlaue (Cr)'!$C:$FB,66)*100</f>
        <v>98.59</v>
      </c>
    </row>
    <row r="51" spans="1:15" x14ac:dyDescent="0.25">
      <c r="A51" s="101" t="str">
        <f>'Data Vlaue (Cr)'!C46</f>
        <v>COALINDIA</v>
      </c>
      <c r="B51" s="50">
        <f>VLOOKUP($A51,'Data Vlaue (Cr)'!$C:$FB,8)</f>
        <v>470.1</v>
      </c>
      <c r="C51" s="50">
        <f>VLOOKUP($A51,'Data Vlaue (Cr)'!$C:$FB,11)*100</f>
        <v>5.2299999999999995</v>
      </c>
      <c r="D51" s="50">
        <f>VLOOKUP($A51,'Data Vlaue (Cr)'!$C:$FB,143)</f>
        <v>14926.35</v>
      </c>
      <c r="E51" s="50">
        <f>VLOOKUP($A51,'Data Vlaue (Cr)'!$C:$FB,144)</f>
        <v>5133.84</v>
      </c>
      <c r="F51" s="50">
        <f>VLOOKUP($A51,'Data Vlaue (Cr)'!$C:$FB,146)*100</f>
        <v>190.74</v>
      </c>
      <c r="G51" s="49">
        <f>VLOOKUP($A51,'Data Vlaue (Cr)'!$C:$FB,43)</f>
        <v>1402</v>
      </c>
      <c r="H51" s="49">
        <f>VLOOKUP($A51,'Data Vlaue (Cr)'!$C:$FB,44)</f>
        <v>635</v>
      </c>
      <c r="I51" s="49">
        <f>VLOOKUP($A51,'Data Vlaue (Cr)'!$C:$FB,46)*100</f>
        <v>120.69000000000001</v>
      </c>
      <c r="J51" s="51">
        <f>VLOOKUP($A51,'Data Vlaue (Cr)'!$C:$FB,59)</f>
        <v>9562</v>
      </c>
      <c r="K51" s="51">
        <f>VLOOKUP($A51,'Data Vlaue (Cr)'!$C:$FB,60)</f>
        <v>3112</v>
      </c>
      <c r="L51" s="51">
        <f>VLOOKUP($A51,'Data Vlaue (Cr)'!$C:$FB,62)*100</f>
        <v>207.26</v>
      </c>
      <c r="M51" s="51">
        <f>VLOOKUP($A51,'Data Vlaue (Cr)'!$C:$FB,63)</f>
        <v>3849</v>
      </c>
      <c r="N51" s="51">
        <f>VLOOKUP($A51,'Data Vlaue (Cr)'!$C:$FB,64)</f>
        <v>1490</v>
      </c>
      <c r="O51" s="51">
        <f>VLOOKUP($A51,'Data Vlaue (Cr)'!$C:$FB,66)*100</f>
        <v>158.35</v>
      </c>
    </row>
    <row r="52" spans="1:15" x14ac:dyDescent="0.25">
      <c r="A52" s="101" t="str">
        <f>'Data Vlaue (Cr)'!C47</f>
        <v>COFORGE</v>
      </c>
      <c r="B52" s="50">
        <f>VLOOKUP($A52,'Data Vlaue (Cr)'!$C:$FB,8)</f>
        <v>1107.9000000000001</v>
      </c>
      <c r="C52" s="50">
        <f>VLOOKUP($A52,'Data Vlaue (Cr)'!$C:$FB,11)*100</f>
        <v>-0.08</v>
      </c>
      <c r="D52" s="50">
        <f>VLOOKUP($A52,'Data Vlaue (Cr)'!$C:$FB,143)</f>
        <v>2950.4</v>
      </c>
      <c r="E52" s="50">
        <f>VLOOKUP($A52,'Data Vlaue (Cr)'!$C:$FB,144)</f>
        <v>2514.2399999999998</v>
      </c>
      <c r="F52" s="50">
        <f>VLOOKUP($A52,'Data Vlaue (Cr)'!$C:$FB,146)*100</f>
        <v>17.349999999999998</v>
      </c>
      <c r="G52" s="49">
        <f>VLOOKUP($A52,'Data Vlaue (Cr)'!$C:$FB,43)</f>
        <v>520</v>
      </c>
      <c r="H52" s="49">
        <f>VLOOKUP($A52,'Data Vlaue (Cr)'!$C:$FB,44)</f>
        <v>458</v>
      </c>
      <c r="I52" s="49">
        <f>VLOOKUP($A52,'Data Vlaue (Cr)'!$C:$FB,46)*100</f>
        <v>13.350000000000001</v>
      </c>
      <c r="J52" s="51">
        <f>VLOOKUP($A52,'Data Vlaue (Cr)'!$C:$FB,59)</f>
        <v>1582</v>
      </c>
      <c r="K52" s="51">
        <f>VLOOKUP($A52,'Data Vlaue (Cr)'!$C:$FB,60)</f>
        <v>1335</v>
      </c>
      <c r="L52" s="51">
        <f>VLOOKUP($A52,'Data Vlaue (Cr)'!$C:$FB,62)*100</f>
        <v>18.440000000000001</v>
      </c>
      <c r="M52" s="51">
        <f>VLOOKUP($A52,'Data Vlaue (Cr)'!$C:$FB,63)</f>
        <v>695</v>
      </c>
      <c r="N52" s="51">
        <f>VLOOKUP($A52,'Data Vlaue (Cr)'!$C:$FB,64)</f>
        <v>539</v>
      </c>
      <c r="O52" s="51">
        <f>VLOOKUP($A52,'Data Vlaue (Cr)'!$C:$FB,66)*100</f>
        <v>28.860000000000003</v>
      </c>
    </row>
    <row r="53" spans="1:15" x14ac:dyDescent="0.25">
      <c r="A53" s="101" t="str">
        <f>'Data Vlaue (Cr)'!C48</f>
        <v>COLPAL</v>
      </c>
      <c r="B53" s="50">
        <f>VLOOKUP($A53,'Data Vlaue (Cr)'!$C:$FB,8)</f>
        <v>1975.8</v>
      </c>
      <c r="C53" s="50">
        <f>VLOOKUP($A53,'Data Vlaue (Cr)'!$C:$FB,11)*100</f>
        <v>-3.88</v>
      </c>
      <c r="D53" s="50">
        <f>VLOOKUP($A53,'Data Vlaue (Cr)'!$C:$FB,143)</f>
        <v>2724.11</v>
      </c>
      <c r="E53" s="50">
        <f>VLOOKUP($A53,'Data Vlaue (Cr)'!$C:$FB,144)</f>
        <v>6707.41</v>
      </c>
      <c r="F53" s="50">
        <f>VLOOKUP($A53,'Data Vlaue (Cr)'!$C:$FB,146)*100</f>
        <v>-59.39</v>
      </c>
      <c r="G53" s="49">
        <f>VLOOKUP($A53,'Data Vlaue (Cr)'!$C:$FB,43)</f>
        <v>446</v>
      </c>
      <c r="H53" s="49">
        <f>VLOOKUP($A53,'Data Vlaue (Cr)'!$C:$FB,44)</f>
        <v>926</v>
      </c>
      <c r="I53" s="49">
        <f>VLOOKUP($A53,'Data Vlaue (Cr)'!$C:$FB,46)*100</f>
        <v>-51.88</v>
      </c>
      <c r="J53" s="51">
        <f>VLOOKUP($A53,'Data Vlaue (Cr)'!$C:$FB,59)</f>
        <v>1322</v>
      </c>
      <c r="K53" s="51">
        <f>VLOOKUP($A53,'Data Vlaue (Cr)'!$C:$FB,60)</f>
        <v>2422</v>
      </c>
      <c r="L53" s="51">
        <f>VLOOKUP($A53,'Data Vlaue (Cr)'!$C:$FB,62)*100</f>
        <v>-45.43</v>
      </c>
      <c r="M53" s="51">
        <f>VLOOKUP($A53,'Data Vlaue (Cr)'!$C:$FB,63)</f>
        <v>817</v>
      </c>
      <c r="N53" s="51">
        <f>VLOOKUP($A53,'Data Vlaue (Cr)'!$C:$FB,64)</f>
        <v>2832</v>
      </c>
      <c r="O53" s="51">
        <f>VLOOKUP($A53,'Data Vlaue (Cr)'!$C:$FB,66)*100</f>
        <v>-71.150000000000006</v>
      </c>
    </row>
    <row r="54" spans="1:15" x14ac:dyDescent="0.25">
      <c r="A54" s="101" t="str">
        <f>'Data Vlaue (Cr)'!C49</f>
        <v>CONCOR</v>
      </c>
      <c r="B54" s="50">
        <f>VLOOKUP($A54,'Data Vlaue (Cr)'!$C:$FB,8)</f>
        <v>467.15</v>
      </c>
      <c r="C54" s="50">
        <f>VLOOKUP($A54,'Data Vlaue (Cr)'!$C:$FB,11)*100</f>
        <v>-0.70000000000000007</v>
      </c>
      <c r="D54" s="50">
        <f>VLOOKUP($A54,'Data Vlaue (Cr)'!$C:$FB,143)</f>
        <v>479.77</v>
      </c>
      <c r="E54" s="50">
        <f>VLOOKUP($A54,'Data Vlaue (Cr)'!$C:$FB,144)</f>
        <v>511.05</v>
      </c>
      <c r="F54" s="50">
        <f>VLOOKUP($A54,'Data Vlaue (Cr)'!$C:$FB,146)*100</f>
        <v>-6.12</v>
      </c>
      <c r="G54" s="49">
        <f>VLOOKUP($A54,'Data Vlaue (Cr)'!$C:$FB,43)</f>
        <v>162</v>
      </c>
      <c r="H54" s="49">
        <f>VLOOKUP($A54,'Data Vlaue (Cr)'!$C:$FB,44)</f>
        <v>130</v>
      </c>
      <c r="I54" s="49">
        <f>VLOOKUP($A54,'Data Vlaue (Cr)'!$C:$FB,46)*100</f>
        <v>24.44</v>
      </c>
      <c r="J54" s="51">
        <f>VLOOKUP($A54,'Data Vlaue (Cr)'!$C:$FB,59)</f>
        <v>220</v>
      </c>
      <c r="K54" s="51">
        <f>VLOOKUP($A54,'Data Vlaue (Cr)'!$C:$FB,60)</f>
        <v>240</v>
      </c>
      <c r="L54" s="51">
        <f>VLOOKUP($A54,'Data Vlaue (Cr)'!$C:$FB,62)*100</f>
        <v>-8.44</v>
      </c>
      <c r="M54" s="51">
        <f>VLOOKUP($A54,'Data Vlaue (Cr)'!$C:$FB,63)</f>
        <v>85</v>
      </c>
      <c r="N54" s="51">
        <f>VLOOKUP($A54,'Data Vlaue (Cr)'!$C:$FB,64)</f>
        <v>119</v>
      </c>
      <c r="O54" s="51">
        <f>VLOOKUP($A54,'Data Vlaue (Cr)'!$C:$FB,66)*100</f>
        <v>-28.92</v>
      </c>
    </row>
    <row r="55" spans="1:15" x14ac:dyDescent="0.25">
      <c r="A55" s="101" t="str">
        <f>'Data Vlaue (Cr)'!C50</f>
        <v>CROMPTON</v>
      </c>
      <c r="B55" s="50">
        <f>VLOOKUP($A55,'Data Vlaue (Cr)'!$C:$FB,8)</f>
        <v>247.2</v>
      </c>
      <c r="C55" s="50">
        <f>VLOOKUP($A55,'Data Vlaue (Cr)'!$C:$FB,11)*100</f>
        <v>-0.12</v>
      </c>
      <c r="D55" s="50">
        <f>VLOOKUP($A55,'Data Vlaue (Cr)'!$C:$FB,143)</f>
        <v>565.08000000000004</v>
      </c>
      <c r="E55" s="50">
        <f>VLOOKUP($A55,'Data Vlaue (Cr)'!$C:$FB,144)</f>
        <v>289.38</v>
      </c>
      <c r="F55" s="50">
        <f>VLOOKUP($A55,'Data Vlaue (Cr)'!$C:$FB,146)*100</f>
        <v>95.27</v>
      </c>
      <c r="G55" s="49">
        <f>VLOOKUP($A55,'Data Vlaue (Cr)'!$C:$FB,43)</f>
        <v>163</v>
      </c>
      <c r="H55" s="49">
        <f>VLOOKUP($A55,'Data Vlaue (Cr)'!$C:$FB,44)</f>
        <v>100</v>
      </c>
      <c r="I55" s="49">
        <f>VLOOKUP($A55,'Data Vlaue (Cr)'!$C:$FB,46)*100</f>
        <v>62.49</v>
      </c>
      <c r="J55" s="51">
        <f>VLOOKUP($A55,'Data Vlaue (Cr)'!$C:$FB,59)</f>
        <v>298</v>
      </c>
      <c r="K55" s="51">
        <f>VLOOKUP($A55,'Data Vlaue (Cr)'!$C:$FB,60)</f>
        <v>136</v>
      </c>
      <c r="L55" s="51">
        <f>VLOOKUP($A55,'Data Vlaue (Cr)'!$C:$FB,62)*100</f>
        <v>118.36</v>
      </c>
      <c r="M55" s="51">
        <f>VLOOKUP($A55,'Data Vlaue (Cr)'!$C:$FB,63)</f>
        <v>84</v>
      </c>
      <c r="N55" s="51">
        <f>VLOOKUP($A55,'Data Vlaue (Cr)'!$C:$FB,64)</f>
        <v>45</v>
      </c>
      <c r="O55" s="51">
        <f>VLOOKUP($A55,'Data Vlaue (Cr)'!$C:$FB,66)*100</f>
        <v>86.32</v>
      </c>
    </row>
    <row r="56" spans="1:15" x14ac:dyDescent="0.25">
      <c r="A56" s="101" t="str">
        <f>'Data Vlaue (Cr)'!C51</f>
        <v>CUMMINSIND</v>
      </c>
      <c r="B56" s="50">
        <f>VLOOKUP($A56,'Data Vlaue (Cr)'!$C:$FB,8)</f>
        <v>4753.6000000000004</v>
      </c>
      <c r="C56" s="50">
        <f>VLOOKUP($A56,'Data Vlaue (Cr)'!$C:$FB,11)*100</f>
        <v>2.65</v>
      </c>
      <c r="D56" s="50">
        <f>VLOOKUP($A56,'Data Vlaue (Cr)'!$C:$FB,143)</f>
        <v>2911.19</v>
      </c>
      <c r="E56" s="50">
        <f>VLOOKUP($A56,'Data Vlaue (Cr)'!$C:$FB,144)</f>
        <v>2279.3200000000002</v>
      </c>
      <c r="F56" s="50">
        <f>VLOOKUP($A56,'Data Vlaue (Cr)'!$C:$FB,146)*100</f>
        <v>27.72</v>
      </c>
      <c r="G56" s="49">
        <f>VLOOKUP($A56,'Data Vlaue (Cr)'!$C:$FB,43)</f>
        <v>446</v>
      </c>
      <c r="H56" s="49">
        <f>VLOOKUP($A56,'Data Vlaue (Cr)'!$C:$FB,44)</f>
        <v>322</v>
      </c>
      <c r="I56" s="49">
        <f>VLOOKUP($A56,'Data Vlaue (Cr)'!$C:$FB,46)*100</f>
        <v>38.56</v>
      </c>
      <c r="J56" s="51">
        <f>VLOOKUP($A56,'Data Vlaue (Cr)'!$C:$FB,59)</f>
        <v>1631</v>
      </c>
      <c r="K56" s="51">
        <f>VLOOKUP($A56,'Data Vlaue (Cr)'!$C:$FB,60)</f>
        <v>1457</v>
      </c>
      <c r="L56" s="51">
        <f>VLOOKUP($A56,'Data Vlaue (Cr)'!$C:$FB,62)*100</f>
        <v>11.899999999999999</v>
      </c>
      <c r="M56" s="51">
        <f>VLOOKUP($A56,'Data Vlaue (Cr)'!$C:$FB,63)</f>
        <v>768</v>
      </c>
      <c r="N56" s="51">
        <f>VLOOKUP($A56,'Data Vlaue (Cr)'!$C:$FB,64)</f>
        <v>430</v>
      </c>
      <c r="O56" s="51">
        <f>VLOOKUP($A56,'Data Vlaue (Cr)'!$C:$FB,66)*100</f>
        <v>78.490000000000009</v>
      </c>
    </row>
    <row r="57" spans="1:15" x14ac:dyDescent="0.25">
      <c r="A57" s="101" t="str">
        <f>'Data Vlaue (Cr)'!C52</f>
        <v>DABUR</v>
      </c>
      <c r="B57" s="50">
        <f>VLOOKUP($A57,'Data Vlaue (Cr)'!$C:$FB,8)</f>
        <v>459.35</v>
      </c>
      <c r="C57" s="50">
        <f>VLOOKUP($A57,'Data Vlaue (Cr)'!$C:$FB,11)*100</f>
        <v>-2.65</v>
      </c>
      <c r="D57" s="50">
        <f>VLOOKUP($A57,'Data Vlaue (Cr)'!$C:$FB,143)</f>
        <v>814.63</v>
      </c>
      <c r="E57" s="50">
        <f>VLOOKUP($A57,'Data Vlaue (Cr)'!$C:$FB,144)</f>
        <v>488.62</v>
      </c>
      <c r="F57" s="50">
        <f>VLOOKUP($A57,'Data Vlaue (Cr)'!$C:$FB,146)*100</f>
        <v>66.72</v>
      </c>
      <c r="G57" s="49">
        <f>VLOOKUP($A57,'Data Vlaue (Cr)'!$C:$FB,43)</f>
        <v>122</v>
      </c>
      <c r="H57" s="49">
        <f>VLOOKUP($A57,'Data Vlaue (Cr)'!$C:$FB,44)</f>
        <v>104</v>
      </c>
      <c r="I57" s="49">
        <f>VLOOKUP($A57,'Data Vlaue (Cr)'!$C:$FB,46)*100</f>
        <v>17.599999999999998</v>
      </c>
      <c r="J57" s="51">
        <f>VLOOKUP($A57,'Data Vlaue (Cr)'!$C:$FB,59)</f>
        <v>348</v>
      </c>
      <c r="K57" s="51">
        <f>VLOOKUP($A57,'Data Vlaue (Cr)'!$C:$FB,60)</f>
        <v>185</v>
      </c>
      <c r="L57" s="51">
        <f>VLOOKUP($A57,'Data Vlaue (Cr)'!$C:$FB,62)*100</f>
        <v>87.76</v>
      </c>
      <c r="M57" s="51">
        <f>VLOOKUP($A57,'Data Vlaue (Cr)'!$C:$FB,63)</f>
        <v>312</v>
      </c>
      <c r="N57" s="51">
        <f>VLOOKUP($A57,'Data Vlaue (Cr)'!$C:$FB,64)</f>
        <v>175</v>
      </c>
      <c r="O57" s="51">
        <f>VLOOKUP($A57,'Data Vlaue (Cr)'!$C:$FB,66)*100</f>
        <v>78</v>
      </c>
    </row>
    <row r="58" spans="1:15" x14ac:dyDescent="0.25">
      <c r="A58" s="101" t="str">
        <f>'Data Vlaue (Cr)'!C53</f>
        <v>DALBHARAT</v>
      </c>
      <c r="B58" s="50">
        <f>VLOOKUP($A58,'Data Vlaue (Cr)'!$C:$FB,8)</f>
        <v>1894.5</v>
      </c>
      <c r="C58" s="50">
        <f>VLOOKUP($A58,'Data Vlaue (Cr)'!$C:$FB,11)*100</f>
        <v>2.08</v>
      </c>
      <c r="D58" s="50">
        <f>VLOOKUP($A58,'Data Vlaue (Cr)'!$C:$FB,143)</f>
        <v>1694.09</v>
      </c>
      <c r="E58" s="50">
        <f>VLOOKUP($A58,'Data Vlaue (Cr)'!$C:$FB,144)</f>
        <v>1023.43</v>
      </c>
      <c r="F58" s="50">
        <f>VLOOKUP($A58,'Data Vlaue (Cr)'!$C:$FB,146)*100</f>
        <v>65.53</v>
      </c>
      <c r="G58" s="49">
        <f>VLOOKUP($A58,'Data Vlaue (Cr)'!$C:$FB,43)</f>
        <v>181</v>
      </c>
      <c r="H58" s="49">
        <f>VLOOKUP($A58,'Data Vlaue (Cr)'!$C:$FB,44)</f>
        <v>184</v>
      </c>
      <c r="I58" s="49">
        <f>VLOOKUP($A58,'Data Vlaue (Cr)'!$C:$FB,46)*100</f>
        <v>-1.7399999999999998</v>
      </c>
      <c r="J58" s="51">
        <f>VLOOKUP($A58,'Data Vlaue (Cr)'!$C:$FB,59)</f>
        <v>301</v>
      </c>
      <c r="K58" s="51">
        <f>VLOOKUP($A58,'Data Vlaue (Cr)'!$C:$FB,60)</f>
        <v>333</v>
      </c>
      <c r="L58" s="51">
        <f>VLOOKUP($A58,'Data Vlaue (Cr)'!$C:$FB,62)*100</f>
        <v>-9.4600000000000009</v>
      </c>
      <c r="M58" s="51">
        <f>VLOOKUP($A58,'Data Vlaue (Cr)'!$C:$FB,63)</f>
        <v>1238</v>
      </c>
      <c r="N58" s="51">
        <f>VLOOKUP($A58,'Data Vlaue (Cr)'!$C:$FB,64)</f>
        <v>512</v>
      </c>
      <c r="O58" s="51">
        <f>VLOOKUP($A58,'Data Vlaue (Cr)'!$C:$FB,66)*100</f>
        <v>141.6</v>
      </c>
    </row>
    <row r="59" spans="1:15" x14ac:dyDescent="0.25">
      <c r="A59" s="101" t="str">
        <f>'Data Vlaue (Cr)'!C54</f>
        <v>DELHIVERY</v>
      </c>
      <c r="B59" s="50">
        <f>VLOOKUP($A59,'Data Vlaue (Cr)'!$C:$FB,8)</f>
        <v>408.2</v>
      </c>
      <c r="C59" s="50">
        <f>VLOOKUP($A59,'Data Vlaue (Cr)'!$C:$FB,11)*100</f>
        <v>-2.33</v>
      </c>
      <c r="D59" s="50">
        <f>VLOOKUP($A59,'Data Vlaue (Cr)'!$C:$FB,143)</f>
        <v>540.16999999999996</v>
      </c>
      <c r="E59" s="50">
        <f>VLOOKUP($A59,'Data Vlaue (Cr)'!$C:$FB,144)</f>
        <v>327.7</v>
      </c>
      <c r="F59" s="50">
        <f>VLOOKUP($A59,'Data Vlaue (Cr)'!$C:$FB,146)*100</f>
        <v>64.84</v>
      </c>
      <c r="G59" s="49">
        <f>VLOOKUP($A59,'Data Vlaue (Cr)'!$C:$FB,43)</f>
        <v>145</v>
      </c>
      <c r="H59" s="49">
        <f>VLOOKUP($A59,'Data Vlaue (Cr)'!$C:$FB,44)</f>
        <v>83</v>
      </c>
      <c r="I59" s="49">
        <f>VLOOKUP($A59,'Data Vlaue (Cr)'!$C:$FB,46)*100</f>
        <v>74.95</v>
      </c>
      <c r="J59" s="51">
        <f>VLOOKUP($A59,'Data Vlaue (Cr)'!$C:$FB,59)</f>
        <v>218</v>
      </c>
      <c r="K59" s="51">
        <f>VLOOKUP($A59,'Data Vlaue (Cr)'!$C:$FB,60)</f>
        <v>122</v>
      </c>
      <c r="L59" s="51">
        <f>VLOOKUP($A59,'Data Vlaue (Cr)'!$C:$FB,62)*100</f>
        <v>78.180000000000007</v>
      </c>
      <c r="M59" s="51">
        <f>VLOOKUP($A59,'Data Vlaue (Cr)'!$C:$FB,63)</f>
        <v>156</v>
      </c>
      <c r="N59" s="51">
        <f>VLOOKUP($A59,'Data Vlaue (Cr)'!$C:$FB,64)</f>
        <v>105</v>
      </c>
      <c r="O59" s="51">
        <f>VLOOKUP($A59,'Data Vlaue (Cr)'!$C:$FB,66)*100</f>
        <v>48.980000000000004</v>
      </c>
    </row>
    <row r="60" spans="1:15" x14ac:dyDescent="0.25">
      <c r="A60" s="101" t="str">
        <f>'Data Vlaue (Cr)'!C55</f>
        <v>DIVISLAB</v>
      </c>
      <c r="B60" s="50">
        <f>VLOOKUP($A60,'Data Vlaue (Cr)'!$C:$FB,8)</f>
        <v>6282</v>
      </c>
      <c r="C60" s="50">
        <f>VLOOKUP($A60,'Data Vlaue (Cr)'!$C:$FB,11)*100</f>
        <v>-1.1100000000000001</v>
      </c>
      <c r="D60" s="50">
        <f>VLOOKUP($A60,'Data Vlaue (Cr)'!$C:$FB,143)</f>
        <v>1264.75</v>
      </c>
      <c r="E60" s="50">
        <f>VLOOKUP($A60,'Data Vlaue (Cr)'!$C:$FB,144)</f>
        <v>1350.26</v>
      </c>
      <c r="F60" s="50">
        <f>VLOOKUP($A60,'Data Vlaue (Cr)'!$C:$FB,146)*100</f>
        <v>-6.3299999999999992</v>
      </c>
      <c r="G60" s="49">
        <f>VLOOKUP($A60,'Data Vlaue (Cr)'!$C:$FB,43)</f>
        <v>248</v>
      </c>
      <c r="H60" s="49">
        <f>VLOOKUP($A60,'Data Vlaue (Cr)'!$C:$FB,44)</f>
        <v>240</v>
      </c>
      <c r="I60" s="49">
        <f>VLOOKUP($A60,'Data Vlaue (Cr)'!$C:$FB,46)*100</f>
        <v>3.3000000000000003</v>
      </c>
      <c r="J60" s="51">
        <f>VLOOKUP($A60,'Data Vlaue (Cr)'!$C:$FB,59)</f>
        <v>660</v>
      </c>
      <c r="K60" s="51">
        <f>VLOOKUP($A60,'Data Vlaue (Cr)'!$C:$FB,60)</f>
        <v>770</v>
      </c>
      <c r="L60" s="51">
        <f>VLOOKUP($A60,'Data Vlaue (Cr)'!$C:$FB,62)*100</f>
        <v>-14.280000000000001</v>
      </c>
      <c r="M60" s="51">
        <f>VLOOKUP($A60,'Data Vlaue (Cr)'!$C:$FB,63)</f>
        <v>317</v>
      </c>
      <c r="N60" s="51">
        <f>VLOOKUP($A60,'Data Vlaue (Cr)'!$C:$FB,64)</f>
        <v>281</v>
      </c>
      <c r="O60" s="51">
        <f>VLOOKUP($A60,'Data Vlaue (Cr)'!$C:$FB,66)*100</f>
        <v>12.7</v>
      </c>
    </row>
    <row r="61" spans="1:15" x14ac:dyDescent="0.25">
      <c r="A61" s="101" t="str">
        <f>'Data Vlaue (Cr)'!C56</f>
        <v>DIXON</v>
      </c>
      <c r="B61" s="50">
        <f>VLOOKUP($A61,'Data Vlaue (Cr)'!$C:$FB,8)</f>
        <v>10803</v>
      </c>
      <c r="C61" s="50">
        <f>VLOOKUP($A61,'Data Vlaue (Cr)'!$C:$FB,11)*100</f>
        <v>1.7399999999999998</v>
      </c>
      <c r="D61" s="50">
        <f>VLOOKUP($A61,'Data Vlaue (Cr)'!$C:$FB,143)</f>
        <v>11512.71</v>
      </c>
      <c r="E61" s="50">
        <f>VLOOKUP($A61,'Data Vlaue (Cr)'!$C:$FB,144)</f>
        <v>16590.810000000001</v>
      </c>
      <c r="F61" s="50">
        <f>VLOOKUP($A61,'Data Vlaue (Cr)'!$C:$FB,146)*100</f>
        <v>-30.61</v>
      </c>
      <c r="G61" s="49">
        <f>VLOOKUP($A61,'Data Vlaue (Cr)'!$C:$FB,43)</f>
        <v>1246</v>
      </c>
      <c r="H61" s="49">
        <f>VLOOKUP($A61,'Data Vlaue (Cr)'!$C:$FB,44)</f>
        <v>1642</v>
      </c>
      <c r="I61" s="49">
        <f>VLOOKUP($A61,'Data Vlaue (Cr)'!$C:$FB,46)*100</f>
        <v>-24.14</v>
      </c>
      <c r="J61" s="51">
        <f>VLOOKUP($A61,'Data Vlaue (Cr)'!$C:$FB,59)</f>
        <v>7071</v>
      </c>
      <c r="K61" s="51">
        <f>VLOOKUP($A61,'Data Vlaue (Cr)'!$C:$FB,60)</f>
        <v>9615</v>
      </c>
      <c r="L61" s="51">
        <f>VLOOKUP($A61,'Data Vlaue (Cr)'!$C:$FB,62)*100</f>
        <v>-26.46</v>
      </c>
      <c r="M61" s="51">
        <f>VLOOKUP($A61,'Data Vlaue (Cr)'!$C:$FB,63)</f>
        <v>2762</v>
      </c>
      <c r="N61" s="51">
        <f>VLOOKUP($A61,'Data Vlaue (Cr)'!$C:$FB,64)</f>
        <v>4458</v>
      </c>
      <c r="O61" s="51">
        <f>VLOOKUP($A61,'Data Vlaue (Cr)'!$C:$FB,66)*100</f>
        <v>-38.04</v>
      </c>
    </row>
    <row r="62" spans="1:15" x14ac:dyDescent="0.25">
      <c r="A62" s="101" t="str">
        <f>'Data Vlaue (Cr)'!C57</f>
        <v>DLF</v>
      </c>
      <c r="B62" s="50">
        <f>VLOOKUP($A62,'Data Vlaue (Cr)'!$C:$FB,8)</f>
        <v>558.1</v>
      </c>
      <c r="C62" s="50">
        <f>VLOOKUP($A62,'Data Vlaue (Cr)'!$C:$FB,11)*100</f>
        <v>-2.63</v>
      </c>
      <c r="D62" s="50">
        <f>VLOOKUP($A62,'Data Vlaue (Cr)'!$C:$FB,143)</f>
        <v>1679.14</v>
      </c>
      <c r="E62" s="50">
        <f>VLOOKUP($A62,'Data Vlaue (Cr)'!$C:$FB,144)</f>
        <v>1591.41</v>
      </c>
      <c r="F62" s="50">
        <f>VLOOKUP($A62,'Data Vlaue (Cr)'!$C:$FB,146)*100</f>
        <v>5.5100000000000007</v>
      </c>
      <c r="G62" s="49">
        <f>VLOOKUP($A62,'Data Vlaue (Cr)'!$C:$FB,43)</f>
        <v>376</v>
      </c>
      <c r="H62" s="49">
        <f>VLOOKUP($A62,'Data Vlaue (Cr)'!$C:$FB,44)</f>
        <v>306</v>
      </c>
      <c r="I62" s="49">
        <f>VLOOKUP($A62,'Data Vlaue (Cr)'!$C:$FB,46)*100</f>
        <v>22.88</v>
      </c>
      <c r="J62" s="51">
        <f>VLOOKUP($A62,'Data Vlaue (Cr)'!$C:$FB,59)</f>
        <v>745</v>
      </c>
      <c r="K62" s="51">
        <f>VLOOKUP($A62,'Data Vlaue (Cr)'!$C:$FB,60)</f>
        <v>603</v>
      </c>
      <c r="L62" s="51">
        <f>VLOOKUP($A62,'Data Vlaue (Cr)'!$C:$FB,62)*100</f>
        <v>23.61</v>
      </c>
      <c r="M62" s="51">
        <f>VLOOKUP($A62,'Data Vlaue (Cr)'!$C:$FB,63)</f>
        <v>477</v>
      </c>
      <c r="N62" s="51">
        <f>VLOOKUP($A62,'Data Vlaue (Cr)'!$C:$FB,64)</f>
        <v>589</v>
      </c>
      <c r="O62" s="51">
        <f>VLOOKUP($A62,'Data Vlaue (Cr)'!$C:$FB,66)*100</f>
        <v>-19.02</v>
      </c>
    </row>
    <row r="63" spans="1:15" x14ac:dyDescent="0.25">
      <c r="A63" s="101" t="str">
        <f>'Data Vlaue (Cr)'!C58</f>
        <v>DMART</v>
      </c>
      <c r="B63" s="50">
        <f>VLOOKUP($A63,'Data Vlaue (Cr)'!$C:$FB,8)</f>
        <v>3953.6</v>
      </c>
      <c r="C63" s="50">
        <f>VLOOKUP($A63,'Data Vlaue (Cr)'!$C:$FB,11)*100</f>
        <v>0.22</v>
      </c>
      <c r="D63" s="50">
        <f>VLOOKUP($A63,'Data Vlaue (Cr)'!$C:$FB,143)</f>
        <v>1582.67</v>
      </c>
      <c r="E63" s="50">
        <f>VLOOKUP($A63,'Data Vlaue (Cr)'!$C:$FB,144)</f>
        <v>1414.85</v>
      </c>
      <c r="F63" s="50">
        <f>VLOOKUP($A63,'Data Vlaue (Cr)'!$C:$FB,146)*100</f>
        <v>11.86</v>
      </c>
      <c r="G63" s="49">
        <f>VLOOKUP($A63,'Data Vlaue (Cr)'!$C:$FB,43)</f>
        <v>430</v>
      </c>
      <c r="H63" s="49">
        <f>VLOOKUP($A63,'Data Vlaue (Cr)'!$C:$FB,44)</f>
        <v>290</v>
      </c>
      <c r="I63" s="49">
        <f>VLOOKUP($A63,'Data Vlaue (Cr)'!$C:$FB,46)*100</f>
        <v>48.05</v>
      </c>
      <c r="J63" s="51">
        <f>VLOOKUP($A63,'Data Vlaue (Cr)'!$C:$FB,59)</f>
        <v>762</v>
      </c>
      <c r="K63" s="51">
        <f>VLOOKUP($A63,'Data Vlaue (Cr)'!$C:$FB,60)</f>
        <v>754</v>
      </c>
      <c r="L63" s="51">
        <f>VLOOKUP($A63,'Data Vlaue (Cr)'!$C:$FB,62)*100</f>
        <v>1.0999999999999999</v>
      </c>
      <c r="M63" s="51">
        <f>VLOOKUP($A63,'Data Vlaue (Cr)'!$C:$FB,63)</f>
        <v>371</v>
      </c>
      <c r="N63" s="51">
        <f>VLOOKUP($A63,'Data Vlaue (Cr)'!$C:$FB,64)</f>
        <v>349</v>
      </c>
      <c r="O63" s="51">
        <f>VLOOKUP($A63,'Data Vlaue (Cr)'!$C:$FB,66)*100</f>
        <v>6.2399999999999993</v>
      </c>
    </row>
    <row r="64" spans="1:15" x14ac:dyDescent="0.25">
      <c r="A64" s="101" t="str">
        <f>'Data Vlaue (Cr)'!C59</f>
        <v>DRREDDY</v>
      </c>
      <c r="B64" s="50">
        <f>VLOOKUP($A64,'Data Vlaue (Cr)'!$C:$FB,8)</f>
        <v>1319</v>
      </c>
      <c r="C64" s="50">
        <f>VLOOKUP($A64,'Data Vlaue (Cr)'!$C:$FB,11)*100</f>
        <v>-0.49</v>
      </c>
      <c r="D64" s="50">
        <f>VLOOKUP($A64,'Data Vlaue (Cr)'!$C:$FB,143)</f>
        <v>2317.5500000000002</v>
      </c>
      <c r="E64" s="50">
        <f>VLOOKUP($A64,'Data Vlaue (Cr)'!$C:$FB,144)</f>
        <v>3837.75</v>
      </c>
      <c r="F64" s="50">
        <f>VLOOKUP($A64,'Data Vlaue (Cr)'!$C:$FB,146)*100</f>
        <v>-39.61</v>
      </c>
      <c r="G64" s="49">
        <f>VLOOKUP($A64,'Data Vlaue (Cr)'!$C:$FB,43)</f>
        <v>326</v>
      </c>
      <c r="H64" s="49">
        <f>VLOOKUP($A64,'Data Vlaue (Cr)'!$C:$FB,44)</f>
        <v>423</v>
      </c>
      <c r="I64" s="49">
        <f>VLOOKUP($A64,'Data Vlaue (Cr)'!$C:$FB,46)*100</f>
        <v>-22.99</v>
      </c>
      <c r="J64" s="51">
        <f>VLOOKUP($A64,'Data Vlaue (Cr)'!$C:$FB,59)</f>
        <v>1429</v>
      </c>
      <c r="K64" s="51">
        <f>VLOOKUP($A64,'Data Vlaue (Cr)'!$C:$FB,60)</f>
        <v>2580</v>
      </c>
      <c r="L64" s="51">
        <f>VLOOKUP($A64,'Data Vlaue (Cr)'!$C:$FB,62)*100</f>
        <v>-44.629999999999995</v>
      </c>
      <c r="M64" s="51">
        <f>VLOOKUP($A64,'Data Vlaue (Cr)'!$C:$FB,63)</f>
        <v>524</v>
      </c>
      <c r="N64" s="51">
        <f>VLOOKUP($A64,'Data Vlaue (Cr)'!$C:$FB,64)</f>
        <v>748</v>
      </c>
      <c r="O64" s="51">
        <f>VLOOKUP($A64,'Data Vlaue (Cr)'!$C:$FB,66)*100</f>
        <v>-29.98</v>
      </c>
    </row>
    <row r="65" spans="1:15" x14ac:dyDescent="0.25">
      <c r="A65" s="101" t="str">
        <f>'Data Vlaue (Cr)'!C60</f>
        <v>EICHERMOT</v>
      </c>
      <c r="B65" s="50">
        <f>VLOOKUP($A65,'Data Vlaue (Cr)'!$C:$FB,8)</f>
        <v>6975.5</v>
      </c>
      <c r="C65" s="50">
        <f>VLOOKUP($A65,'Data Vlaue (Cr)'!$C:$FB,11)*100</f>
        <v>-3.83</v>
      </c>
      <c r="D65" s="50">
        <f>VLOOKUP($A65,'Data Vlaue (Cr)'!$C:$FB,143)</f>
        <v>5718.67</v>
      </c>
      <c r="E65" s="50">
        <f>VLOOKUP($A65,'Data Vlaue (Cr)'!$C:$FB,144)</f>
        <v>3270.27</v>
      </c>
      <c r="F65" s="50">
        <f>VLOOKUP($A65,'Data Vlaue (Cr)'!$C:$FB,146)*100</f>
        <v>74.87</v>
      </c>
      <c r="G65" s="49">
        <f>VLOOKUP($A65,'Data Vlaue (Cr)'!$C:$FB,43)</f>
        <v>716</v>
      </c>
      <c r="H65" s="49">
        <f>VLOOKUP($A65,'Data Vlaue (Cr)'!$C:$FB,44)</f>
        <v>374</v>
      </c>
      <c r="I65" s="49">
        <f>VLOOKUP($A65,'Data Vlaue (Cr)'!$C:$FB,46)*100</f>
        <v>91.35</v>
      </c>
      <c r="J65" s="51">
        <f>VLOOKUP($A65,'Data Vlaue (Cr)'!$C:$FB,59)</f>
        <v>2755</v>
      </c>
      <c r="K65" s="51">
        <f>VLOOKUP($A65,'Data Vlaue (Cr)'!$C:$FB,60)</f>
        <v>1529</v>
      </c>
      <c r="L65" s="51">
        <f>VLOOKUP($A65,'Data Vlaue (Cr)'!$C:$FB,62)*100</f>
        <v>80.16</v>
      </c>
      <c r="M65" s="51">
        <f>VLOOKUP($A65,'Data Vlaue (Cr)'!$C:$FB,63)</f>
        <v>1928</v>
      </c>
      <c r="N65" s="51">
        <f>VLOOKUP($A65,'Data Vlaue (Cr)'!$C:$FB,64)</f>
        <v>1061</v>
      </c>
      <c r="O65" s="51">
        <f>VLOOKUP($A65,'Data Vlaue (Cr)'!$C:$FB,66)*100</f>
        <v>81.650000000000006</v>
      </c>
    </row>
    <row r="66" spans="1:15" x14ac:dyDescent="0.25">
      <c r="A66" s="101" t="str">
        <f>'Data Vlaue (Cr)'!C61</f>
        <v>ETERNAL</v>
      </c>
      <c r="B66" s="50">
        <f>VLOOKUP($A66,'Data Vlaue (Cr)'!$C:$FB,8)</f>
        <v>221.17</v>
      </c>
      <c r="C66" s="50">
        <f>VLOOKUP($A66,'Data Vlaue (Cr)'!$C:$FB,11)*100</f>
        <v>-1.18</v>
      </c>
      <c r="D66" s="50">
        <f>VLOOKUP($A66,'Data Vlaue (Cr)'!$C:$FB,143)</f>
        <v>7183.57</v>
      </c>
      <c r="E66" s="50">
        <f>VLOOKUP($A66,'Data Vlaue (Cr)'!$C:$FB,144)</f>
        <v>3429.54</v>
      </c>
      <c r="F66" s="50">
        <f>VLOOKUP($A66,'Data Vlaue (Cr)'!$C:$FB,146)*100</f>
        <v>109.46000000000001</v>
      </c>
      <c r="G66" s="49">
        <f>VLOOKUP($A66,'Data Vlaue (Cr)'!$C:$FB,43)</f>
        <v>1326</v>
      </c>
      <c r="H66" s="49">
        <f>VLOOKUP($A66,'Data Vlaue (Cr)'!$C:$FB,44)</f>
        <v>513</v>
      </c>
      <c r="I66" s="49">
        <f>VLOOKUP($A66,'Data Vlaue (Cr)'!$C:$FB,46)*100</f>
        <v>158.41</v>
      </c>
      <c r="J66" s="51">
        <f>VLOOKUP($A66,'Data Vlaue (Cr)'!$C:$FB,59)</f>
        <v>2582</v>
      </c>
      <c r="K66" s="51">
        <f>VLOOKUP($A66,'Data Vlaue (Cr)'!$C:$FB,60)</f>
        <v>1559</v>
      </c>
      <c r="L66" s="51">
        <f>VLOOKUP($A66,'Data Vlaue (Cr)'!$C:$FB,62)*100</f>
        <v>65.58</v>
      </c>
      <c r="M66" s="51">
        <f>VLOOKUP($A66,'Data Vlaue (Cr)'!$C:$FB,63)</f>
        <v>3121</v>
      </c>
      <c r="N66" s="51">
        <f>VLOOKUP($A66,'Data Vlaue (Cr)'!$C:$FB,64)</f>
        <v>1126</v>
      </c>
      <c r="O66" s="51">
        <f>VLOOKUP($A66,'Data Vlaue (Cr)'!$C:$FB,66)*100</f>
        <v>177.19</v>
      </c>
    </row>
    <row r="67" spans="1:15" x14ac:dyDescent="0.25">
      <c r="A67" s="101" t="str">
        <f>'Data Vlaue (Cr)'!C62</f>
        <v>EXIDEIND</v>
      </c>
      <c r="B67" s="50">
        <f>VLOOKUP($A67,'Data Vlaue (Cr)'!$C:$FB,8)</f>
        <v>310</v>
      </c>
      <c r="C67" s="50">
        <f>VLOOKUP($A67,'Data Vlaue (Cr)'!$C:$FB,11)*100</f>
        <v>-0.48</v>
      </c>
      <c r="D67" s="50">
        <f>VLOOKUP($A67,'Data Vlaue (Cr)'!$C:$FB,143)</f>
        <v>334.15</v>
      </c>
      <c r="E67" s="50">
        <f>VLOOKUP($A67,'Data Vlaue (Cr)'!$C:$FB,144)</f>
        <v>312.72000000000003</v>
      </c>
      <c r="F67" s="50">
        <f>VLOOKUP($A67,'Data Vlaue (Cr)'!$C:$FB,146)*100</f>
        <v>6.8500000000000005</v>
      </c>
      <c r="G67" s="49">
        <f>VLOOKUP($A67,'Data Vlaue (Cr)'!$C:$FB,43)</f>
        <v>95</v>
      </c>
      <c r="H67" s="49">
        <f>VLOOKUP($A67,'Data Vlaue (Cr)'!$C:$FB,44)</f>
        <v>83</v>
      </c>
      <c r="I67" s="49">
        <f>VLOOKUP($A67,'Data Vlaue (Cr)'!$C:$FB,46)*100</f>
        <v>14.12</v>
      </c>
      <c r="J67" s="51">
        <f>VLOOKUP($A67,'Data Vlaue (Cr)'!$C:$FB,59)</f>
        <v>171</v>
      </c>
      <c r="K67" s="51">
        <f>VLOOKUP($A67,'Data Vlaue (Cr)'!$C:$FB,60)</f>
        <v>148</v>
      </c>
      <c r="L67" s="51">
        <f>VLOOKUP($A67,'Data Vlaue (Cr)'!$C:$FB,62)*100</f>
        <v>15.950000000000001</v>
      </c>
      <c r="M67" s="51">
        <f>VLOOKUP($A67,'Data Vlaue (Cr)'!$C:$FB,63)</f>
        <v>56</v>
      </c>
      <c r="N67" s="51">
        <f>VLOOKUP($A67,'Data Vlaue (Cr)'!$C:$FB,64)</f>
        <v>66</v>
      </c>
      <c r="O67" s="51">
        <f>VLOOKUP($A67,'Data Vlaue (Cr)'!$C:$FB,66)*100</f>
        <v>-15.229999999999999</v>
      </c>
    </row>
    <row r="68" spans="1:15" x14ac:dyDescent="0.25">
      <c r="A68" s="101" t="str">
        <f>'Data Vlaue (Cr)'!C63</f>
        <v>FEDERALBNK</v>
      </c>
      <c r="B68" s="50">
        <f>VLOOKUP($A68,'Data Vlaue (Cr)'!$C:$FB,8)</f>
        <v>270.25</v>
      </c>
      <c r="C68" s="50">
        <f>VLOOKUP($A68,'Data Vlaue (Cr)'!$C:$FB,11)*100</f>
        <v>0.3</v>
      </c>
      <c r="D68" s="50">
        <f>VLOOKUP($A68,'Data Vlaue (Cr)'!$C:$FB,143)</f>
        <v>3362.2</v>
      </c>
      <c r="E68" s="50">
        <f>VLOOKUP($A68,'Data Vlaue (Cr)'!$C:$FB,144)</f>
        <v>3297.26</v>
      </c>
      <c r="F68" s="50">
        <f>VLOOKUP($A68,'Data Vlaue (Cr)'!$C:$FB,146)*100</f>
        <v>1.97</v>
      </c>
      <c r="G68" s="49">
        <f>VLOOKUP($A68,'Data Vlaue (Cr)'!$C:$FB,43)</f>
        <v>594</v>
      </c>
      <c r="H68" s="49">
        <f>VLOOKUP($A68,'Data Vlaue (Cr)'!$C:$FB,44)</f>
        <v>495</v>
      </c>
      <c r="I68" s="49">
        <f>VLOOKUP($A68,'Data Vlaue (Cr)'!$C:$FB,46)*100</f>
        <v>20.04</v>
      </c>
      <c r="J68" s="51">
        <f>VLOOKUP($A68,'Data Vlaue (Cr)'!$C:$FB,59)</f>
        <v>1858</v>
      </c>
      <c r="K68" s="51">
        <f>VLOOKUP($A68,'Data Vlaue (Cr)'!$C:$FB,60)</f>
        <v>1985</v>
      </c>
      <c r="L68" s="51">
        <f>VLOOKUP($A68,'Data Vlaue (Cr)'!$C:$FB,62)*100</f>
        <v>-6.39</v>
      </c>
      <c r="M68" s="51">
        <f>VLOOKUP($A68,'Data Vlaue (Cr)'!$C:$FB,63)</f>
        <v>757</v>
      </c>
      <c r="N68" s="51">
        <f>VLOOKUP($A68,'Data Vlaue (Cr)'!$C:$FB,64)</f>
        <v>612</v>
      </c>
      <c r="O68" s="51">
        <f>VLOOKUP($A68,'Data Vlaue (Cr)'!$C:$FB,66)*100</f>
        <v>23.57</v>
      </c>
    </row>
    <row r="69" spans="1:15" x14ac:dyDescent="0.25">
      <c r="A69" s="101" t="str">
        <f>'Data Vlaue (Cr)'!C64</f>
        <v>FINNIFTY</v>
      </c>
      <c r="B69" s="50">
        <f>VLOOKUP($A69,'Data Vlaue (Cr)'!$C:$FB,8)</f>
        <v>25663.200000000001</v>
      </c>
      <c r="C69" s="50">
        <f>VLOOKUP($A69,'Data Vlaue (Cr)'!$C:$FB,11)*100</f>
        <v>-0.9900000000000001</v>
      </c>
      <c r="D69" s="50">
        <f>VLOOKUP($A69,'Data Vlaue (Cr)'!$C:$FB,143)</f>
        <v>5608.58</v>
      </c>
      <c r="E69" s="50">
        <f>VLOOKUP($A69,'Data Vlaue (Cr)'!$C:$FB,144)</f>
        <v>6667.55</v>
      </c>
      <c r="F69" s="50">
        <f>VLOOKUP($A69,'Data Vlaue (Cr)'!$C:$FB,146)*100</f>
        <v>-15.879999999999999</v>
      </c>
      <c r="G69" s="49">
        <f>VLOOKUP($A69,'Data Vlaue (Cr)'!$C:$FB,43)</f>
        <v>97</v>
      </c>
      <c r="H69" s="49">
        <f>VLOOKUP($A69,'Data Vlaue (Cr)'!$C:$FB,44)</f>
        <v>52</v>
      </c>
      <c r="I69" s="49">
        <f>VLOOKUP($A69,'Data Vlaue (Cr)'!$C:$FB,46)*100</f>
        <v>85.21</v>
      </c>
      <c r="J69" s="51">
        <f>VLOOKUP($A69,'Data Vlaue (Cr)'!$C:$FB,59)</f>
        <v>2330</v>
      </c>
      <c r="K69" s="51">
        <f>VLOOKUP($A69,'Data Vlaue (Cr)'!$C:$FB,60)</f>
        <v>3266</v>
      </c>
      <c r="L69" s="51">
        <f>VLOOKUP($A69,'Data Vlaue (Cr)'!$C:$FB,62)*100</f>
        <v>-28.67</v>
      </c>
      <c r="M69" s="51">
        <f>VLOOKUP($A69,'Data Vlaue (Cr)'!$C:$FB,63)</f>
        <v>3067</v>
      </c>
      <c r="N69" s="51">
        <f>VLOOKUP($A69,'Data Vlaue (Cr)'!$C:$FB,64)</f>
        <v>3093</v>
      </c>
      <c r="O69" s="51">
        <f>VLOOKUP($A69,'Data Vlaue (Cr)'!$C:$FB,66)*100</f>
        <v>-0.82000000000000006</v>
      </c>
    </row>
    <row r="70" spans="1:15" x14ac:dyDescent="0.25">
      <c r="A70" s="101" t="str">
        <f>'Data Vlaue (Cr)'!C65</f>
        <v>FORTIS</v>
      </c>
      <c r="B70" s="50">
        <f>VLOOKUP($A70,'Data Vlaue (Cr)'!$C:$FB,8)</f>
        <v>859.5</v>
      </c>
      <c r="C70" s="50">
        <f>VLOOKUP($A70,'Data Vlaue (Cr)'!$C:$FB,11)*100</f>
        <v>-2.46</v>
      </c>
      <c r="D70" s="50">
        <f>VLOOKUP($A70,'Data Vlaue (Cr)'!$C:$FB,143)</f>
        <v>485.69</v>
      </c>
      <c r="E70" s="50">
        <f>VLOOKUP($A70,'Data Vlaue (Cr)'!$C:$FB,144)</f>
        <v>415.94</v>
      </c>
      <c r="F70" s="50">
        <f>VLOOKUP($A70,'Data Vlaue (Cr)'!$C:$FB,146)*100</f>
        <v>16.77</v>
      </c>
      <c r="G70" s="49">
        <f>VLOOKUP($A70,'Data Vlaue (Cr)'!$C:$FB,43)</f>
        <v>179</v>
      </c>
      <c r="H70" s="49">
        <f>VLOOKUP($A70,'Data Vlaue (Cr)'!$C:$FB,44)</f>
        <v>73</v>
      </c>
      <c r="I70" s="49">
        <f>VLOOKUP($A70,'Data Vlaue (Cr)'!$C:$FB,46)*100</f>
        <v>145.15</v>
      </c>
      <c r="J70" s="51">
        <f>VLOOKUP($A70,'Data Vlaue (Cr)'!$C:$FB,59)</f>
        <v>224</v>
      </c>
      <c r="K70" s="51">
        <f>VLOOKUP($A70,'Data Vlaue (Cr)'!$C:$FB,60)</f>
        <v>232</v>
      </c>
      <c r="L70" s="51">
        <f>VLOOKUP($A70,'Data Vlaue (Cr)'!$C:$FB,62)*100</f>
        <v>-3.66</v>
      </c>
      <c r="M70" s="51">
        <f>VLOOKUP($A70,'Data Vlaue (Cr)'!$C:$FB,63)</f>
        <v>64</v>
      </c>
      <c r="N70" s="51">
        <f>VLOOKUP($A70,'Data Vlaue (Cr)'!$C:$FB,64)</f>
        <v>88</v>
      </c>
      <c r="O70" s="51">
        <f>VLOOKUP($A70,'Data Vlaue (Cr)'!$C:$FB,66)*100</f>
        <v>-27</v>
      </c>
    </row>
    <row r="71" spans="1:15" x14ac:dyDescent="0.25">
      <c r="A71" s="101" t="str">
        <f>'Data Vlaue (Cr)'!C66</f>
        <v>GAIL</v>
      </c>
      <c r="B71" s="50">
        <f>VLOOKUP($A71,'Data Vlaue (Cr)'!$C:$FB,8)</f>
        <v>152.35</v>
      </c>
      <c r="C71" s="50">
        <f>VLOOKUP($A71,'Data Vlaue (Cr)'!$C:$FB,11)*100</f>
        <v>2.96</v>
      </c>
      <c r="D71" s="50">
        <f>VLOOKUP($A71,'Data Vlaue (Cr)'!$C:$FB,143)</f>
        <v>1438.05</v>
      </c>
      <c r="E71" s="50">
        <f>VLOOKUP($A71,'Data Vlaue (Cr)'!$C:$FB,144)</f>
        <v>1120.8900000000001</v>
      </c>
      <c r="F71" s="50">
        <f>VLOOKUP($A71,'Data Vlaue (Cr)'!$C:$FB,146)*100</f>
        <v>28.299999999999997</v>
      </c>
      <c r="G71" s="49">
        <f>VLOOKUP($A71,'Data Vlaue (Cr)'!$C:$FB,43)</f>
        <v>274</v>
      </c>
      <c r="H71" s="49">
        <f>VLOOKUP($A71,'Data Vlaue (Cr)'!$C:$FB,44)</f>
        <v>300</v>
      </c>
      <c r="I71" s="49">
        <f>VLOOKUP($A71,'Data Vlaue (Cr)'!$C:$FB,46)*100</f>
        <v>-8.76</v>
      </c>
      <c r="J71" s="51">
        <f>VLOOKUP($A71,'Data Vlaue (Cr)'!$C:$FB,59)</f>
        <v>803</v>
      </c>
      <c r="K71" s="51">
        <f>VLOOKUP($A71,'Data Vlaue (Cr)'!$C:$FB,60)</f>
        <v>507</v>
      </c>
      <c r="L71" s="51">
        <f>VLOOKUP($A71,'Data Vlaue (Cr)'!$C:$FB,62)*100</f>
        <v>58.5</v>
      </c>
      <c r="M71" s="51">
        <f>VLOOKUP($A71,'Data Vlaue (Cr)'!$C:$FB,63)</f>
        <v>321</v>
      </c>
      <c r="N71" s="51">
        <f>VLOOKUP($A71,'Data Vlaue (Cr)'!$C:$FB,64)</f>
        <v>286</v>
      </c>
      <c r="O71" s="51">
        <f>VLOOKUP($A71,'Data Vlaue (Cr)'!$C:$FB,66)*100</f>
        <v>12.139999999999999</v>
      </c>
    </row>
    <row r="72" spans="1:15" x14ac:dyDescent="0.25">
      <c r="A72" s="101" t="str">
        <f>'Data Vlaue (Cr)'!C67</f>
        <v>GLENMARK</v>
      </c>
      <c r="B72" s="50">
        <f>VLOOKUP($A72,'Data Vlaue (Cr)'!$C:$FB,8)</f>
        <v>2256.4</v>
      </c>
      <c r="C72" s="50">
        <f>VLOOKUP($A72,'Data Vlaue (Cr)'!$C:$FB,11)*100</f>
        <v>-0.72</v>
      </c>
      <c r="D72" s="50">
        <f>VLOOKUP($A72,'Data Vlaue (Cr)'!$C:$FB,143)</f>
        <v>1606.29</v>
      </c>
      <c r="E72" s="50">
        <f>VLOOKUP($A72,'Data Vlaue (Cr)'!$C:$FB,144)</f>
        <v>3987.43</v>
      </c>
      <c r="F72" s="50">
        <f>VLOOKUP($A72,'Data Vlaue (Cr)'!$C:$FB,146)*100</f>
        <v>-59.72</v>
      </c>
      <c r="G72" s="49">
        <f>VLOOKUP($A72,'Data Vlaue (Cr)'!$C:$FB,43)</f>
        <v>365</v>
      </c>
      <c r="H72" s="49">
        <f>VLOOKUP($A72,'Data Vlaue (Cr)'!$C:$FB,44)</f>
        <v>527</v>
      </c>
      <c r="I72" s="49">
        <f>VLOOKUP($A72,'Data Vlaue (Cr)'!$C:$FB,46)*100</f>
        <v>-30.819999999999997</v>
      </c>
      <c r="J72" s="51">
        <f>VLOOKUP($A72,'Data Vlaue (Cr)'!$C:$FB,59)</f>
        <v>707</v>
      </c>
      <c r="K72" s="51">
        <f>VLOOKUP($A72,'Data Vlaue (Cr)'!$C:$FB,60)</f>
        <v>2581</v>
      </c>
      <c r="L72" s="51">
        <f>VLOOKUP($A72,'Data Vlaue (Cr)'!$C:$FB,62)*100</f>
        <v>-72.599999999999994</v>
      </c>
      <c r="M72" s="51">
        <f>VLOOKUP($A72,'Data Vlaue (Cr)'!$C:$FB,63)</f>
        <v>512</v>
      </c>
      <c r="N72" s="51">
        <f>VLOOKUP($A72,'Data Vlaue (Cr)'!$C:$FB,64)</f>
        <v>757</v>
      </c>
      <c r="O72" s="51">
        <f>VLOOKUP($A72,'Data Vlaue (Cr)'!$C:$FB,66)*100</f>
        <v>-32.32</v>
      </c>
    </row>
    <row r="73" spans="1:15" x14ac:dyDescent="0.25">
      <c r="A73" s="101" t="str">
        <f>'Data Vlaue (Cr)'!C68</f>
        <v>GMRAIRPORT</v>
      </c>
      <c r="B73" s="50">
        <f>VLOOKUP($A73,'Data Vlaue (Cr)'!$C:$FB,8)</f>
        <v>93.29</v>
      </c>
      <c r="C73" s="50">
        <f>VLOOKUP($A73,'Data Vlaue (Cr)'!$C:$FB,11)*100</f>
        <v>-0.53</v>
      </c>
      <c r="D73" s="50">
        <f>VLOOKUP($A73,'Data Vlaue (Cr)'!$C:$FB,143)</f>
        <v>631.37</v>
      </c>
      <c r="E73" s="50">
        <f>VLOOKUP($A73,'Data Vlaue (Cr)'!$C:$FB,144)</f>
        <v>565.52</v>
      </c>
      <c r="F73" s="50">
        <f>VLOOKUP($A73,'Data Vlaue (Cr)'!$C:$FB,146)*100</f>
        <v>11.64</v>
      </c>
      <c r="G73" s="49">
        <f>VLOOKUP($A73,'Data Vlaue (Cr)'!$C:$FB,43)</f>
        <v>210</v>
      </c>
      <c r="H73" s="49">
        <f>VLOOKUP($A73,'Data Vlaue (Cr)'!$C:$FB,44)</f>
        <v>140</v>
      </c>
      <c r="I73" s="49">
        <f>VLOOKUP($A73,'Data Vlaue (Cr)'!$C:$FB,46)*100</f>
        <v>49.44</v>
      </c>
      <c r="J73" s="51">
        <f>VLOOKUP($A73,'Data Vlaue (Cr)'!$C:$FB,59)</f>
        <v>196</v>
      </c>
      <c r="K73" s="51">
        <f>VLOOKUP($A73,'Data Vlaue (Cr)'!$C:$FB,60)</f>
        <v>245</v>
      </c>
      <c r="L73" s="51">
        <f>VLOOKUP($A73,'Data Vlaue (Cr)'!$C:$FB,62)*100</f>
        <v>-20.119999999999997</v>
      </c>
      <c r="M73" s="51">
        <f>VLOOKUP($A73,'Data Vlaue (Cr)'!$C:$FB,63)</f>
        <v>214</v>
      </c>
      <c r="N73" s="51">
        <f>VLOOKUP($A73,'Data Vlaue (Cr)'!$C:$FB,64)</f>
        <v>155</v>
      </c>
      <c r="O73" s="51">
        <f>VLOOKUP($A73,'Data Vlaue (Cr)'!$C:$FB,66)*100</f>
        <v>37.96</v>
      </c>
    </row>
    <row r="74" spans="1:15" x14ac:dyDescent="0.25">
      <c r="A74" s="101" t="str">
        <f>'Data Vlaue (Cr)'!C69</f>
        <v>GODREJCP</v>
      </c>
      <c r="B74" s="50">
        <f>VLOOKUP($A74,'Data Vlaue (Cr)'!$C:$FB,8)</f>
        <v>1052.3</v>
      </c>
      <c r="C74" s="50">
        <f>VLOOKUP($A74,'Data Vlaue (Cr)'!$C:$FB,11)*100</f>
        <v>-3.58</v>
      </c>
      <c r="D74" s="50">
        <f>VLOOKUP($A74,'Data Vlaue (Cr)'!$C:$FB,143)</f>
        <v>900.62</v>
      </c>
      <c r="E74" s="50">
        <f>VLOOKUP($A74,'Data Vlaue (Cr)'!$C:$FB,144)</f>
        <v>364.25</v>
      </c>
      <c r="F74" s="50">
        <f>VLOOKUP($A74,'Data Vlaue (Cr)'!$C:$FB,146)*100</f>
        <v>147.26</v>
      </c>
      <c r="G74" s="49">
        <f>VLOOKUP($A74,'Data Vlaue (Cr)'!$C:$FB,43)</f>
        <v>382</v>
      </c>
      <c r="H74" s="49">
        <f>VLOOKUP($A74,'Data Vlaue (Cr)'!$C:$FB,44)</f>
        <v>139</v>
      </c>
      <c r="I74" s="49">
        <f>VLOOKUP($A74,'Data Vlaue (Cr)'!$C:$FB,46)*100</f>
        <v>175.1</v>
      </c>
      <c r="J74" s="51">
        <f>VLOOKUP($A74,'Data Vlaue (Cr)'!$C:$FB,59)</f>
        <v>271</v>
      </c>
      <c r="K74" s="51">
        <f>VLOOKUP($A74,'Data Vlaue (Cr)'!$C:$FB,60)</f>
        <v>104</v>
      </c>
      <c r="L74" s="51">
        <f>VLOOKUP($A74,'Data Vlaue (Cr)'!$C:$FB,62)*100</f>
        <v>161.57999999999998</v>
      </c>
      <c r="M74" s="51">
        <f>VLOOKUP($A74,'Data Vlaue (Cr)'!$C:$FB,63)</f>
        <v>217</v>
      </c>
      <c r="N74" s="51">
        <f>VLOOKUP($A74,'Data Vlaue (Cr)'!$C:$FB,64)</f>
        <v>98</v>
      </c>
      <c r="O74" s="51">
        <f>VLOOKUP($A74,'Data Vlaue (Cr)'!$C:$FB,66)*100</f>
        <v>121.76</v>
      </c>
    </row>
    <row r="75" spans="1:15" x14ac:dyDescent="0.25">
      <c r="A75" s="101" t="str">
        <f>'Data Vlaue (Cr)'!C70</f>
        <v>GODREJPROP</v>
      </c>
      <c r="B75" s="50">
        <f>VLOOKUP($A75,'Data Vlaue (Cr)'!$C:$FB,8)</f>
        <v>1616.3</v>
      </c>
      <c r="C75" s="50">
        <f>VLOOKUP($A75,'Data Vlaue (Cr)'!$C:$FB,11)*100</f>
        <v>-2.11</v>
      </c>
      <c r="D75" s="50">
        <f>VLOOKUP($A75,'Data Vlaue (Cr)'!$C:$FB,143)</f>
        <v>802.01</v>
      </c>
      <c r="E75" s="50">
        <f>VLOOKUP($A75,'Data Vlaue (Cr)'!$C:$FB,144)</f>
        <v>688.19</v>
      </c>
      <c r="F75" s="50">
        <f>VLOOKUP($A75,'Data Vlaue (Cr)'!$C:$FB,146)*100</f>
        <v>16.54</v>
      </c>
      <c r="G75" s="49">
        <f>VLOOKUP($A75,'Data Vlaue (Cr)'!$C:$FB,43)</f>
        <v>202</v>
      </c>
      <c r="H75" s="49">
        <f>VLOOKUP($A75,'Data Vlaue (Cr)'!$C:$FB,44)</f>
        <v>215</v>
      </c>
      <c r="I75" s="49">
        <f>VLOOKUP($A75,'Data Vlaue (Cr)'!$C:$FB,46)*100</f>
        <v>-6.08</v>
      </c>
      <c r="J75" s="51">
        <f>VLOOKUP($A75,'Data Vlaue (Cr)'!$C:$FB,59)</f>
        <v>306</v>
      </c>
      <c r="K75" s="51">
        <f>VLOOKUP($A75,'Data Vlaue (Cr)'!$C:$FB,60)</f>
        <v>246</v>
      </c>
      <c r="L75" s="51">
        <f>VLOOKUP($A75,'Data Vlaue (Cr)'!$C:$FB,62)*100</f>
        <v>24.46</v>
      </c>
      <c r="M75" s="51">
        <f>VLOOKUP($A75,'Data Vlaue (Cr)'!$C:$FB,63)</f>
        <v>259</v>
      </c>
      <c r="N75" s="51">
        <f>VLOOKUP($A75,'Data Vlaue (Cr)'!$C:$FB,64)</f>
        <v>184</v>
      </c>
      <c r="O75" s="51">
        <f>VLOOKUP($A75,'Data Vlaue (Cr)'!$C:$FB,66)*100</f>
        <v>41.11</v>
      </c>
    </row>
    <row r="76" spans="1:15" x14ac:dyDescent="0.25">
      <c r="A76" s="101" t="str">
        <f>'Data Vlaue (Cr)'!C71</f>
        <v>GRASIM</v>
      </c>
      <c r="B76" s="50">
        <f>VLOOKUP($A76,'Data Vlaue (Cr)'!$C:$FB,8)</f>
        <v>2673.1</v>
      </c>
      <c r="C76" s="50">
        <f>VLOOKUP($A76,'Data Vlaue (Cr)'!$C:$FB,11)*100</f>
        <v>-2.2800000000000002</v>
      </c>
      <c r="D76" s="50">
        <f>VLOOKUP($A76,'Data Vlaue (Cr)'!$C:$FB,143)</f>
        <v>1002.54</v>
      </c>
      <c r="E76" s="50">
        <f>VLOOKUP($A76,'Data Vlaue (Cr)'!$C:$FB,144)</f>
        <v>1239.72</v>
      </c>
      <c r="F76" s="50">
        <f>VLOOKUP($A76,'Data Vlaue (Cr)'!$C:$FB,146)*100</f>
        <v>-19.13</v>
      </c>
      <c r="G76" s="49">
        <f>VLOOKUP($A76,'Data Vlaue (Cr)'!$C:$FB,43)</f>
        <v>328</v>
      </c>
      <c r="H76" s="49">
        <f>VLOOKUP($A76,'Data Vlaue (Cr)'!$C:$FB,44)</f>
        <v>383</v>
      </c>
      <c r="I76" s="49">
        <f>VLOOKUP($A76,'Data Vlaue (Cr)'!$C:$FB,46)*100</f>
        <v>-14.280000000000001</v>
      </c>
      <c r="J76" s="51">
        <f>VLOOKUP($A76,'Data Vlaue (Cr)'!$C:$FB,59)</f>
        <v>379</v>
      </c>
      <c r="K76" s="51">
        <f>VLOOKUP($A76,'Data Vlaue (Cr)'!$C:$FB,60)</f>
        <v>478</v>
      </c>
      <c r="L76" s="51">
        <f>VLOOKUP($A76,'Data Vlaue (Cr)'!$C:$FB,62)*100</f>
        <v>-20.7</v>
      </c>
      <c r="M76" s="51">
        <f>VLOOKUP($A76,'Data Vlaue (Cr)'!$C:$FB,63)</f>
        <v>269</v>
      </c>
      <c r="N76" s="51">
        <f>VLOOKUP($A76,'Data Vlaue (Cr)'!$C:$FB,64)</f>
        <v>329</v>
      </c>
      <c r="O76" s="51">
        <f>VLOOKUP($A76,'Data Vlaue (Cr)'!$C:$FB,66)*100</f>
        <v>-18.41</v>
      </c>
    </row>
    <row r="77" spans="1:15" x14ac:dyDescent="0.25">
      <c r="A77" s="101" t="str">
        <f>'Data Vlaue (Cr)'!C72</f>
        <v>HAL</v>
      </c>
      <c r="B77" s="50">
        <f>VLOOKUP($A77,'Data Vlaue (Cr)'!$C:$FB,8)</f>
        <v>4013.5</v>
      </c>
      <c r="C77" s="50">
        <f>VLOOKUP($A77,'Data Vlaue (Cr)'!$C:$FB,11)*100</f>
        <v>0.21</v>
      </c>
      <c r="D77" s="50">
        <f>VLOOKUP($A77,'Data Vlaue (Cr)'!$C:$FB,143)</f>
        <v>3149.96</v>
      </c>
      <c r="E77" s="50">
        <f>VLOOKUP($A77,'Data Vlaue (Cr)'!$C:$FB,144)</f>
        <v>3950.67</v>
      </c>
      <c r="F77" s="50">
        <f>VLOOKUP($A77,'Data Vlaue (Cr)'!$C:$FB,146)*100</f>
        <v>-20.27</v>
      </c>
      <c r="G77" s="49">
        <f>VLOOKUP($A77,'Data Vlaue (Cr)'!$C:$FB,43)</f>
        <v>416</v>
      </c>
      <c r="H77" s="49">
        <f>VLOOKUP($A77,'Data Vlaue (Cr)'!$C:$FB,44)</f>
        <v>681</v>
      </c>
      <c r="I77" s="49">
        <f>VLOOKUP($A77,'Data Vlaue (Cr)'!$C:$FB,46)*100</f>
        <v>-38.879999999999995</v>
      </c>
      <c r="J77" s="51">
        <f>VLOOKUP($A77,'Data Vlaue (Cr)'!$C:$FB,59)</f>
        <v>1939</v>
      </c>
      <c r="K77" s="51">
        <f>VLOOKUP($A77,'Data Vlaue (Cr)'!$C:$FB,60)</f>
        <v>2215</v>
      </c>
      <c r="L77" s="51">
        <f>VLOOKUP($A77,'Data Vlaue (Cr)'!$C:$FB,62)*100</f>
        <v>-12.479999999999999</v>
      </c>
      <c r="M77" s="51">
        <f>VLOOKUP($A77,'Data Vlaue (Cr)'!$C:$FB,63)</f>
        <v>616</v>
      </c>
      <c r="N77" s="51">
        <f>VLOOKUP($A77,'Data Vlaue (Cr)'!$C:$FB,64)</f>
        <v>918</v>
      </c>
      <c r="O77" s="51">
        <f>VLOOKUP($A77,'Data Vlaue (Cr)'!$C:$FB,66)*100</f>
        <v>-32.840000000000003</v>
      </c>
    </row>
    <row r="78" spans="1:15" x14ac:dyDescent="0.25">
      <c r="A78" s="101" t="str">
        <f>'Data Vlaue (Cr)'!C73</f>
        <v>HAVELLS</v>
      </c>
      <c r="B78" s="50">
        <f>VLOOKUP($A78,'Data Vlaue (Cr)'!$C:$FB,8)</f>
        <v>1354</v>
      </c>
      <c r="C78" s="50">
        <f>VLOOKUP($A78,'Data Vlaue (Cr)'!$C:$FB,11)*100</f>
        <v>-0.84</v>
      </c>
      <c r="D78" s="50">
        <f>VLOOKUP($A78,'Data Vlaue (Cr)'!$C:$FB,143)</f>
        <v>776.93</v>
      </c>
      <c r="E78" s="50">
        <f>VLOOKUP($A78,'Data Vlaue (Cr)'!$C:$FB,144)</f>
        <v>1874.02</v>
      </c>
      <c r="F78" s="50">
        <f>VLOOKUP($A78,'Data Vlaue (Cr)'!$C:$FB,146)*100</f>
        <v>-58.540000000000006</v>
      </c>
      <c r="G78" s="49">
        <f>VLOOKUP($A78,'Data Vlaue (Cr)'!$C:$FB,43)</f>
        <v>180</v>
      </c>
      <c r="H78" s="49">
        <f>VLOOKUP($A78,'Data Vlaue (Cr)'!$C:$FB,44)</f>
        <v>297</v>
      </c>
      <c r="I78" s="49">
        <f>VLOOKUP($A78,'Data Vlaue (Cr)'!$C:$FB,46)*100</f>
        <v>-39.31</v>
      </c>
      <c r="J78" s="51">
        <f>VLOOKUP($A78,'Data Vlaue (Cr)'!$C:$FB,59)</f>
        <v>346</v>
      </c>
      <c r="K78" s="51">
        <f>VLOOKUP($A78,'Data Vlaue (Cr)'!$C:$FB,60)</f>
        <v>1132</v>
      </c>
      <c r="L78" s="51">
        <f>VLOOKUP($A78,'Data Vlaue (Cr)'!$C:$FB,62)*100</f>
        <v>-69.410000000000011</v>
      </c>
      <c r="M78" s="51">
        <f>VLOOKUP($A78,'Data Vlaue (Cr)'!$C:$FB,63)</f>
        <v>234</v>
      </c>
      <c r="N78" s="51">
        <f>VLOOKUP($A78,'Data Vlaue (Cr)'!$C:$FB,64)</f>
        <v>357</v>
      </c>
      <c r="O78" s="51">
        <f>VLOOKUP($A78,'Data Vlaue (Cr)'!$C:$FB,66)*100</f>
        <v>-34.32</v>
      </c>
    </row>
    <row r="79" spans="1:15" x14ac:dyDescent="0.25">
      <c r="A79" s="101" t="str">
        <f>'Data Vlaue (Cr)'!C74</f>
        <v>HCLTECH</v>
      </c>
      <c r="B79" s="50">
        <f>VLOOKUP($A79,'Data Vlaue (Cr)'!$C:$FB,8)</f>
        <v>1358.1</v>
      </c>
      <c r="C79" s="50">
        <f>VLOOKUP($A79,'Data Vlaue (Cr)'!$C:$FB,11)*100</f>
        <v>0.57999999999999996</v>
      </c>
      <c r="D79" s="50">
        <f>VLOOKUP($A79,'Data Vlaue (Cr)'!$C:$FB,143)</f>
        <v>1902.63</v>
      </c>
      <c r="E79" s="50">
        <f>VLOOKUP($A79,'Data Vlaue (Cr)'!$C:$FB,144)</f>
        <v>1267.6199999999999</v>
      </c>
      <c r="F79" s="50">
        <f>VLOOKUP($A79,'Data Vlaue (Cr)'!$C:$FB,146)*100</f>
        <v>50.09</v>
      </c>
      <c r="G79" s="49">
        <f>VLOOKUP($A79,'Data Vlaue (Cr)'!$C:$FB,43)</f>
        <v>383</v>
      </c>
      <c r="H79" s="49">
        <f>VLOOKUP($A79,'Data Vlaue (Cr)'!$C:$FB,44)</f>
        <v>278</v>
      </c>
      <c r="I79" s="49">
        <f>VLOOKUP($A79,'Data Vlaue (Cr)'!$C:$FB,46)*100</f>
        <v>37.869999999999997</v>
      </c>
      <c r="J79" s="51">
        <f>VLOOKUP($A79,'Data Vlaue (Cr)'!$C:$FB,59)</f>
        <v>995</v>
      </c>
      <c r="K79" s="51">
        <f>VLOOKUP($A79,'Data Vlaue (Cr)'!$C:$FB,60)</f>
        <v>511</v>
      </c>
      <c r="L79" s="51">
        <f>VLOOKUP($A79,'Data Vlaue (Cr)'!$C:$FB,62)*100</f>
        <v>94.65</v>
      </c>
      <c r="M79" s="51">
        <f>VLOOKUP($A79,'Data Vlaue (Cr)'!$C:$FB,63)</f>
        <v>477</v>
      </c>
      <c r="N79" s="51">
        <f>VLOOKUP($A79,'Data Vlaue (Cr)'!$C:$FB,64)</f>
        <v>445</v>
      </c>
      <c r="O79" s="51">
        <f>VLOOKUP($A79,'Data Vlaue (Cr)'!$C:$FB,66)*100</f>
        <v>7.22</v>
      </c>
    </row>
    <row r="80" spans="1:15" x14ac:dyDescent="0.25">
      <c r="A80" s="101" t="str">
        <f>'Data Vlaue (Cr)'!C75</f>
        <v>HDFCAMC</v>
      </c>
      <c r="B80" s="50">
        <f>VLOOKUP($A80,'Data Vlaue (Cr)'!$C:$FB,8)</f>
        <v>2429</v>
      </c>
      <c r="C80" s="50">
        <f>VLOOKUP($A80,'Data Vlaue (Cr)'!$C:$FB,11)*100</f>
        <v>-0.77999999999999992</v>
      </c>
      <c r="D80" s="50">
        <f>VLOOKUP($A80,'Data Vlaue (Cr)'!$C:$FB,143)</f>
        <v>687.08</v>
      </c>
      <c r="E80" s="50">
        <f>VLOOKUP($A80,'Data Vlaue (Cr)'!$C:$FB,144)</f>
        <v>827.36</v>
      </c>
      <c r="F80" s="50">
        <f>VLOOKUP($A80,'Data Vlaue (Cr)'!$C:$FB,146)*100</f>
        <v>-16.950000000000003</v>
      </c>
      <c r="G80" s="49">
        <f>VLOOKUP($A80,'Data Vlaue (Cr)'!$C:$FB,43)</f>
        <v>214</v>
      </c>
      <c r="H80" s="49">
        <f>VLOOKUP($A80,'Data Vlaue (Cr)'!$C:$FB,44)</f>
        <v>262</v>
      </c>
      <c r="I80" s="49">
        <f>VLOOKUP($A80,'Data Vlaue (Cr)'!$C:$FB,46)*100</f>
        <v>-18.22</v>
      </c>
      <c r="J80" s="51">
        <f>VLOOKUP($A80,'Data Vlaue (Cr)'!$C:$FB,59)</f>
        <v>292</v>
      </c>
      <c r="K80" s="51">
        <f>VLOOKUP($A80,'Data Vlaue (Cr)'!$C:$FB,60)</f>
        <v>356</v>
      </c>
      <c r="L80" s="51">
        <f>VLOOKUP($A80,'Data Vlaue (Cr)'!$C:$FB,62)*100</f>
        <v>-17.940000000000001</v>
      </c>
      <c r="M80" s="51">
        <f>VLOOKUP($A80,'Data Vlaue (Cr)'!$C:$FB,63)</f>
        <v>157</v>
      </c>
      <c r="N80" s="51">
        <f>VLOOKUP($A80,'Data Vlaue (Cr)'!$C:$FB,64)</f>
        <v>170</v>
      </c>
      <c r="O80" s="51">
        <f>VLOOKUP($A80,'Data Vlaue (Cr)'!$C:$FB,66)*100</f>
        <v>-8.0299999999999994</v>
      </c>
    </row>
    <row r="81" spans="1:15" x14ac:dyDescent="0.25">
      <c r="A81" s="101" t="str">
        <f>'Data Vlaue (Cr)'!C76</f>
        <v>HDFCBANK</v>
      </c>
      <c r="B81" s="50">
        <f>VLOOKUP($A81,'Data Vlaue (Cr)'!$C:$FB,8)</f>
        <v>832.75</v>
      </c>
      <c r="C81" s="50">
        <f>VLOOKUP($A81,'Data Vlaue (Cr)'!$C:$FB,11)*100</f>
        <v>-0.13999999999999999</v>
      </c>
      <c r="D81" s="50">
        <f>VLOOKUP($A81,'Data Vlaue (Cr)'!$C:$FB,143)</f>
        <v>10587.72</v>
      </c>
      <c r="E81" s="50">
        <f>VLOOKUP($A81,'Data Vlaue (Cr)'!$C:$FB,144)</f>
        <v>14606.44</v>
      </c>
      <c r="F81" s="50">
        <f>VLOOKUP($A81,'Data Vlaue (Cr)'!$C:$FB,146)*100</f>
        <v>-27.51</v>
      </c>
      <c r="G81" s="49">
        <f>VLOOKUP($A81,'Data Vlaue (Cr)'!$C:$FB,43)</f>
        <v>2416</v>
      </c>
      <c r="H81" s="49">
        <f>VLOOKUP($A81,'Data Vlaue (Cr)'!$C:$FB,44)</f>
        <v>2484</v>
      </c>
      <c r="I81" s="49">
        <f>VLOOKUP($A81,'Data Vlaue (Cr)'!$C:$FB,46)*100</f>
        <v>-2.76</v>
      </c>
      <c r="J81" s="51">
        <f>VLOOKUP($A81,'Data Vlaue (Cr)'!$C:$FB,59)</f>
        <v>5044</v>
      </c>
      <c r="K81" s="51">
        <f>VLOOKUP($A81,'Data Vlaue (Cr)'!$C:$FB,60)</f>
        <v>7780</v>
      </c>
      <c r="L81" s="51">
        <f>VLOOKUP($A81,'Data Vlaue (Cr)'!$C:$FB,62)*100</f>
        <v>-35.160000000000004</v>
      </c>
      <c r="M81" s="51">
        <f>VLOOKUP($A81,'Data Vlaue (Cr)'!$C:$FB,63)</f>
        <v>2882</v>
      </c>
      <c r="N81" s="51">
        <f>VLOOKUP($A81,'Data Vlaue (Cr)'!$C:$FB,64)</f>
        <v>3862</v>
      </c>
      <c r="O81" s="51">
        <f>VLOOKUP($A81,'Data Vlaue (Cr)'!$C:$FB,66)*100</f>
        <v>-25.380000000000003</v>
      </c>
    </row>
    <row r="82" spans="1:15" x14ac:dyDescent="0.25">
      <c r="A82" s="101" t="str">
        <f>'Data Vlaue (Cr)'!C77</f>
        <v>HDFCLIFE</v>
      </c>
      <c r="B82" s="50">
        <f>VLOOKUP($A82,'Data Vlaue (Cr)'!$C:$FB,8)</f>
        <v>645.70000000000005</v>
      </c>
      <c r="C82" s="50">
        <f>VLOOKUP($A82,'Data Vlaue (Cr)'!$C:$FB,11)*100</f>
        <v>-0.33999999999999997</v>
      </c>
      <c r="D82" s="50">
        <f>VLOOKUP($A82,'Data Vlaue (Cr)'!$C:$FB,143)</f>
        <v>896.93</v>
      </c>
      <c r="E82" s="50">
        <f>VLOOKUP($A82,'Data Vlaue (Cr)'!$C:$FB,144)</f>
        <v>887.27</v>
      </c>
      <c r="F82" s="50">
        <f>VLOOKUP($A82,'Data Vlaue (Cr)'!$C:$FB,146)*100</f>
        <v>1.0900000000000001</v>
      </c>
      <c r="G82" s="49">
        <f>VLOOKUP($A82,'Data Vlaue (Cr)'!$C:$FB,43)</f>
        <v>156</v>
      </c>
      <c r="H82" s="49">
        <f>VLOOKUP($A82,'Data Vlaue (Cr)'!$C:$FB,44)</f>
        <v>200</v>
      </c>
      <c r="I82" s="49">
        <f>VLOOKUP($A82,'Data Vlaue (Cr)'!$C:$FB,46)*100</f>
        <v>-21.6</v>
      </c>
      <c r="J82" s="51">
        <f>VLOOKUP($A82,'Data Vlaue (Cr)'!$C:$FB,59)</f>
        <v>496</v>
      </c>
      <c r="K82" s="51">
        <f>VLOOKUP($A82,'Data Vlaue (Cr)'!$C:$FB,60)</f>
        <v>434</v>
      </c>
      <c r="L82" s="51">
        <f>VLOOKUP($A82,'Data Vlaue (Cr)'!$C:$FB,62)*100</f>
        <v>14.45</v>
      </c>
      <c r="M82" s="51">
        <f>VLOOKUP($A82,'Data Vlaue (Cr)'!$C:$FB,63)</f>
        <v>205</v>
      </c>
      <c r="N82" s="51">
        <f>VLOOKUP($A82,'Data Vlaue (Cr)'!$C:$FB,64)</f>
        <v>216</v>
      </c>
      <c r="O82" s="51">
        <f>VLOOKUP($A82,'Data Vlaue (Cr)'!$C:$FB,66)*100</f>
        <v>-5.3</v>
      </c>
    </row>
    <row r="83" spans="1:15" x14ac:dyDescent="0.25">
      <c r="A83" s="101" t="str">
        <f>'Data Vlaue (Cr)'!C78</f>
        <v>HEROMOTOCO</v>
      </c>
      <c r="B83" s="50">
        <f>VLOOKUP($A83,'Data Vlaue (Cr)'!$C:$FB,8)</f>
        <v>5394.5</v>
      </c>
      <c r="C83" s="50">
        <f>VLOOKUP($A83,'Data Vlaue (Cr)'!$C:$FB,11)*100</f>
        <v>-3.2399999999999998</v>
      </c>
      <c r="D83" s="50">
        <f>VLOOKUP($A83,'Data Vlaue (Cr)'!$C:$FB,143)</f>
        <v>3390.01</v>
      </c>
      <c r="E83" s="50">
        <f>VLOOKUP($A83,'Data Vlaue (Cr)'!$C:$FB,144)</f>
        <v>3684.56</v>
      </c>
      <c r="F83" s="50">
        <f>VLOOKUP($A83,'Data Vlaue (Cr)'!$C:$FB,146)*100</f>
        <v>-7.99</v>
      </c>
      <c r="G83" s="49">
        <f>VLOOKUP($A83,'Data Vlaue (Cr)'!$C:$FB,43)</f>
        <v>454</v>
      </c>
      <c r="H83" s="49">
        <f>VLOOKUP($A83,'Data Vlaue (Cr)'!$C:$FB,44)</f>
        <v>417</v>
      </c>
      <c r="I83" s="49">
        <f>VLOOKUP($A83,'Data Vlaue (Cr)'!$C:$FB,46)*100</f>
        <v>8.7999999999999989</v>
      </c>
      <c r="J83" s="51">
        <f>VLOOKUP($A83,'Data Vlaue (Cr)'!$C:$FB,59)</f>
        <v>1695</v>
      </c>
      <c r="K83" s="51">
        <f>VLOOKUP($A83,'Data Vlaue (Cr)'!$C:$FB,60)</f>
        <v>1911</v>
      </c>
      <c r="L83" s="51">
        <f>VLOOKUP($A83,'Data Vlaue (Cr)'!$C:$FB,62)*100</f>
        <v>-11.28</v>
      </c>
      <c r="M83" s="51">
        <f>VLOOKUP($A83,'Data Vlaue (Cr)'!$C:$FB,63)</f>
        <v>1102</v>
      </c>
      <c r="N83" s="51">
        <f>VLOOKUP($A83,'Data Vlaue (Cr)'!$C:$FB,64)</f>
        <v>1088</v>
      </c>
      <c r="O83" s="51">
        <f>VLOOKUP($A83,'Data Vlaue (Cr)'!$C:$FB,66)*100</f>
        <v>1.29</v>
      </c>
    </row>
    <row r="84" spans="1:15" x14ac:dyDescent="0.25">
      <c r="A84" s="101" t="str">
        <f>'Data Vlaue (Cr)'!C79</f>
        <v>HINDALCO</v>
      </c>
      <c r="B84" s="50">
        <f>VLOOKUP($A84,'Data Vlaue (Cr)'!$C:$FB,8)</f>
        <v>969.75</v>
      </c>
      <c r="C84" s="50">
        <f>VLOOKUP($A84,'Data Vlaue (Cr)'!$C:$FB,11)*100</f>
        <v>1.1100000000000001</v>
      </c>
      <c r="D84" s="50">
        <f>VLOOKUP($A84,'Data Vlaue (Cr)'!$C:$FB,143)</f>
        <v>4026.23</v>
      </c>
      <c r="E84" s="50">
        <f>VLOOKUP($A84,'Data Vlaue (Cr)'!$C:$FB,144)</f>
        <v>4431.21</v>
      </c>
      <c r="F84" s="50">
        <f>VLOOKUP($A84,'Data Vlaue (Cr)'!$C:$FB,146)*100</f>
        <v>-9.1399999999999988</v>
      </c>
      <c r="G84" s="49">
        <f>VLOOKUP($A84,'Data Vlaue (Cr)'!$C:$FB,43)</f>
        <v>803</v>
      </c>
      <c r="H84" s="49">
        <f>VLOOKUP($A84,'Data Vlaue (Cr)'!$C:$FB,44)</f>
        <v>780</v>
      </c>
      <c r="I84" s="49">
        <f>VLOOKUP($A84,'Data Vlaue (Cr)'!$C:$FB,46)*100</f>
        <v>2.88</v>
      </c>
      <c r="J84" s="51">
        <f>VLOOKUP($A84,'Data Vlaue (Cr)'!$C:$FB,59)</f>
        <v>1950</v>
      </c>
      <c r="K84" s="51">
        <f>VLOOKUP($A84,'Data Vlaue (Cr)'!$C:$FB,60)</f>
        <v>2151</v>
      </c>
      <c r="L84" s="51">
        <f>VLOOKUP($A84,'Data Vlaue (Cr)'!$C:$FB,62)*100</f>
        <v>-9.31</v>
      </c>
      <c r="M84" s="51">
        <f>VLOOKUP($A84,'Data Vlaue (Cr)'!$C:$FB,63)</f>
        <v>1251</v>
      </c>
      <c r="N84" s="51">
        <f>VLOOKUP($A84,'Data Vlaue (Cr)'!$C:$FB,64)</f>
        <v>1437</v>
      </c>
      <c r="O84" s="51">
        <f>VLOOKUP($A84,'Data Vlaue (Cr)'!$C:$FB,66)*100</f>
        <v>-12.94</v>
      </c>
    </row>
    <row r="85" spans="1:15" x14ac:dyDescent="0.25">
      <c r="A85" s="101" t="str">
        <f>'Data Vlaue (Cr)'!C80</f>
        <v>HINDPETRO</v>
      </c>
      <c r="B85" s="50">
        <f>VLOOKUP($A85,'Data Vlaue (Cr)'!$C:$FB,8)</f>
        <v>384.35</v>
      </c>
      <c r="C85" s="50">
        <f>VLOOKUP($A85,'Data Vlaue (Cr)'!$C:$FB,11)*100</f>
        <v>0.03</v>
      </c>
      <c r="D85" s="50">
        <f>VLOOKUP($A85,'Data Vlaue (Cr)'!$C:$FB,143)</f>
        <v>2833.22</v>
      </c>
      <c r="E85" s="50">
        <f>VLOOKUP($A85,'Data Vlaue (Cr)'!$C:$FB,144)</f>
        <v>2140.25</v>
      </c>
      <c r="F85" s="50">
        <f>VLOOKUP($A85,'Data Vlaue (Cr)'!$C:$FB,146)*100</f>
        <v>32.379999999999995</v>
      </c>
      <c r="G85" s="49">
        <f>VLOOKUP($A85,'Data Vlaue (Cr)'!$C:$FB,43)</f>
        <v>741</v>
      </c>
      <c r="H85" s="49">
        <f>VLOOKUP($A85,'Data Vlaue (Cr)'!$C:$FB,44)</f>
        <v>737</v>
      </c>
      <c r="I85" s="49">
        <f>VLOOKUP($A85,'Data Vlaue (Cr)'!$C:$FB,46)*100</f>
        <v>0.6</v>
      </c>
      <c r="J85" s="51">
        <f>VLOOKUP($A85,'Data Vlaue (Cr)'!$C:$FB,59)</f>
        <v>1080</v>
      </c>
      <c r="K85" s="51">
        <f>VLOOKUP($A85,'Data Vlaue (Cr)'!$C:$FB,60)</f>
        <v>679</v>
      </c>
      <c r="L85" s="51">
        <f>VLOOKUP($A85,'Data Vlaue (Cr)'!$C:$FB,62)*100</f>
        <v>59.14</v>
      </c>
      <c r="M85" s="51">
        <f>VLOOKUP($A85,'Data Vlaue (Cr)'!$C:$FB,63)</f>
        <v>946</v>
      </c>
      <c r="N85" s="51">
        <f>VLOOKUP($A85,'Data Vlaue (Cr)'!$C:$FB,64)</f>
        <v>646</v>
      </c>
      <c r="O85" s="51">
        <f>VLOOKUP($A85,'Data Vlaue (Cr)'!$C:$FB,66)*100</f>
        <v>46.410000000000004</v>
      </c>
    </row>
    <row r="86" spans="1:15" x14ac:dyDescent="0.25">
      <c r="A86" s="101" t="str">
        <f>'Data Vlaue (Cr)'!C81</f>
        <v>HINDUNILVR</v>
      </c>
      <c r="B86" s="50">
        <f>VLOOKUP($A86,'Data Vlaue (Cr)'!$C:$FB,8)</f>
        <v>2136.9</v>
      </c>
      <c r="C86" s="50">
        <f>VLOOKUP($A86,'Data Vlaue (Cr)'!$C:$FB,11)*100</f>
        <v>-1.1299999999999999</v>
      </c>
      <c r="D86" s="50">
        <f>VLOOKUP($A86,'Data Vlaue (Cr)'!$C:$FB,143)</f>
        <v>3761.59</v>
      </c>
      <c r="E86" s="50">
        <f>VLOOKUP($A86,'Data Vlaue (Cr)'!$C:$FB,144)</f>
        <v>2386.19</v>
      </c>
      <c r="F86" s="50">
        <f>VLOOKUP($A86,'Data Vlaue (Cr)'!$C:$FB,146)*100</f>
        <v>57.64</v>
      </c>
      <c r="G86" s="49">
        <f>VLOOKUP($A86,'Data Vlaue (Cr)'!$C:$FB,43)</f>
        <v>385</v>
      </c>
      <c r="H86" s="49">
        <f>VLOOKUP($A86,'Data Vlaue (Cr)'!$C:$FB,44)</f>
        <v>332</v>
      </c>
      <c r="I86" s="49">
        <f>VLOOKUP($A86,'Data Vlaue (Cr)'!$C:$FB,46)*100</f>
        <v>16.100000000000001</v>
      </c>
      <c r="J86" s="51">
        <f>VLOOKUP($A86,'Data Vlaue (Cr)'!$C:$FB,59)</f>
        <v>2250</v>
      </c>
      <c r="K86" s="51">
        <f>VLOOKUP($A86,'Data Vlaue (Cr)'!$C:$FB,60)</f>
        <v>1271</v>
      </c>
      <c r="L86" s="51">
        <f>VLOOKUP($A86,'Data Vlaue (Cr)'!$C:$FB,62)*100</f>
        <v>76.97</v>
      </c>
      <c r="M86" s="51">
        <f>VLOOKUP($A86,'Data Vlaue (Cr)'!$C:$FB,63)</f>
        <v>1006</v>
      </c>
      <c r="N86" s="51">
        <f>VLOOKUP($A86,'Data Vlaue (Cr)'!$C:$FB,64)</f>
        <v>681</v>
      </c>
      <c r="O86" s="51">
        <f>VLOOKUP($A86,'Data Vlaue (Cr)'!$C:$FB,66)*100</f>
        <v>47.67</v>
      </c>
    </row>
    <row r="87" spans="1:15" x14ac:dyDescent="0.25">
      <c r="A87" s="101" t="str">
        <f>'Data Vlaue (Cr)'!C82</f>
        <v>HINDZINC</v>
      </c>
      <c r="B87" s="50">
        <f>VLOOKUP($A87,'Data Vlaue (Cr)'!$C:$FB,8)</f>
        <v>583</v>
      </c>
      <c r="C87" s="50">
        <f>VLOOKUP($A87,'Data Vlaue (Cr)'!$C:$FB,11)*100</f>
        <v>-0.77999999999999992</v>
      </c>
      <c r="D87" s="50">
        <f>VLOOKUP($A87,'Data Vlaue (Cr)'!$C:$FB,143)</f>
        <v>2171.52</v>
      </c>
      <c r="E87" s="50">
        <f>VLOOKUP($A87,'Data Vlaue (Cr)'!$C:$FB,144)</f>
        <v>3499.09</v>
      </c>
      <c r="F87" s="50">
        <f>VLOOKUP($A87,'Data Vlaue (Cr)'!$C:$FB,146)*100</f>
        <v>-37.940000000000005</v>
      </c>
      <c r="G87" s="49">
        <f>VLOOKUP($A87,'Data Vlaue (Cr)'!$C:$FB,43)</f>
        <v>354</v>
      </c>
      <c r="H87" s="49">
        <f>VLOOKUP($A87,'Data Vlaue (Cr)'!$C:$FB,44)</f>
        <v>470</v>
      </c>
      <c r="I87" s="49">
        <f>VLOOKUP($A87,'Data Vlaue (Cr)'!$C:$FB,46)*100</f>
        <v>-24.6</v>
      </c>
      <c r="J87" s="51">
        <f>VLOOKUP($A87,'Data Vlaue (Cr)'!$C:$FB,59)</f>
        <v>1107</v>
      </c>
      <c r="K87" s="51">
        <f>VLOOKUP($A87,'Data Vlaue (Cr)'!$C:$FB,60)</f>
        <v>1703</v>
      </c>
      <c r="L87" s="51">
        <f>VLOOKUP($A87,'Data Vlaue (Cr)'!$C:$FB,62)*100</f>
        <v>-35.020000000000003</v>
      </c>
      <c r="M87" s="51">
        <f>VLOOKUP($A87,'Data Vlaue (Cr)'!$C:$FB,63)</f>
        <v>631</v>
      </c>
      <c r="N87" s="51">
        <f>VLOOKUP($A87,'Data Vlaue (Cr)'!$C:$FB,64)</f>
        <v>1151</v>
      </c>
      <c r="O87" s="51">
        <f>VLOOKUP($A87,'Data Vlaue (Cr)'!$C:$FB,66)*100</f>
        <v>-45.15</v>
      </c>
    </row>
    <row r="88" spans="1:15" x14ac:dyDescent="0.25">
      <c r="A88" s="101" t="str">
        <f>'Data Vlaue (Cr)'!C83</f>
        <v>HUDCO</v>
      </c>
      <c r="B88" s="50">
        <f>VLOOKUP($A88,'Data Vlaue (Cr)'!$C:$FB,8)</f>
        <v>176.66</v>
      </c>
      <c r="C88" s="50">
        <f>VLOOKUP($A88,'Data Vlaue (Cr)'!$C:$FB,11)*100</f>
        <v>-0.51</v>
      </c>
      <c r="D88" s="50">
        <f>VLOOKUP($A88,'Data Vlaue (Cr)'!$C:$FB,143)</f>
        <v>272.14</v>
      </c>
      <c r="E88" s="50">
        <f>VLOOKUP($A88,'Data Vlaue (Cr)'!$C:$FB,144)</f>
        <v>405.04</v>
      </c>
      <c r="F88" s="50">
        <f>VLOOKUP($A88,'Data Vlaue (Cr)'!$C:$FB,146)*100</f>
        <v>-32.81</v>
      </c>
      <c r="G88" s="49">
        <f>VLOOKUP($A88,'Data Vlaue (Cr)'!$C:$FB,43)</f>
        <v>63</v>
      </c>
      <c r="H88" s="49">
        <f>VLOOKUP($A88,'Data Vlaue (Cr)'!$C:$FB,44)</f>
        <v>107</v>
      </c>
      <c r="I88" s="49">
        <f>VLOOKUP($A88,'Data Vlaue (Cr)'!$C:$FB,46)*100</f>
        <v>-40.839999999999996</v>
      </c>
      <c r="J88" s="51">
        <f>VLOOKUP($A88,'Data Vlaue (Cr)'!$C:$FB,59)</f>
        <v>154</v>
      </c>
      <c r="K88" s="51">
        <f>VLOOKUP($A88,'Data Vlaue (Cr)'!$C:$FB,60)</f>
        <v>181</v>
      </c>
      <c r="L88" s="51">
        <f>VLOOKUP($A88,'Data Vlaue (Cr)'!$C:$FB,62)*100</f>
        <v>-14.77</v>
      </c>
      <c r="M88" s="51">
        <f>VLOOKUP($A88,'Data Vlaue (Cr)'!$C:$FB,63)</f>
        <v>43</v>
      </c>
      <c r="N88" s="51">
        <f>VLOOKUP($A88,'Data Vlaue (Cr)'!$C:$FB,64)</f>
        <v>97</v>
      </c>
      <c r="O88" s="51">
        <f>VLOOKUP($A88,'Data Vlaue (Cr)'!$C:$FB,66)*100</f>
        <v>-55.35</v>
      </c>
    </row>
    <row r="89" spans="1:15" x14ac:dyDescent="0.25">
      <c r="A89" s="101" t="str">
        <f>'Data Vlaue (Cr)'!C84</f>
        <v>ICICIBANK</v>
      </c>
      <c r="B89" s="50">
        <f>VLOOKUP($A89,'Data Vlaue (Cr)'!$C:$FB,8)</f>
        <v>1266.5</v>
      </c>
      <c r="C89" s="50">
        <f>VLOOKUP($A89,'Data Vlaue (Cr)'!$C:$FB,11)*100</f>
        <v>-2.17</v>
      </c>
      <c r="D89" s="50">
        <f>VLOOKUP($A89,'Data Vlaue (Cr)'!$C:$FB,143)</f>
        <v>12047.47</v>
      </c>
      <c r="E89" s="50">
        <f>VLOOKUP($A89,'Data Vlaue (Cr)'!$C:$FB,144)</f>
        <v>9902.68</v>
      </c>
      <c r="F89" s="50">
        <f>VLOOKUP($A89,'Data Vlaue (Cr)'!$C:$FB,146)*100</f>
        <v>21.66</v>
      </c>
      <c r="G89" s="49">
        <f>VLOOKUP($A89,'Data Vlaue (Cr)'!$C:$FB,43)</f>
        <v>2458</v>
      </c>
      <c r="H89" s="49">
        <f>VLOOKUP($A89,'Data Vlaue (Cr)'!$C:$FB,44)</f>
        <v>1838</v>
      </c>
      <c r="I89" s="49">
        <f>VLOOKUP($A89,'Data Vlaue (Cr)'!$C:$FB,46)*100</f>
        <v>33.729999999999997</v>
      </c>
      <c r="J89" s="51">
        <f>VLOOKUP($A89,'Data Vlaue (Cr)'!$C:$FB,59)</f>
        <v>6001</v>
      </c>
      <c r="K89" s="51">
        <f>VLOOKUP($A89,'Data Vlaue (Cr)'!$C:$FB,60)</f>
        <v>4572</v>
      </c>
      <c r="L89" s="51">
        <f>VLOOKUP($A89,'Data Vlaue (Cr)'!$C:$FB,62)*100</f>
        <v>31.25</v>
      </c>
      <c r="M89" s="51">
        <f>VLOOKUP($A89,'Data Vlaue (Cr)'!$C:$FB,63)</f>
        <v>3253</v>
      </c>
      <c r="N89" s="51">
        <f>VLOOKUP($A89,'Data Vlaue (Cr)'!$C:$FB,64)</f>
        <v>3098</v>
      </c>
      <c r="O89" s="51">
        <f>VLOOKUP($A89,'Data Vlaue (Cr)'!$C:$FB,66)*100</f>
        <v>5</v>
      </c>
    </row>
    <row r="90" spans="1:15" x14ac:dyDescent="0.25">
      <c r="A90" s="101" t="str">
        <f>'Data Vlaue (Cr)'!C85</f>
        <v>ICICIGI</v>
      </c>
      <c r="B90" s="50">
        <f>VLOOKUP($A90,'Data Vlaue (Cr)'!$C:$FB,8)</f>
        <v>1855.3</v>
      </c>
      <c r="C90" s="50">
        <f>VLOOKUP($A90,'Data Vlaue (Cr)'!$C:$FB,11)*100</f>
        <v>-1.06</v>
      </c>
      <c r="D90" s="50">
        <f>VLOOKUP($A90,'Data Vlaue (Cr)'!$C:$FB,143)</f>
        <v>430.23</v>
      </c>
      <c r="E90" s="50">
        <f>VLOOKUP($A90,'Data Vlaue (Cr)'!$C:$FB,144)</f>
        <v>597.16999999999996</v>
      </c>
      <c r="F90" s="50">
        <f>VLOOKUP($A90,'Data Vlaue (Cr)'!$C:$FB,146)*100</f>
        <v>-27.96</v>
      </c>
      <c r="G90" s="49">
        <f>VLOOKUP($A90,'Data Vlaue (Cr)'!$C:$FB,43)</f>
        <v>103</v>
      </c>
      <c r="H90" s="49">
        <f>VLOOKUP($A90,'Data Vlaue (Cr)'!$C:$FB,44)</f>
        <v>183</v>
      </c>
      <c r="I90" s="49">
        <f>VLOOKUP($A90,'Data Vlaue (Cr)'!$C:$FB,46)*100</f>
        <v>-43.95</v>
      </c>
      <c r="J90" s="51">
        <f>VLOOKUP($A90,'Data Vlaue (Cr)'!$C:$FB,59)</f>
        <v>233</v>
      </c>
      <c r="K90" s="51">
        <f>VLOOKUP($A90,'Data Vlaue (Cr)'!$C:$FB,60)</f>
        <v>239</v>
      </c>
      <c r="L90" s="51">
        <f>VLOOKUP($A90,'Data Vlaue (Cr)'!$C:$FB,62)*100</f>
        <v>-2.65</v>
      </c>
      <c r="M90" s="51">
        <f>VLOOKUP($A90,'Data Vlaue (Cr)'!$C:$FB,63)</f>
        <v>83</v>
      </c>
      <c r="N90" s="51">
        <f>VLOOKUP($A90,'Data Vlaue (Cr)'!$C:$FB,64)</f>
        <v>155</v>
      </c>
      <c r="O90" s="51">
        <f>VLOOKUP($A90,'Data Vlaue (Cr)'!$C:$FB,66)*100</f>
        <v>-46.400000000000006</v>
      </c>
    </row>
    <row r="91" spans="1:15" x14ac:dyDescent="0.25">
      <c r="A91" s="101" t="str">
        <f>'Data Vlaue (Cr)'!C86</f>
        <v>ICICIPRULI</v>
      </c>
      <c r="B91" s="50">
        <f>VLOOKUP($A91,'Data Vlaue (Cr)'!$C:$FB,8)</f>
        <v>592.95000000000005</v>
      </c>
      <c r="C91" s="50">
        <f>VLOOKUP($A91,'Data Vlaue (Cr)'!$C:$FB,11)*100</f>
        <v>-0.92999999999999994</v>
      </c>
      <c r="D91" s="50">
        <f>VLOOKUP($A91,'Data Vlaue (Cr)'!$C:$FB,143)</f>
        <v>248.14</v>
      </c>
      <c r="E91" s="50">
        <f>VLOOKUP($A91,'Data Vlaue (Cr)'!$C:$FB,144)</f>
        <v>225.67</v>
      </c>
      <c r="F91" s="50">
        <f>VLOOKUP($A91,'Data Vlaue (Cr)'!$C:$FB,146)*100</f>
        <v>9.9599999999999991</v>
      </c>
      <c r="G91" s="49">
        <f>VLOOKUP($A91,'Data Vlaue (Cr)'!$C:$FB,43)</f>
        <v>67</v>
      </c>
      <c r="H91" s="49">
        <f>VLOOKUP($A91,'Data Vlaue (Cr)'!$C:$FB,44)</f>
        <v>120</v>
      </c>
      <c r="I91" s="49">
        <f>VLOOKUP($A91,'Data Vlaue (Cr)'!$C:$FB,46)*100</f>
        <v>-44.230000000000004</v>
      </c>
      <c r="J91" s="51">
        <f>VLOOKUP($A91,'Data Vlaue (Cr)'!$C:$FB,59)</f>
        <v>94</v>
      </c>
      <c r="K91" s="51">
        <f>VLOOKUP($A91,'Data Vlaue (Cr)'!$C:$FB,60)</f>
        <v>61</v>
      </c>
      <c r="L91" s="51">
        <f>VLOOKUP($A91,'Data Vlaue (Cr)'!$C:$FB,62)*100</f>
        <v>55.48</v>
      </c>
      <c r="M91" s="51">
        <f>VLOOKUP($A91,'Data Vlaue (Cr)'!$C:$FB,63)</f>
        <v>81</v>
      </c>
      <c r="N91" s="51">
        <f>VLOOKUP($A91,'Data Vlaue (Cr)'!$C:$FB,64)</f>
        <v>40</v>
      </c>
      <c r="O91" s="51">
        <f>VLOOKUP($A91,'Data Vlaue (Cr)'!$C:$FB,66)*100</f>
        <v>103.18</v>
      </c>
    </row>
    <row r="92" spans="1:15" x14ac:dyDescent="0.25">
      <c r="A92" s="101" t="str">
        <f>'Data Vlaue (Cr)'!C87</f>
        <v>IDEA</v>
      </c>
      <c r="B92" s="50">
        <f>VLOOKUP($A92,'Data Vlaue (Cr)'!$C:$FB,8)</f>
        <v>9.56</v>
      </c>
      <c r="C92" s="50">
        <f>VLOOKUP($A92,'Data Vlaue (Cr)'!$C:$FB,11)*100</f>
        <v>-1.54</v>
      </c>
      <c r="D92" s="50">
        <f>VLOOKUP($A92,'Data Vlaue (Cr)'!$C:$FB,143)</f>
        <v>2425.87</v>
      </c>
      <c r="E92" s="50">
        <f>VLOOKUP($A92,'Data Vlaue (Cr)'!$C:$FB,144)</f>
        <v>1638.52</v>
      </c>
      <c r="F92" s="50">
        <f>VLOOKUP($A92,'Data Vlaue (Cr)'!$C:$FB,146)*100</f>
        <v>48.05</v>
      </c>
      <c r="G92" s="49">
        <f>VLOOKUP($A92,'Data Vlaue (Cr)'!$C:$FB,43)</f>
        <v>793</v>
      </c>
      <c r="H92" s="49">
        <f>VLOOKUP($A92,'Data Vlaue (Cr)'!$C:$FB,44)</f>
        <v>420</v>
      </c>
      <c r="I92" s="49">
        <f>VLOOKUP($A92,'Data Vlaue (Cr)'!$C:$FB,46)*100</f>
        <v>88.84</v>
      </c>
      <c r="J92" s="51">
        <f>VLOOKUP($A92,'Data Vlaue (Cr)'!$C:$FB,59)</f>
        <v>1048</v>
      </c>
      <c r="K92" s="51">
        <f>VLOOKUP($A92,'Data Vlaue (Cr)'!$C:$FB,60)</f>
        <v>743</v>
      </c>
      <c r="L92" s="51">
        <f>VLOOKUP($A92,'Data Vlaue (Cr)'!$C:$FB,62)*100</f>
        <v>41.160000000000004</v>
      </c>
      <c r="M92" s="51">
        <f>VLOOKUP($A92,'Data Vlaue (Cr)'!$C:$FB,63)</f>
        <v>423</v>
      </c>
      <c r="N92" s="51">
        <f>VLOOKUP($A92,'Data Vlaue (Cr)'!$C:$FB,64)</f>
        <v>311</v>
      </c>
      <c r="O92" s="51">
        <f>VLOOKUP($A92,'Data Vlaue (Cr)'!$C:$FB,66)*100</f>
        <v>35.909999999999997</v>
      </c>
    </row>
    <row r="93" spans="1:15" x14ac:dyDescent="0.25">
      <c r="A93" s="101" t="str">
        <f>'Data Vlaue (Cr)'!C88</f>
        <v>IDFCFIRSTB</v>
      </c>
      <c r="B93" s="50">
        <f>VLOOKUP($A93,'Data Vlaue (Cr)'!$C:$FB,8)</f>
        <v>64.78</v>
      </c>
      <c r="C93" s="50">
        <f>VLOOKUP($A93,'Data Vlaue (Cr)'!$C:$FB,11)*100</f>
        <v>-2.09</v>
      </c>
      <c r="D93" s="50">
        <f>VLOOKUP($A93,'Data Vlaue (Cr)'!$C:$FB,143)</f>
        <v>2335.21</v>
      </c>
      <c r="E93" s="50">
        <f>VLOOKUP($A93,'Data Vlaue (Cr)'!$C:$FB,144)</f>
        <v>1835.44</v>
      </c>
      <c r="F93" s="50">
        <f>VLOOKUP($A93,'Data Vlaue (Cr)'!$C:$FB,146)*100</f>
        <v>27.229999999999997</v>
      </c>
      <c r="G93" s="49">
        <f>VLOOKUP($A93,'Data Vlaue (Cr)'!$C:$FB,43)</f>
        <v>513</v>
      </c>
      <c r="H93" s="49">
        <f>VLOOKUP($A93,'Data Vlaue (Cr)'!$C:$FB,44)</f>
        <v>419</v>
      </c>
      <c r="I93" s="49">
        <f>VLOOKUP($A93,'Data Vlaue (Cr)'!$C:$FB,46)*100</f>
        <v>22.470000000000002</v>
      </c>
      <c r="J93" s="51">
        <f>VLOOKUP($A93,'Data Vlaue (Cr)'!$C:$FB,59)</f>
        <v>988</v>
      </c>
      <c r="K93" s="51">
        <f>VLOOKUP($A93,'Data Vlaue (Cr)'!$C:$FB,60)</f>
        <v>826</v>
      </c>
      <c r="L93" s="51">
        <f>VLOOKUP($A93,'Data Vlaue (Cr)'!$C:$FB,62)*100</f>
        <v>19.61</v>
      </c>
      <c r="M93" s="51">
        <f>VLOOKUP($A93,'Data Vlaue (Cr)'!$C:$FB,63)</f>
        <v>704</v>
      </c>
      <c r="N93" s="51">
        <f>VLOOKUP($A93,'Data Vlaue (Cr)'!$C:$FB,64)</f>
        <v>451</v>
      </c>
      <c r="O93" s="51">
        <f>VLOOKUP($A93,'Data Vlaue (Cr)'!$C:$FB,66)*100</f>
        <v>56.120000000000005</v>
      </c>
    </row>
    <row r="94" spans="1:15" x14ac:dyDescent="0.25">
      <c r="A94" s="101" t="str">
        <f>'Data Vlaue (Cr)'!C89</f>
        <v>IEX</v>
      </c>
      <c r="B94" s="50">
        <f>VLOOKUP($A94,'Data Vlaue (Cr)'!$C:$FB,8)</f>
        <v>122.76</v>
      </c>
      <c r="C94" s="50">
        <f>VLOOKUP($A94,'Data Vlaue (Cr)'!$C:$FB,11)*100</f>
        <v>-6.9999999999999993E-2</v>
      </c>
      <c r="D94" s="50">
        <f>VLOOKUP($A94,'Data Vlaue (Cr)'!$C:$FB,143)</f>
        <v>651.65</v>
      </c>
      <c r="E94" s="50">
        <f>VLOOKUP($A94,'Data Vlaue (Cr)'!$C:$FB,144)</f>
        <v>1356.12</v>
      </c>
      <c r="F94" s="50">
        <f>VLOOKUP($A94,'Data Vlaue (Cr)'!$C:$FB,146)*100</f>
        <v>-51.949999999999996</v>
      </c>
      <c r="G94" s="49">
        <f>VLOOKUP($A94,'Data Vlaue (Cr)'!$C:$FB,43)</f>
        <v>119</v>
      </c>
      <c r="H94" s="49">
        <f>VLOOKUP($A94,'Data Vlaue (Cr)'!$C:$FB,44)</f>
        <v>202</v>
      </c>
      <c r="I94" s="49">
        <f>VLOOKUP($A94,'Data Vlaue (Cr)'!$C:$FB,46)*100</f>
        <v>-41.04</v>
      </c>
      <c r="J94" s="51">
        <f>VLOOKUP($A94,'Data Vlaue (Cr)'!$C:$FB,59)</f>
        <v>401</v>
      </c>
      <c r="K94" s="51">
        <f>VLOOKUP($A94,'Data Vlaue (Cr)'!$C:$FB,60)</f>
        <v>869</v>
      </c>
      <c r="L94" s="51">
        <f>VLOOKUP($A94,'Data Vlaue (Cr)'!$C:$FB,62)*100</f>
        <v>-53.81</v>
      </c>
      <c r="M94" s="51">
        <f>VLOOKUP($A94,'Data Vlaue (Cr)'!$C:$FB,63)</f>
        <v>107</v>
      </c>
      <c r="N94" s="51">
        <f>VLOOKUP($A94,'Data Vlaue (Cr)'!$C:$FB,64)</f>
        <v>214</v>
      </c>
      <c r="O94" s="51">
        <f>VLOOKUP($A94,'Data Vlaue (Cr)'!$C:$FB,66)*100</f>
        <v>-49.99</v>
      </c>
    </row>
    <row r="95" spans="1:15" x14ac:dyDescent="0.25">
      <c r="A95" s="101" t="str">
        <f>'Data Vlaue (Cr)'!C90</f>
        <v>INDHOTEL</v>
      </c>
      <c r="B95" s="50">
        <f>VLOOKUP($A95,'Data Vlaue (Cr)'!$C:$FB,8)</f>
        <v>624.95000000000005</v>
      </c>
      <c r="C95" s="50">
        <f>VLOOKUP($A95,'Data Vlaue (Cr)'!$C:$FB,11)*100</f>
        <v>0.13999999999999999</v>
      </c>
      <c r="D95" s="50">
        <f>VLOOKUP($A95,'Data Vlaue (Cr)'!$C:$FB,143)</f>
        <v>1227.02</v>
      </c>
      <c r="E95" s="50">
        <f>VLOOKUP($A95,'Data Vlaue (Cr)'!$C:$FB,144)</f>
        <v>655.28</v>
      </c>
      <c r="F95" s="50">
        <f>VLOOKUP($A95,'Data Vlaue (Cr)'!$C:$FB,146)*100</f>
        <v>87.25</v>
      </c>
      <c r="G95" s="49">
        <f>VLOOKUP($A95,'Data Vlaue (Cr)'!$C:$FB,43)</f>
        <v>347</v>
      </c>
      <c r="H95" s="49">
        <f>VLOOKUP($A95,'Data Vlaue (Cr)'!$C:$FB,44)</f>
        <v>190</v>
      </c>
      <c r="I95" s="49">
        <f>VLOOKUP($A95,'Data Vlaue (Cr)'!$C:$FB,46)*100</f>
        <v>82.509999999999991</v>
      </c>
      <c r="J95" s="51">
        <f>VLOOKUP($A95,'Data Vlaue (Cr)'!$C:$FB,59)</f>
        <v>405</v>
      </c>
      <c r="K95" s="51">
        <f>VLOOKUP($A95,'Data Vlaue (Cr)'!$C:$FB,60)</f>
        <v>191</v>
      </c>
      <c r="L95" s="51">
        <f>VLOOKUP($A95,'Data Vlaue (Cr)'!$C:$FB,62)*100</f>
        <v>111.57</v>
      </c>
      <c r="M95" s="51">
        <f>VLOOKUP($A95,'Data Vlaue (Cr)'!$C:$FB,63)</f>
        <v>469</v>
      </c>
      <c r="N95" s="51">
        <f>VLOOKUP($A95,'Data Vlaue (Cr)'!$C:$FB,64)</f>
        <v>265</v>
      </c>
      <c r="O95" s="51">
        <f>VLOOKUP($A95,'Data Vlaue (Cr)'!$C:$FB,66)*100</f>
        <v>76.680000000000007</v>
      </c>
    </row>
    <row r="96" spans="1:15" x14ac:dyDescent="0.25">
      <c r="A96" s="101" t="str">
        <f>'Data Vlaue (Cr)'!C91</f>
        <v>INDIANB</v>
      </c>
      <c r="B96" s="50">
        <f>VLOOKUP($A96,'Data Vlaue (Cr)'!$C:$FB,8)</f>
        <v>909.6</v>
      </c>
      <c r="C96" s="50">
        <f>VLOOKUP($A96,'Data Vlaue (Cr)'!$C:$FB,11)*100</f>
        <v>-0.89</v>
      </c>
      <c r="D96" s="50">
        <f>VLOOKUP($A96,'Data Vlaue (Cr)'!$C:$FB,143)</f>
        <v>876.44</v>
      </c>
      <c r="E96" s="50">
        <f>VLOOKUP($A96,'Data Vlaue (Cr)'!$C:$FB,144)</f>
        <v>754.03</v>
      </c>
      <c r="F96" s="50">
        <f>VLOOKUP($A96,'Data Vlaue (Cr)'!$C:$FB,146)*100</f>
        <v>16.23</v>
      </c>
      <c r="G96" s="49">
        <f>VLOOKUP($A96,'Data Vlaue (Cr)'!$C:$FB,43)</f>
        <v>237</v>
      </c>
      <c r="H96" s="49">
        <f>VLOOKUP($A96,'Data Vlaue (Cr)'!$C:$FB,44)</f>
        <v>191</v>
      </c>
      <c r="I96" s="49">
        <f>VLOOKUP($A96,'Data Vlaue (Cr)'!$C:$FB,46)*100</f>
        <v>23.96</v>
      </c>
      <c r="J96" s="51">
        <f>VLOOKUP($A96,'Data Vlaue (Cr)'!$C:$FB,59)</f>
        <v>389</v>
      </c>
      <c r="K96" s="51">
        <f>VLOOKUP($A96,'Data Vlaue (Cr)'!$C:$FB,60)</f>
        <v>326</v>
      </c>
      <c r="L96" s="51">
        <f>VLOOKUP($A96,'Data Vlaue (Cr)'!$C:$FB,62)*100</f>
        <v>19.2</v>
      </c>
      <c r="M96" s="51">
        <f>VLOOKUP($A96,'Data Vlaue (Cr)'!$C:$FB,63)</f>
        <v>230</v>
      </c>
      <c r="N96" s="51">
        <f>VLOOKUP($A96,'Data Vlaue (Cr)'!$C:$FB,64)</f>
        <v>206</v>
      </c>
      <c r="O96" s="51">
        <f>VLOOKUP($A96,'Data Vlaue (Cr)'!$C:$FB,66)*100</f>
        <v>11.14</v>
      </c>
    </row>
    <row r="97" spans="1:15" x14ac:dyDescent="0.25">
      <c r="A97" s="101" t="str">
        <f>'Data Vlaue (Cr)'!C92</f>
        <v>INDIAVIX</v>
      </c>
      <c r="B97" s="50">
        <f>VLOOKUP($A97,'Data Vlaue (Cr)'!$C:$FB,8)</f>
        <v>21.52</v>
      </c>
      <c r="C97" s="50">
        <f>VLOOKUP($A97,'Data Vlaue (Cr)'!$C:$FB,11)*100</f>
        <v>2.17</v>
      </c>
      <c r="D97" s="50">
        <f>VLOOKUP($A97,'Data Vlaue (Cr)'!$C:$FB,143)</f>
        <v>0</v>
      </c>
      <c r="E97" s="50">
        <f>VLOOKUP($A97,'Data Vlaue (Cr)'!$C:$FB,144)</f>
        <v>0</v>
      </c>
      <c r="F97" s="50">
        <f>VLOOKUP($A97,'Data Vlaue (Cr)'!$C:$FB,146)*100</f>
        <v>0</v>
      </c>
      <c r="G97" s="49">
        <f>VLOOKUP($A97,'Data Vlaue (Cr)'!$C:$FB,43)</f>
        <v>0</v>
      </c>
      <c r="H97" s="49">
        <f>VLOOKUP($A97,'Data Vlaue (Cr)'!$C:$FB,44)</f>
        <v>0</v>
      </c>
      <c r="I97" s="49">
        <f>VLOOKUP($A97,'Data Vlaue (Cr)'!$C:$FB,46)*100</f>
        <v>0</v>
      </c>
      <c r="J97" s="51">
        <f>VLOOKUP($A97,'Data Vlaue (Cr)'!$C:$FB,59)</f>
        <v>0</v>
      </c>
      <c r="K97" s="51">
        <f>VLOOKUP($A97,'Data Vlaue (Cr)'!$C:$FB,60)</f>
        <v>0</v>
      </c>
      <c r="L97" s="51">
        <f>VLOOKUP($A97,'Data Vlaue (Cr)'!$C:$FB,62)*100</f>
        <v>0</v>
      </c>
      <c r="M97" s="51">
        <f>VLOOKUP($A97,'Data Vlaue (Cr)'!$C:$FB,63)</f>
        <v>0</v>
      </c>
      <c r="N97" s="51">
        <f>VLOOKUP($A97,'Data Vlaue (Cr)'!$C:$FB,64)</f>
        <v>0</v>
      </c>
      <c r="O97" s="51">
        <f>VLOOKUP($A97,'Data Vlaue (Cr)'!$C:$FB,66)*100</f>
        <v>0</v>
      </c>
    </row>
    <row r="98" spans="1:15" x14ac:dyDescent="0.25">
      <c r="A98" s="101" t="str">
        <f>'Data Vlaue (Cr)'!C93</f>
        <v>INDIGO</v>
      </c>
      <c r="B98" s="50">
        <f>VLOOKUP($A98,'Data Vlaue (Cr)'!$C:$FB,8)</f>
        <v>4251.7</v>
      </c>
      <c r="C98" s="50">
        <f>VLOOKUP($A98,'Data Vlaue (Cr)'!$C:$FB,11)*100</f>
        <v>-2.2800000000000002</v>
      </c>
      <c r="D98" s="50">
        <f>VLOOKUP($A98,'Data Vlaue (Cr)'!$C:$FB,143)</f>
        <v>7259.54</v>
      </c>
      <c r="E98" s="50">
        <f>VLOOKUP($A98,'Data Vlaue (Cr)'!$C:$FB,144)</f>
        <v>13792.85</v>
      </c>
      <c r="F98" s="50">
        <f>VLOOKUP($A98,'Data Vlaue (Cr)'!$C:$FB,146)*100</f>
        <v>-47.370000000000005</v>
      </c>
      <c r="G98" s="49">
        <f>VLOOKUP($A98,'Data Vlaue (Cr)'!$C:$FB,43)</f>
        <v>941</v>
      </c>
      <c r="H98" s="49">
        <f>VLOOKUP($A98,'Data Vlaue (Cr)'!$C:$FB,44)</f>
        <v>1447</v>
      </c>
      <c r="I98" s="49">
        <f>VLOOKUP($A98,'Data Vlaue (Cr)'!$C:$FB,46)*100</f>
        <v>-34.99</v>
      </c>
      <c r="J98" s="51">
        <f>VLOOKUP($A98,'Data Vlaue (Cr)'!$C:$FB,59)</f>
        <v>2826</v>
      </c>
      <c r="K98" s="51">
        <f>VLOOKUP($A98,'Data Vlaue (Cr)'!$C:$FB,60)</f>
        <v>6229</v>
      </c>
      <c r="L98" s="51">
        <f>VLOOKUP($A98,'Data Vlaue (Cr)'!$C:$FB,62)*100</f>
        <v>-54.64</v>
      </c>
      <c r="M98" s="51">
        <f>VLOOKUP($A98,'Data Vlaue (Cr)'!$C:$FB,63)</f>
        <v>3278</v>
      </c>
      <c r="N98" s="51">
        <f>VLOOKUP($A98,'Data Vlaue (Cr)'!$C:$FB,64)</f>
        <v>5299</v>
      </c>
      <c r="O98" s="51">
        <f>VLOOKUP($A98,'Data Vlaue (Cr)'!$C:$FB,66)*100</f>
        <v>-38.129999999999995</v>
      </c>
    </row>
    <row r="99" spans="1:15" x14ac:dyDescent="0.25">
      <c r="A99" s="101" t="str">
        <f>'Data Vlaue (Cr)'!C94</f>
        <v>INDUSINDBK</v>
      </c>
      <c r="B99" s="50">
        <f>VLOOKUP($A99,'Data Vlaue (Cr)'!$C:$FB,8)</f>
        <v>831.35</v>
      </c>
      <c r="C99" s="50">
        <f>VLOOKUP($A99,'Data Vlaue (Cr)'!$C:$FB,11)*100</f>
        <v>-5.2200000000000006</v>
      </c>
      <c r="D99" s="50">
        <f>VLOOKUP($A99,'Data Vlaue (Cr)'!$C:$FB,143)</f>
        <v>5189.2</v>
      </c>
      <c r="E99" s="50">
        <f>VLOOKUP($A99,'Data Vlaue (Cr)'!$C:$FB,144)</f>
        <v>1879.82</v>
      </c>
      <c r="F99" s="50">
        <f>VLOOKUP($A99,'Data Vlaue (Cr)'!$C:$FB,146)*100</f>
        <v>176.04999999999998</v>
      </c>
      <c r="G99" s="49">
        <f>VLOOKUP($A99,'Data Vlaue (Cr)'!$C:$FB,43)</f>
        <v>1237</v>
      </c>
      <c r="H99" s="49">
        <f>VLOOKUP($A99,'Data Vlaue (Cr)'!$C:$FB,44)</f>
        <v>581</v>
      </c>
      <c r="I99" s="49">
        <f>VLOOKUP($A99,'Data Vlaue (Cr)'!$C:$FB,46)*100</f>
        <v>112.75999999999999</v>
      </c>
      <c r="J99" s="51">
        <f>VLOOKUP($A99,'Data Vlaue (Cr)'!$C:$FB,59)</f>
        <v>1912</v>
      </c>
      <c r="K99" s="51">
        <f>VLOOKUP($A99,'Data Vlaue (Cr)'!$C:$FB,60)</f>
        <v>678</v>
      </c>
      <c r="L99" s="51">
        <f>VLOOKUP($A99,'Data Vlaue (Cr)'!$C:$FB,62)*100</f>
        <v>182.1</v>
      </c>
      <c r="M99" s="51">
        <f>VLOOKUP($A99,'Data Vlaue (Cr)'!$C:$FB,63)</f>
        <v>1817</v>
      </c>
      <c r="N99" s="51">
        <f>VLOOKUP($A99,'Data Vlaue (Cr)'!$C:$FB,64)</f>
        <v>451</v>
      </c>
      <c r="O99" s="51">
        <f>VLOOKUP($A99,'Data Vlaue (Cr)'!$C:$FB,66)*100</f>
        <v>303.14999999999998</v>
      </c>
    </row>
    <row r="100" spans="1:15" x14ac:dyDescent="0.25">
      <c r="A100" s="101" t="str">
        <f>'Data Vlaue (Cr)'!C95</f>
        <v>INDUSTOWER</v>
      </c>
      <c r="B100" s="50">
        <f>VLOOKUP($A100,'Data Vlaue (Cr)'!$C:$FB,8)</f>
        <v>442.05</v>
      </c>
      <c r="C100" s="50">
        <f>VLOOKUP($A100,'Data Vlaue (Cr)'!$C:$FB,11)*100</f>
        <v>0.75</v>
      </c>
      <c r="D100" s="50">
        <f>VLOOKUP($A100,'Data Vlaue (Cr)'!$C:$FB,143)</f>
        <v>1943.43</v>
      </c>
      <c r="E100" s="50">
        <f>VLOOKUP($A100,'Data Vlaue (Cr)'!$C:$FB,144)</f>
        <v>833.6</v>
      </c>
      <c r="F100" s="50">
        <f>VLOOKUP($A100,'Data Vlaue (Cr)'!$C:$FB,146)*100</f>
        <v>133.13999999999999</v>
      </c>
      <c r="G100" s="49">
        <f>VLOOKUP($A100,'Data Vlaue (Cr)'!$C:$FB,43)</f>
        <v>487</v>
      </c>
      <c r="H100" s="49">
        <f>VLOOKUP($A100,'Data Vlaue (Cr)'!$C:$FB,44)</f>
        <v>255</v>
      </c>
      <c r="I100" s="49">
        <f>VLOOKUP($A100,'Data Vlaue (Cr)'!$C:$FB,46)*100</f>
        <v>90.84</v>
      </c>
      <c r="J100" s="51">
        <f>VLOOKUP($A100,'Data Vlaue (Cr)'!$C:$FB,59)</f>
        <v>886</v>
      </c>
      <c r="K100" s="51">
        <f>VLOOKUP($A100,'Data Vlaue (Cr)'!$C:$FB,60)</f>
        <v>385</v>
      </c>
      <c r="L100" s="51">
        <f>VLOOKUP($A100,'Data Vlaue (Cr)'!$C:$FB,62)*100</f>
        <v>130.01</v>
      </c>
      <c r="M100" s="51">
        <f>VLOOKUP($A100,'Data Vlaue (Cr)'!$C:$FB,63)</f>
        <v>528</v>
      </c>
      <c r="N100" s="51">
        <f>VLOOKUP($A100,'Data Vlaue (Cr)'!$C:$FB,64)</f>
        <v>167</v>
      </c>
      <c r="O100" s="51">
        <f>VLOOKUP($A100,'Data Vlaue (Cr)'!$C:$FB,66)*100</f>
        <v>216.44</v>
      </c>
    </row>
    <row r="101" spans="1:15" x14ac:dyDescent="0.25">
      <c r="A101" s="101" t="str">
        <f>'Data Vlaue (Cr)'!C96</f>
        <v>INFY</v>
      </c>
      <c r="B101" s="50">
        <f>VLOOKUP($A101,'Data Vlaue (Cr)'!$C:$FB,8)</f>
        <v>1265.8</v>
      </c>
      <c r="C101" s="50">
        <f>VLOOKUP($A101,'Data Vlaue (Cr)'!$C:$FB,11)*100</f>
        <v>-0.82000000000000006</v>
      </c>
      <c r="D101" s="50">
        <f>VLOOKUP($A101,'Data Vlaue (Cr)'!$C:$FB,143)</f>
        <v>7112.75</v>
      </c>
      <c r="E101" s="50">
        <f>VLOOKUP($A101,'Data Vlaue (Cr)'!$C:$FB,144)</f>
        <v>6184.93</v>
      </c>
      <c r="F101" s="50">
        <f>VLOOKUP($A101,'Data Vlaue (Cr)'!$C:$FB,146)*100</f>
        <v>15</v>
      </c>
      <c r="G101" s="49">
        <f>VLOOKUP($A101,'Data Vlaue (Cr)'!$C:$FB,43)</f>
        <v>1433</v>
      </c>
      <c r="H101" s="49">
        <f>VLOOKUP($A101,'Data Vlaue (Cr)'!$C:$FB,44)</f>
        <v>1069</v>
      </c>
      <c r="I101" s="49">
        <f>VLOOKUP($A101,'Data Vlaue (Cr)'!$C:$FB,46)*100</f>
        <v>34.020000000000003</v>
      </c>
      <c r="J101" s="51">
        <f>VLOOKUP($A101,'Data Vlaue (Cr)'!$C:$FB,59)</f>
        <v>3532</v>
      </c>
      <c r="K101" s="51">
        <f>VLOOKUP($A101,'Data Vlaue (Cr)'!$C:$FB,60)</f>
        <v>3043</v>
      </c>
      <c r="L101" s="51">
        <f>VLOOKUP($A101,'Data Vlaue (Cr)'!$C:$FB,62)*100</f>
        <v>16.09</v>
      </c>
      <c r="M101" s="51">
        <f>VLOOKUP($A101,'Data Vlaue (Cr)'!$C:$FB,63)</f>
        <v>1846</v>
      </c>
      <c r="N101" s="51">
        <f>VLOOKUP($A101,'Data Vlaue (Cr)'!$C:$FB,64)</f>
        <v>1782</v>
      </c>
      <c r="O101" s="51">
        <f>VLOOKUP($A101,'Data Vlaue (Cr)'!$C:$FB,66)*100</f>
        <v>3.5900000000000003</v>
      </c>
    </row>
    <row r="102" spans="1:15" x14ac:dyDescent="0.25">
      <c r="A102" s="101" t="str">
        <f>'Data Vlaue (Cr)'!C97</f>
        <v>INOXWIND</v>
      </c>
      <c r="B102" s="50">
        <f>VLOOKUP($A102,'Data Vlaue (Cr)'!$C:$FB,8)</f>
        <v>83.68</v>
      </c>
      <c r="C102" s="50">
        <f>VLOOKUP($A102,'Data Vlaue (Cr)'!$C:$FB,11)*100</f>
        <v>1.73</v>
      </c>
      <c r="D102" s="50">
        <f>VLOOKUP($A102,'Data Vlaue (Cr)'!$C:$FB,143)</f>
        <v>778.9</v>
      </c>
      <c r="E102" s="50">
        <f>VLOOKUP($A102,'Data Vlaue (Cr)'!$C:$FB,144)</f>
        <v>371.06</v>
      </c>
      <c r="F102" s="50">
        <f>VLOOKUP($A102,'Data Vlaue (Cr)'!$C:$FB,146)*100</f>
        <v>109.91</v>
      </c>
      <c r="G102" s="49">
        <f>VLOOKUP($A102,'Data Vlaue (Cr)'!$C:$FB,43)</f>
        <v>169</v>
      </c>
      <c r="H102" s="49">
        <f>VLOOKUP($A102,'Data Vlaue (Cr)'!$C:$FB,44)</f>
        <v>85</v>
      </c>
      <c r="I102" s="49">
        <f>VLOOKUP($A102,'Data Vlaue (Cr)'!$C:$FB,46)*100</f>
        <v>97.82</v>
      </c>
      <c r="J102" s="51">
        <f>VLOOKUP($A102,'Data Vlaue (Cr)'!$C:$FB,59)</f>
        <v>454</v>
      </c>
      <c r="K102" s="51">
        <f>VLOOKUP($A102,'Data Vlaue (Cr)'!$C:$FB,60)</f>
        <v>201</v>
      </c>
      <c r="L102" s="51">
        <f>VLOOKUP($A102,'Data Vlaue (Cr)'!$C:$FB,62)*100</f>
        <v>125.82</v>
      </c>
      <c r="M102" s="51">
        <f>VLOOKUP($A102,'Data Vlaue (Cr)'!$C:$FB,63)</f>
        <v>99</v>
      </c>
      <c r="N102" s="51">
        <f>VLOOKUP($A102,'Data Vlaue (Cr)'!$C:$FB,64)</f>
        <v>63</v>
      </c>
      <c r="O102" s="51">
        <f>VLOOKUP($A102,'Data Vlaue (Cr)'!$C:$FB,66)*100</f>
        <v>56.68</v>
      </c>
    </row>
    <row r="103" spans="1:15" x14ac:dyDescent="0.25">
      <c r="A103" s="101" t="str">
        <f>'Data Vlaue (Cr)'!C98</f>
        <v>IOC</v>
      </c>
      <c r="B103" s="50">
        <f>VLOOKUP($A103,'Data Vlaue (Cr)'!$C:$FB,8)</f>
        <v>160.16</v>
      </c>
      <c r="C103" s="50">
        <f>VLOOKUP($A103,'Data Vlaue (Cr)'!$C:$FB,11)*100</f>
        <v>-0.28999999999999998</v>
      </c>
      <c r="D103" s="50">
        <f>VLOOKUP($A103,'Data Vlaue (Cr)'!$C:$FB,143)</f>
        <v>2289.7800000000002</v>
      </c>
      <c r="E103" s="50">
        <f>VLOOKUP($A103,'Data Vlaue (Cr)'!$C:$FB,144)</f>
        <v>1973.98</v>
      </c>
      <c r="F103" s="50">
        <f>VLOOKUP($A103,'Data Vlaue (Cr)'!$C:$FB,146)*100</f>
        <v>16</v>
      </c>
      <c r="G103" s="49">
        <f>VLOOKUP($A103,'Data Vlaue (Cr)'!$C:$FB,43)</f>
        <v>377</v>
      </c>
      <c r="H103" s="49">
        <f>VLOOKUP($A103,'Data Vlaue (Cr)'!$C:$FB,44)</f>
        <v>403</v>
      </c>
      <c r="I103" s="49">
        <f>VLOOKUP($A103,'Data Vlaue (Cr)'!$C:$FB,46)*100</f>
        <v>-6.41</v>
      </c>
      <c r="J103" s="51">
        <f>VLOOKUP($A103,'Data Vlaue (Cr)'!$C:$FB,59)</f>
        <v>932</v>
      </c>
      <c r="K103" s="51">
        <f>VLOOKUP($A103,'Data Vlaue (Cr)'!$C:$FB,60)</f>
        <v>781</v>
      </c>
      <c r="L103" s="51">
        <f>VLOOKUP($A103,'Data Vlaue (Cr)'!$C:$FB,62)*100</f>
        <v>19.25</v>
      </c>
      <c r="M103" s="51">
        <f>VLOOKUP($A103,'Data Vlaue (Cr)'!$C:$FB,63)</f>
        <v>937</v>
      </c>
      <c r="N103" s="51">
        <f>VLOOKUP($A103,'Data Vlaue (Cr)'!$C:$FB,64)</f>
        <v>732</v>
      </c>
      <c r="O103" s="51">
        <f>VLOOKUP($A103,'Data Vlaue (Cr)'!$C:$FB,66)*100</f>
        <v>27.98</v>
      </c>
    </row>
    <row r="104" spans="1:15" x14ac:dyDescent="0.25">
      <c r="A104" s="101" t="str">
        <f>'Data Vlaue (Cr)'!C99</f>
        <v>IREDA</v>
      </c>
      <c r="B104" s="50">
        <f>VLOOKUP($A104,'Data Vlaue (Cr)'!$C:$FB,8)</f>
        <v>117.03</v>
      </c>
      <c r="C104" s="50">
        <f>VLOOKUP($A104,'Data Vlaue (Cr)'!$C:$FB,11)*100</f>
        <v>1.94</v>
      </c>
      <c r="D104" s="50">
        <f>VLOOKUP($A104,'Data Vlaue (Cr)'!$C:$FB,143)</f>
        <v>367.52</v>
      </c>
      <c r="E104" s="50">
        <f>VLOOKUP($A104,'Data Vlaue (Cr)'!$C:$FB,144)</f>
        <v>225.49</v>
      </c>
      <c r="F104" s="50">
        <f>VLOOKUP($A104,'Data Vlaue (Cr)'!$C:$FB,146)*100</f>
        <v>62.980000000000004</v>
      </c>
      <c r="G104" s="49">
        <f>VLOOKUP($A104,'Data Vlaue (Cr)'!$C:$FB,43)</f>
        <v>113</v>
      </c>
      <c r="H104" s="49">
        <f>VLOOKUP($A104,'Data Vlaue (Cr)'!$C:$FB,44)</f>
        <v>76</v>
      </c>
      <c r="I104" s="49">
        <f>VLOOKUP($A104,'Data Vlaue (Cr)'!$C:$FB,46)*100</f>
        <v>49.309999999999995</v>
      </c>
      <c r="J104" s="51">
        <f>VLOOKUP($A104,'Data Vlaue (Cr)'!$C:$FB,59)</f>
        <v>197</v>
      </c>
      <c r="K104" s="51">
        <f>VLOOKUP($A104,'Data Vlaue (Cr)'!$C:$FB,60)</f>
        <v>111</v>
      </c>
      <c r="L104" s="51">
        <f>VLOOKUP($A104,'Data Vlaue (Cr)'!$C:$FB,62)*100</f>
        <v>77.42</v>
      </c>
      <c r="M104" s="51">
        <f>VLOOKUP($A104,'Data Vlaue (Cr)'!$C:$FB,63)</f>
        <v>44</v>
      </c>
      <c r="N104" s="51">
        <f>VLOOKUP($A104,'Data Vlaue (Cr)'!$C:$FB,64)</f>
        <v>30</v>
      </c>
      <c r="O104" s="51">
        <f>VLOOKUP($A104,'Data Vlaue (Cr)'!$C:$FB,66)*100</f>
        <v>46.64</v>
      </c>
    </row>
    <row r="105" spans="1:15" x14ac:dyDescent="0.25">
      <c r="A105" s="101" t="str">
        <f>'Data Vlaue (Cr)'!C100</f>
        <v>IRFC</v>
      </c>
      <c r="B105" s="50">
        <f>VLOOKUP($A105,'Data Vlaue (Cr)'!$C:$FB,8)</f>
        <v>99.92</v>
      </c>
      <c r="C105" s="50">
        <f>VLOOKUP($A105,'Data Vlaue (Cr)'!$C:$FB,11)*100</f>
        <v>0.67999999999999994</v>
      </c>
      <c r="D105" s="50">
        <f>VLOOKUP($A105,'Data Vlaue (Cr)'!$C:$FB,143)</f>
        <v>749.4</v>
      </c>
      <c r="E105" s="50">
        <f>VLOOKUP($A105,'Data Vlaue (Cr)'!$C:$FB,144)</f>
        <v>622.37</v>
      </c>
      <c r="F105" s="50">
        <f>VLOOKUP($A105,'Data Vlaue (Cr)'!$C:$FB,146)*100</f>
        <v>20.41</v>
      </c>
      <c r="G105" s="49">
        <f>VLOOKUP($A105,'Data Vlaue (Cr)'!$C:$FB,43)</f>
        <v>137</v>
      </c>
      <c r="H105" s="49">
        <f>VLOOKUP($A105,'Data Vlaue (Cr)'!$C:$FB,44)</f>
        <v>112</v>
      </c>
      <c r="I105" s="49">
        <f>VLOOKUP($A105,'Data Vlaue (Cr)'!$C:$FB,46)*100</f>
        <v>21.990000000000002</v>
      </c>
      <c r="J105" s="51">
        <f>VLOOKUP($A105,'Data Vlaue (Cr)'!$C:$FB,59)</f>
        <v>438</v>
      </c>
      <c r="K105" s="51">
        <f>VLOOKUP($A105,'Data Vlaue (Cr)'!$C:$FB,60)</f>
        <v>357</v>
      </c>
      <c r="L105" s="51">
        <f>VLOOKUP($A105,'Data Vlaue (Cr)'!$C:$FB,62)*100</f>
        <v>22.56</v>
      </c>
      <c r="M105" s="51">
        <f>VLOOKUP($A105,'Data Vlaue (Cr)'!$C:$FB,63)</f>
        <v>147</v>
      </c>
      <c r="N105" s="51">
        <f>VLOOKUP($A105,'Data Vlaue (Cr)'!$C:$FB,64)</f>
        <v>125</v>
      </c>
      <c r="O105" s="51">
        <f>VLOOKUP($A105,'Data Vlaue (Cr)'!$C:$FB,66)*100</f>
        <v>17.97</v>
      </c>
    </row>
    <row r="106" spans="1:15" x14ac:dyDescent="0.25">
      <c r="A106" s="101" t="str">
        <f>'Data Vlaue (Cr)'!C101</f>
        <v>ITC</v>
      </c>
      <c r="B106" s="50">
        <f>VLOOKUP($A106,'Data Vlaue (Cr)'!$C:$FB,8)</f>
        <v>304.10000000000002</v>
      </c>
      <c r="C106" s="50">
        <f>VLOOKUP($A106,'Data Vlaue (Cr)'!$C:$FB,11)*100</f>
        <v>-1.59</v>
      </c>
      <c r="D106" s="50">
        <f>VLOOKUP($A106,'Data Vlaue (Cr)'!$C:$FB,143)</f>
        <v>3508.54</v>
      </c>
      <c r="E106" s="50">
        <f>VLOOKUP($A106,'Data Vlaue (Cr)'!$C:$FB,144)</f>
        <v>2324.91</v>
      </c>
      <c r="F106" s="50">
        <f>VLOOKUP($A106,'Data Vlaue (Cr)'!$C:$FB,146)*100</f>
        <v>50.91</v>
      </c>
      <c r="G106" s="49">
        <f>VLOOKUP($A106,'Data Vlaue (Cr)'!$C:$FB,43)</f>
        <v>446</v>
      </c>
      <c r="H106" s="49">
        <f>VLOOKUP($A106,'Data Vlaue (Cr)'!$C:$FB,44)</f>
        <v>335</v>
      </c>
      <c r="I106" s="49">
        <f>VLOOKUP($A106,'Data Vlaue (Cr)'!$C:$FB,46)*100</f>
        <v>33.21</v>
      </c>
      <c r="J106" s="51">
        <f>VLOOKUP($A106,'Data Vlaue (Cr)'!$C:$FB,59)</f>
        <v>2158</v>
      </c>
      <c r="K106" s="51">
        <f>VLOOKUP($A106,'Data Vlaue (Cr)'!$C:$FB,60)</f>
        <v>1331</v>
      </c>
      <c r="L106" s="51">
        <f>VLOOKUP($A106,'Data Vlaue (Cr)'!$C:$FB,62)*100</f>
        <v>62.1</v>
      </c>
      <c r="M106" s="51">
        <f>VLOOKUP($A106,'Data Vlaue (Cr)'!$C:$FB,63)</f>
        <v>752</v>
      </c>
      <c r="N106" s="51">
        <f>VLOOKUP($A106,'Data Vlaue (Cr)'!$C:$FB,64)</f>
        <v>554</v>
      </c>
      <c r="O106" s="51">
        <f>VLOOKUP($A106,'Data Vlaue (Cr)'!$C:$FB,66)*100</f>
        <v>35.76</v>
      </c>
    </row>
    <row r="107" spans="1:15" x14ac:dyDescent="0.25">
      <c r="A107" s="101" t="str">
        <f>'Data Vlaue (Cr)'!C102</f>
        <v>JINDALSTEL</v>
      </c>
      <c r="B107" s="50">
        <f>VLOOKUP($A107,'Data Vlaue (Cr)'!$C:$FB,8)</f>
        <v>1225</v>
      </c>
      <c r="C107" s="50">
        <f>VLOOKUP($A107,'Data Vlaue (Cr)'!$C:$FB,11)*100</f>
        <v>3.2</v>
      </c>
      <c r="D107" s="50">
        <f>VLOOKUP($A107,'Data Vlaue (Cr)'!$C:$FB,143)</f>
        <v>1784.44</v>
      </c>
      <c r="E107" s="50">
        <f>VLOOKUP($A107,'Data Vlaue (Cr)'!$C:$FB,144)</f>
        <v>1102.8599999999999</v>
      </c>
      <c r="F107" s="50">
        <f>VLOOKUP($A107,'Data Vlaue (Cr)'!$C:$FB,146)*100</f>
        <v>61.8</v>
      </c>
      <c r="G107" s="49">
        <f>VLOOKUP($A107,'Data Vlaue (Cr)'!$C:$FB,43)</f>
        <v>375</v>
      </c>
      <c r="H107" s="49">
        <f>VLOOKUP($A107,'Data Vlaue (Cr)'!$C:$FB,44)</f>
        <v>221</v>
      </c>
      <c r="I107" s="49">
        <f>VLOOKUP($A107,'Data Vlaue (Cr)'!$C:$FB,46)*100</f>
        <v>69.5</v>
      </c>
      <c r="J107" s="51">
        <f>VLOOKUP($A107,'Data Vlaue (Cr)'!$C:$FB,59)</f>
        <v>877</v>
      </c>
      <c r="K107" s="51">
        <f>VLOOKUP($A107,'Data Vlaue (Cr)'!$C:$FB,60)</f>
        <v>544</v>
      </c>
      <c r="L107" s="51">
        <f>VLOOKUP($A107,'Data Vlaue (Cr)'!$C:$FB,62)*100</f>
        <v>61.09</v>
      </c>
      <c r="M107" s="51">
        <f>VLOOKUP($A107,'Data Vlaue (Cr)'!$C:$FB,63)</f>
        <v>533</v>
      </c>
      <c r="N107" s="51">
        <f>VLOOKUP($A107,'Data Vlaue (Cr)'!$C:$FB,64)</f>
        <v>348</v>
      </c>
      <c r="O107" s="51">
        <f>VLOOKUP($A107,'Data Vlaue (Cr)'!$C:$FB,66)*100</f>
        <v>53.39</v>
      </c>
    </row>
    <row r="108" spans="1:15" x14ac:dyDescent="0.25">
      <c r="A108" s="101" t="str">
        <f>'Data Vlaue (Cr)'!C103</f>
        <v>JIOFIN</v>
      </c>
      <c r="B108" s="50">
        <f>VLOOKUP($A108,'Data Vlaue (Cr)'!$C:$FB,8)</f>
        <v>242.2</v>
      </c>
      <c r="C108" s="50">
        <f>VLOOKUP($A108,'Data Vlaue (Cr)'!$C:$FB,11)*100</f>
        <v>1.47</v>
      </c>
      <c r="D108" s="50">
        <f>VLOOKUP($A108,'Data Vlaue (Cr)'!$C:$FB,143)</f>
        <v>2537.2199999999998</v>
      </c>
      <c r="E108" s="50">
        <f>VLOOKUP($A108,'Data Vlaue (Cr)'!$C:$FB,144)</f>
        <v>2957.86</v>
      </c>
      <c r="F108" s="50">
        <f>VLOOKUP($A108,'Data Vlaue (Cr)'!$C:$FB,146)*100</f>
        <v>-14.219999999999999</v>
      </c>
      <c r="G108" s="49">
        <f>VLOOKUP($A108,'Data Vlaue (Cr)'!$C:$FB,43)</f>
        <v>454</v>
      </c>
      <c r="H108" s="49">
        <f>VLOOKUP($A108,'Data Vlaue (Cr)'!$C:$FB,44)</f>
        <v>526</v>
      </c>
      <c r="I108" s="49">
        <f>VLOOKUP($A108,'Data Vlaue (Cr)'!$C:$FB,46)*100</f>
        <v>-13.750000000000002</v>
      </c>
      <c r="J108" s="51">
        <f>VLOOKUP($A108,'Data Vlaue (Cr)'!$C:$FB,59)</f>
        <v>1505</v>
      </c>
      <c r="K108" s="51">
        <f>VLOOKUP($A108,'Data Vlaue (Cr)'!$C:$FB,60)</f>
        <v>1734</v>
      </c>
      <c r="L108" s="51">
        <f>VLOOKUP($A108,'Data Vlaue (Cr)'!$C:$FB,62)*100</f>
        <v>-13.18</v>
      </c>
      <c r="M108" s="51">
        <f>VLOOKUP($A108,'Data Vlaue (Cr)'!$C:$FB,63)</f>
        <v>492</v>
      </c>
      <c r="N108" s="51">
        <f>VLOOKUP($A108,'Data Vlaue (Cr)'!$C:$FB,64)</f>
        <v>602</v>
      </c>
      <c r="O108" s="51">
        <f>VLOOKUP($A108,'Data Vlaue (Cr)'!$C:$FB,66)*100</f>
        <v>-18.170000000000002</v>
      </c>
    </row>
    <row r="109" spans="1:15" x14ac:dyDescent="0.25">
      <c r="A109" s="101" t="str">
        <f>'Data Vlaue (Cr)'!C104</f>
        <v>JSWENERGY</v>
      </c>
      <c r="B109" s="50">
        <f>VLOOKUP($A109,'Data Vlaue (Cr)'!$C:$FB,8)</f>
        <v>518.29999999999995</v>
      </c>
      <c r="C109" s="50">
        <f>VLOOKUP($A109,'Data Vlaue (Cr)'!$C:$FB,11)*100</f>
        <v>6.21</v>
      </c>
      <c r="D109" s="50">
        <f>VLOOKUP($A109,'Data Vlaue (Cr)'!$C:$FB,143)</f>
        <v>5909.56</v>
      </c>
      <c r="E109" s="50">
        <f>VLOOKUP($A109,'Data Vlaue (Cr)'!$C:$FB,144)</f>
        <v>423.35</v>
      </c>
      <c r="F109" s="50">
        <f>VLOOKUP($A109,'Data Vlaue (Cr)'!$C:$FB,146)*100</f>
        <v>1295.8899999999999</v>
      </c>
      <c r="G109" s="49">
        <f>VLOOKUP($A109,'Data Vlaue (Cr)'!$C:$FB,43)</f>
        <v>670</v>
      </c>
      <c r="H109" s="49">
        <f>VLOOKUP($A109,'Data Vlaue (Cr)'!$C:$FB,44)</f>
        <v>115</v>
      </c>
      <c r="I109" s="49">
        <f>VLOOKUP($A109,'Data Vlaue (Cr)'!$C:$FB,46)*100</f>
        <v>484.75</v>
      </c>
      <c r="J109" s="51">
        <f>VLOOKUP($A109,'Data Vlaue (Cr)'!$C:$FB,59)</f>
        <v>4029</v>
      </c>
      <c r="K109" s="51">
        <f>VLOOKUP($A109,'Data Vlaue (Cr)'!$C:$FB,60)</f>
        <v>234</v>
      </c>
      <c r="L109" s="51">
        <f>VLOOKUP($A109,'Data Vlaue (Cr)'!$C:$FB,62)*100</f>
        <v>1623.2199999999998</v>
      </c>
      <c r="M109" s="51">
        <f>VLOOKUP($A109,'Data Vlaue (Cr)'!$C:$FB,63)</f>
        <v>1089</v>
      </c>
      <c r="N109" s="51">
        <f>VLOOKUP($A109,'Data Vlaue (Cr)'!$C:$FB,64)</f>
        <v>89</v>
      </c>
      <c r="O109" s="51">
        <f>VLOOKUP($A109,'Data Vlaue (Cr)'!$C:$FB,66)*100</f>
        <v>1121.47</v>
      </c>
    </row>
    <row r="110" spans="1:15" x14ac:dyDescent="0.25">
      <c r="A110" s="101" t="str">
        <f>'Data Vlaue (Cr)'!C105</f>
        <v>JSWSTEEL</v>
      </c>
      <c r="B110" s="50">
        <f>VLOOKUP($A110,'Data Vlaue (Cr)'!$C:$FB,8)</f>
        <v>1172.5999999999999</v>
      </c>
      <c r="C110" s="50">
        <f>VLOOKUP($A110,'Data Vlaue (Cr)'!$C:$FB,11)*100</f>
        <v>-0.53</v>
      </c>
      <c r="D110" s="50">
        <f>VLOOKUP($A110,'Data Vlaue (Cr)'!$C:$FB,143)</f>
        <v>1582.31</v>
      </c>
      <c r="E110" s="50">
        <f>VLOOKUP($A110,'Data Vlaue (Cr)'!$C:$FB,144)</f>
        <v>1917.78</v>
      </c>
      <c r="F110" s="50">
        <f>VLOOKUP($A110,'Data Vlaue (Cr)'!$C:$FB,146)*100</f>
        <v>-17.489999999999998</v>
      </c>
      <c r="G110" s="49">
        <f>VLOOKUP($A110,'Data Vlaue (Cr)'!$C:$FB,43)</f>
        <v>514</v>
      </c>
      <c r="H110" s="49">
        <f>VLOOKUP($A110,'Data Vlaue (Cr)'!$C:$FB,44)</f>
        <v>626</v>
      </c>
      <c r="I110" s="49">
        <f>VLOOKUP($A110,'Data Vlaue (Cr)'!$C:$FB,46)*100</f>
        <v>-17.84</v>
      </c>
      <c r="J110" s="51">
        <f>VLOOKUP($A110,'Data Vlaue (Cr)'!$C:$FB,59)</f>
        <v>653</v>
      </c>
      <c r="K110" s="51">
        <f>VLOOKUP($A110,'Data Vlaue (Cr)'!$C:$FB,60)</f>
        <v>683</v>
      </c>
      <c r="L110" s="51">
        <f>VLOOKUP($A110,'Data Vlaue (Cr)'!$C:$FB,62)*100</f>
        <v>-4.41</v>
      </c>
      <c r="M110" s="51">
        <f>VLOOKUP($A110,'Data Vlaue (Cr)'!$C:$FB,63)</f>
        <v>367</v>
      </c>
      <c r="N110" s="51">
        <f>VLOOKUP($A110,'Data Vlaue (Cr)'!$C:$FB,64)</f>
        <v>530</v>
      </c>
      <c r="O110" s="51">
        <f>VLOOKUP($A110,'Data Vlaue (Cr)'!$C:$FB,66)*100</f>
        <v>-30.78</v>
      </c>
    </row>
    <row r="111" spans="1:15" x14ac:dyDescent="0.25">
      <c r="A111" s="101" t="str">
        <f>'Data Vlaue (Cr)'!C106</f>
        <v>JUBLFOOD</v>
      </c>
      <c r="B111" s="50">
        <f>VLOOKUP($A111,'Data Vlaue (Cr)'!$C:$FB,8)</f>
        <v>461.75</v>
      </c>
      <c r="C111" s="50">
        <f>VLOOKUP($A111,'Data Vlaue (Cr)'!$C:$FB,11)*100</f>
        <v>-2.4299999999999997</v>
      </c>
      <c r="D111" s="50">
        <f>VLOOKUP($A111,'Data Vlaue (Cr)'!$C:$FB,143)</f>
        <v>1811.67</v>
      </c>
      <c r="E111" s="50">
        <f>VLOOKUP($A111,'Data Vlaue (Cr)'!$C:$FB,144)</f>
        <v>1069.9000000000001</v>
      </c>
      <c r="F111" s="50">
        <f>VLOOKUP($A111,'Data Vlaue (Cr)'!$C:$FB,146)*100</f>
        <v>69.33</v>
      </c>
      <c r="G111" s="49">
        <f>VLOOKUP($A111,'Data Vlaue (Cr)'!$C:$FB,43)</f>
        <v>444</v>
      </c>
      <c r="H111" s="49">
        <f>VLOOKUP($A111,'Data Vlaue (Cr)'!$C:$FB,44)</f>
        <v>261</v>
      </c>
      <c r="I111" s="49">
        <f>VLOOKUP($A111,'Data Vlaue (Cr)'!$C:$FB,46)*100</f>
        <v>70.12</v>
      </c>
      <c r="J111" s="51">
        <f>VLOOKUP($A111,'Data Vlaue (Cr)'!$C:$FB,59)</f>
        <v>579</v>
      </c>
      <c r="K111" s="51">
        <f>VLOOKUP($A111,'Data Vlaue (Cr)'!$C:$FB,60)</f>
        <v>348</v>
      </c>
      <c r="L111" s="51">
        <f>VLOOKUP($A111,'Data Vlaue (Cr)'!$C:$FB,62)*100</f>
        <v>66.679999999999993</v>
      </c>
      <c r="M111" s="51">
        <f>VLOOKUP($A111,'Data Vlaue (Cr)'!$C:$FB,63)</f>
        <v>745</v>
      </c>
      <c r="N111" s="51">
        <f>VLOOKUP($A111,'Data Vlaue (Cr)'!$C:$FB,64)</f>
        <v>402</v>
      </c>
      <c r="O111" s="51">
        <f>VLOOKUP($A111,'Data Vlaue (Cr)'!$C:$FB,66)*100</f>
        <v>85.399999999999991</v>
      </c>
    </row>
    <row r="112" spans="1:15" x14ac:dyDescent="0.25">
      <c r="A112" s="101" t="str">
        <f>'Data Vlaue (Cr)'!C107</f>
        <v>KALYANKJIL</v>
      </c>
      <c r="B112" s="50">
        <f>VLOOKUP($A112,'Data Vlaue (Cr)'!$C:$FB,8)</f>
        <v>389.95</v>
      </c>
      <c r="C112" s="50">
        <f>VLOOKUP($A112,'Data Vlaue (Cr)'!$C:$FB,11)*100</f>
        <v>-0.13999999999999999</v>
      </c>
      <c r="D112" s="50">
        <f>VLOOKUP($A112,'Data Vlaue (Cr)'!$C:$FB,143)</f>
        <v>609.35</v>
      </c>
      <c r="E112" s="50">
        <f>VLOOKUP($A112,'Data Vlaue (Cr)'!$C:$FB,144)</f>
        <v>686.76</v>
      </c>
      <c r="F112" s="50">
        <f>VLOOKUP($A112,'Data Vlaue (Cr)'!$C:$FB,146)*100</f>
        <v>-11.27</v>
      </c>
      <c r="G112" s="49">
        <f>VLOOKUP($A112,'Data Vlaue (Cr)'!$C:$FB,43)</f>
        <v>129</v>
      </c>
      <c r="H112" s="49">
        <f>VLOOKUP($A112,'Data Vlaue (Cr)'!$C:$FB,44)</f>
        <v>114</v>
      </c>
      <c r="I112" s="49">
        <f>VLOOKUP($A112,'Data Vlaue (Cr)'!$C:$FB,46)*100</f>
        <v>12.920000000000002</v>
      </c>
      <c r="J112" s="51">
        <f>VLOOKUP($A112,'Data Vlaue (Cr)'!$C:$FB,59)</f>
        <v>295</v>
      </c>
      <c r="K112" s="51">
        <f>VLOOKUP($A112,'Data Vlaue (Cr)'!$C:$FB,60)</f>
        <v>384</v>
      </c>
      <c r="L112" s="51">
        <f>VLOOKUP($A112,'Data Vlaue (Cr)'!$C:$FB,62)*100</f>
        <v>-23.18</v>
      </c>
      <c r="M112" s="51">
        <f>VLOOKUP($A112,'Data Vlaue (Cr)'!$C:$FB,63)</f>
        <v>167</v>
      </c>
      <c r="N112" s="51">
        <f>VLOOKUP($A112,'Data Vlaue (Cr)'!$C:$FB,64)</f>
        <v>150</v>
      </c>
      <c r="O112" s="51">
        <f>VLOOKUP($A112,'Data Vlaue (Cr)'!$C:$FB,66)*100</f>
        <v>10.9</v>
      </c>
    </row>
    <row r="113" spans="1:15" x14ac:dyDescent="0.25">
      <c r="A113" s="101" t="str">
        <f>'Data Vlaue (Cr)'!C108</f>
        <v>KAYNES</v>
      </c>
      <c r="B113" s="50">
        <f>VLOOKUP($A113,'Data Vlaue (Cr)'!$C:$FB,8)</f>
        <v>3700.3</v>
      </c>
      <c r="C113" s="50">
        <f>VLOOKUP($A113,'Data Vlaue (Cr)'!$C:$FB,11)*100</f>
        <v>-0.69</v>
      </c>
      <c r="D113" s="50">
        <f>VLOOKUP($A113,'Data Vlaue (Cr)'!$C:$FB,143)</f>
        <v>2040.07</v>
      </c>
      <c r="E113" s="50">
        <f>VLOOKUP($A113,'Data Vlaue (Cr)'!$C:$FB,144)</f>
        <v>2564.21</v>
      </c>
      <c r="F113" s="50">
        <f>VLOOKUP($A113,'Data Vlaue (Cr)'!$C:$FB,146)*100</f>
        <v>-20.440000000000001</v>
      </c>
      <c r="G113" s="49">
        <f>VLOOKUP($A113,'Data Vlaue (Cr)'!$C:$FB,43)</f>
        <v>354</v>
      </c>
      <c r="H113" s="49">
        <f>VLOOKUP($A113,'Data Vlaue (Cr)'!$C:$FB,44)</f>
        <v>357</v>
      </c>
      <c r="I113" s="49">
        <f>VLOOKUP($A113,'Data Vlaue (Cr)'!$C:$FB,46)*100</f>
        <v>-0.77999999999999992</v>
      </c>
      <c r="J113" s="51">
        <f>VLOOKUP($A113,'Data Vlaue (Cr)'!$C:$FB,59)</f>
        <v>1190</v>
      </c>
      <c r="K113" s="51">
        <f>VLOOKUP($A113,'Data Vlaue (Cr)'!$C:$FB,60)</f>
        <v>1604</v>
      </c>
      <c r="L113" s="51">
        <f>VLOOKUP($A113,'Data Vlaue (Cr)'!$C:$FB,62)*100</f>
        <v>-25.8</v>
      </c>
      <c r="M113" s="51">
        <f>VLOOKUP($A113,'Data Vlaue (Cr)'!$C:$FB,63)</f>
        <v>402</v>
      </c>
      <c r="N113" s="51">
        <f>VLOOKUP($A113,'Data Vlaue (Cr)'!$C:$FB,64)</f>
        <v>396</v>
      </c>
      <c r="O113" s="51">
        <f>VLOOKUP($A113,'Data Vlaue (Cr)'!$C:$FB,66)*100</f>
        <v>1.47</v>
      </c>
    </row>
    <row r="114" spans="1:15" x14ac:dyDescent="0.25">
      <c r="A114" s="101" t="str">
        <f>'Data Vlaue (Cr)'!C109</f>
        <v>KEI</v>
      </c>
      <c r="B114" s="50">
        <f>VLOOKUP($A114,'Data Vlaue (Cr)'!$C:$FB,8)</f>
        <v>4330</v>
      </c>
      <c r="C114" s="50">
        <f>VLOOKUP($A114,'Data Vlaue (Cr)'!$C:$FB,11)*100</f>
        <v>0.21</v>
      </c>
      <c r="D114" s="50">
        <f>VLOOKUP($A114,'Data Vlaue (Cr)'!$C:$FB,143)</f>
        <v>1681.76</v>
      </c>
      <c r="E114" s="50">
        <f>VLOOKUP($A114,'Data Vlaue (Cr)'!$C:$FB,144)</f>
        <v>2615.63</v>
      </c>
      <c r="F114" s="50">
        <f>VLOOKUP($A114,'Data Vlaue (Cr)'!$C:$FB,146)*100</f>
        <v>-35.699999999999996</v>
      </c>
      <c r="G114" s="49">
        <f>VLOOKUP($A114,'Data Vlaue (Cr)'!$C:$FB,43)</f>
        <v>363</v>
      </c>
      <c r="H114" s="49">
        <f>VLOOKUP($A114,'Data Vlaue (Cr)'!$C:$FB,44)</f>
        <v>459</v>
      </c>
      <c r="I114" s="49">
        <f>VLOOKUP($A114,'Data Vlaue (Cr)'!$C:$FB,46)*100</f>
        <v>-20.78</v>
      </c>
      <c r="J114" s="51">
        <f>VLOOKUP($A114,'Data Vlaue (Cr)'!$C:$FB,59)</f>
        <v>840</v>
      </c>
      <c r="K114" s="51">
        <f>VLOOKUP($A114,'Data Vlaue (Cr)'!$C:$FB,60)</f>
        <v>763</v>
      </c>
      <c r="L114" s="51">
        <f>VLOOKUP($A114,'Data Vlaue (Cr)'!$C:$FB,62)*100</f>
        <v>10.100000000000001</v>
      </c>
      <c r="M114" s="51">
        <f>VLOOKUP($A114,'Data Vlaue (Cr)'!$C:$FB,63)</f>
        <v>402</v>
      </c>
      <c r="N114" s="51">
        <f>VLOOKUP($A114,'Data Vlaue (Cr)'!$C:$FB,64)</f>
        <v>1283</v>
      </c>
      <c r="O114" s="51">
        <f>VLOOKUP($A114,'Data Vlaue (Cr)'!$C:$FB,66)*100</f>
        <v>-68.66</v>
      </c>
    </row>
    <row r="115" spans="1:15" x14ac:dyDescent="0.25">
      <c r="A115" s="101" t="str">
        <f>'Data Vlaue (Cr)'!C110</f>
        <v>KFINTECH</v>
      </c>
      <c r="B115" s="50">
        <f>VLOOKUP($A115,'Data Vlaue (Cr)'!$C:$FB,8)</f>
        <v>907.6</v>
      </c>
      <c r="C115" s="50">
        <f>VLOOKUP($A115,'Data Vlaue (Cr)'!$C:$FB,11)*100</f>
        <v>-2.08</v>
      </c>
      <c r="D115" s="50">
        <f>VLOOKUP($A115,'Data Vlaue (Cr)'!$C:$FB,143)</f>
        <v>240.04</v>
      </c>
      <c r="E115" s="50">
        <f>VLOOKUP($A115,'Data Vlaue (Cr)'!$C:$FB,144)</f>
        <v>139.13</v>
      </c>
      <c r="F115" s="50">
        <f>VLOOKUP($A115,'Data Vlaue (Cr)'!$C:$FB,146)*100</f>
        <v>72.540000000000006</v>
      </c>
      <c r="G115" s="49">
        <f>VLOOKUP($A115,'Data Vlaue (Cr)'!$C:$FB,43)</f>
        <v>89</v>
      </c>
      <c r="H115" s="49">
        <f>VLOOKUP($A115,'Data Vlaue (Cr)'!$C:$FB,44)</f>
        <v>51</v>
      </c>
      <c r="I115" s="49">
        <f>VLOOKUP($A115,'Data Vlaue (Cr)'!$C:$FB,46)*100</f>
        <v>74.2</v>
      </c>
      <c r="J115" s="51">
        <f>VLOOKUP($A115,'Data Vlaue (Cr)'!$C:$FB,59)</f>
        <v>87</v>
      </c>
      <c r="K115" s="51">
        <f>VLOOKUP($A115,'Data Vlaue (Cr)'!$C:$FB,60)</f>
        <v>55</v>
      </c>
      <c r="L115" s="51">
        <f>VLOOKUP($A115,'Data Vlaue (Cr)'!$C:$FB,62)*100</f>
        <v>59.430000000000007</v>
      </c>
      <c r="M115" s="51">
        <f>VLOOKUP($A115,'Data Vlaue (Cr)'!$C:$FB,63)</f>
        <v>56</v>
      </c>
      <c r="N115" s="51">
        <f>VLOOKUP($A115,'Data Vlaue (Cr)'!$C:$FB,64)</f>
        <v>26</v>
      </c>
      <c r="O115" s="51">
        <f>VLOOKUP($A115,'Data Vlaue (Cr)'!$C:$FB,66)*100</f>
        <v>114.71000000000001</v>
      </c>
    </row>
    <row r="116" spans="1:15" x14ac:dyDescent="0.25">
      <c r="A116" s="101" t="str">
        <f>'Data Vlaue (Cr)'!C111</f>
        <v>KOTAKBANK</v>
      </c>
      <c r="B116" s="50">
        <f>VLOOKUP($A116,'Data Vlaue (Cr)'!$C:$FB,8)</f>
        <v>375.3</v>
      </c>
      <c r="C116" s="50">
        <f>VLOOKUP($A116,'Data Vlaue (Cr)'!$C:$FB,11)*100</f>
        <v>-2.06</v>
      </c>
      <c r="D116" s="50">
        <f>VLOOKUP($A116,'Data Vlaue (Cr)'!$C:$FB,143)</f>
        <v>2943.43</v>
      </c>
      <c r="E116" s="50">
        <f>VLOOKUP($A116,'Data Vlaue (Cr)'!$C:$FB,144)</f>
        <v>3061.95</v>
      </c>
      <c r="F116" s="50">
        <f>VLOOKUP($A116,'Data Vlaue (Cr)'!$C:$FB,146)*100</f>
        <v>-3.8699999999999997</v>
      </c>
      <c r="G116" s="49">
        <f>VLOOKUP($A116,'Data Vlaue (Cr)'!$C:$FB,43)</f>
        <v>959</v>
      </c>
      <c r="H116" s="49">
        <f>VLOOKUP($A116,'Data Vlaue (Cr)'!$C:$FB,44)</f>
        <v>702</v>
      </c>
      <c r="I116" s="49">
        <f>VLOOKUP($A116,'Data Vlaue (Cr)'!$C:$FB,46)*100</f>
        <v>36.54</v>
      </c>
      <c r="J116" s="51">
        <f>VLOOKUP($A116,'Data Vlaue (Cr)'!$C:$FB,59)</f>
        <v>1170</v>
      </c>
      <c r="K116" s="51">
        <f>VLOOKUP($A116,'Data Vlaue (Cr)'!$C:$FB,60)</f>
        <v>1203</v>
      </c>
      <c r="L116" s="51">
        <f>VLOOKUP($A116,'Data Vlaue (Cr)'!$C:$FB,62)*100</f>
        <v>-2.76</v>
      </c>
      <c r="M116" s="51">
        <f>VLOOKUP($A116,'Data Vlaue (Cr)'!$C:$FB,63)</f>
        <v>730</v>
      </c>
      <c r="N116" s="51">
        <f>VLOOKUP($A116,'Data Vlaue (Cr)'!$C:$FB,64)</f>
        <v>1008</v>
      </c>
      <c r="O116" s="51">
        <f>VLOOKUP($A116,'Data Vlaue (Cr)'!$C:$FB,66)*100</f>
        <v>-27.55</v>
      </c>
    </row>
    <row r="117" spans="1:15" x14ac:dyDescent="0.25">
      <c r="A117" s="101" t="str">
        <f>'Data Vlaue (Cr)'!C112</f>
        <v>KPITTECH</v>
      </c>
      <c r="B117" s="50">
        <f>VLOOKUP($A117,'Data Vlaue (Cr)'!$C:$FB,8)</f>
        <v>671.25</v>
      </c>
      <c r="C117" s="50">
        <f>VLOOKUP($A117,'Data Vlaue (Cr)'!$C:$FB,11)*100</f>
        <v>-1.68</v>
      </c>
      <c r="D117" s="50">
        <f>VLOOKUP($A117,'Data Vlaue (Cr)'!$C:$FB,143)</f>
        <v>515.07000000000005</v>
      </c>
      <c r="E117" s="50">
        <f>VLOOKUP($A117,'Data Vlaue (Cr)'!$C:$FB,144)</f>
        <v>729.28</v>
      </c>
      <c r="F117" s="50">
        <f>VLOOKUP($A117,'Data Vlaue (Cr)'!$C:$FB,146)*100</f>
        <v>-29.37</v>
      </c>
      <c r="G117" s="49">
        <f>VLOOKUP($A117,'Data Vlaue (Cr)'!$C:$FB,43)</f>
        <v>72</v>
      </c>
      <c r="H117" s="49">
        <f>VLOOKUP($A117,'Data Vlaue (Cr)'!$C:$FB,44)</f>
        <v>102</v>
      </c>
      <c r="I117" s="49">
        <f>VLOOKUP($A117,'Data Vlaue (Cr)'!$C:$FB,46)*100</f>
        <v>-28.98</v>
      </c>
      <c r="J117" s="51">
        <f>VLOOKUP($A117,'Data Vlaue (Cr)'!$C:$FB,59)</f>
        <v>324</v>
      </c>
      <c r="K117" s="51">
        <f>VLOOKUP($A117,'Data Vlaue (Cr)'!$C:$FB,60)</f>
        <v>434</v>
      </c>
      <c r="L117" s="51">
        <f>VLOOKUP($A117,'Data Vlaue (Cr)'!$C:$FB,62)*100</f>
        <v>-25.319999999999997</v>
      </c>
      <c r="M117" s="51">
        <f>VLOOKUP($A117,'Data Vlaue (Cr)'!$C:$FB,63)</f>
        <v>77</v>
      </c>
      <c r="N117" s="51">
        <f>VLOOKUP($A117,'Data Vlaue (Cr)'!$C:$FB,64)</f>
        <v>134</v>
      </c>
      <c r="O117" s="51">
        <f>VLOOKUP($A117,'Data Vlaue (Cr)'!$C:$FB,66)*100</f>
        <v>-42.9</v>
      </c>
    </row>
    <row r="118" spans="1:15" x14ac:dyDescent="0.25">
      <c r="A118" s="101" t="str">
        <f>'Data Vlaue (Cr)'!C113</f>
        <v>LAURUSLABS</v>
      </c>
      <c r="B118" s="50">
        <f>VLOOKUP($A118,'Data Vlaue (Cr)'!$C:$FB,8)</f>
        <v>1046.8</v>
      </c>
      <c r="C118" s="50">
        <f>VLOOKUP($A118,'Data Vlaue (Cr)'!$C:$FB,11)*100</f>
        <v>0.55999999999999994</v>
      </c>
      <c r="D118" s="50">
        <f>VLOOKUP($A118,'Data Vlaue (Cr)'!$C:$FB,143)</f>
        <v>1607.97</v>
      </c>
      <c r="E118" s="50">
        <f>VLOOKUP($A118,'Data Vlaue (Cr)'!$C:$FB,144)</f>
        <v>3358.78</v>
      </c>
      <c r="F118" s="50">
        <f>VLOOKUP($A118,'Data Vlaue (Cr)'!$C:$FB,146)*100</f>
        <v>-52.129999999999995</v>
      </c>
      <c r="G118" s="49">
        <f>VLOOKUP($A118,'Data Vlaue (Cr)'!$C:$FB,43)</f>
        <v>363</v>
      </c>
      <c r="H118" s="49">
        <f>VLOOKUP($A118,'Data Vlaue (Cr)'!$C:$FB,44)</f>
        <v>497</v>
      </c>
      <c r="I118" s="49">
        <f>VLOOKUP($A118,'Data Vlaue (Cr)'!$C:$FB,46)*100</f>
        <v>-26.85</v>
      </c>
      <c r="J118" s="51">
        <f>VLOOKUP($A118,'Data Vlaue (Cr)'!$C:$FB,59)</f>
        <v>892</v>
      </c>
      <c r="K118" s="51">
        <f>VLOOKUP($A118,'Data Vlaue (Cr)'!$C:$FB,60)</f>
        <v>2023</v>
      </c>
      <c r="L118" s="51">
        <f>VLOOKUP($A118,'Data Vlaue (Cr)'!$C:$FB,62)*100</f>
        <v>-55.879999999999995</v>
      </c>
      <c r="M118" s="51">
        <f>VLOOKUP($A118,'Data Vlaue (Cr)'!$C:$FB,63)</f>
        <v>318</v>
      </c>
      <c r="N118" s="51">
        <f>VLOOKUP($A118,'Data Vlaue (Cr)'!$C:$FB,64)</f>
        <v>714</v>
      </c>
      <c r="O118" s="51">
        <f>VLOOKUP($A118,'Data Vlaue (Cr)'!$C:$FB,66)*100</f>
        <v>-55.400000000000006</v>
      </c>
    </row>
    <row r="119" spans="1:15" x14ac:dyDescent="0.25">
      <c r="A119" s="101" t="str">
        <f>'Data Vlaue (Cr)'!C114</f>
        <v>LICHSGFIN</v>
      </c>
      <c r="B119" s="50">
        <f>VLOOKUP($A119,'Data Vlaue (Cr)'!$C:$FB,8)</f>
        <v>498.5</v>
      </c>
      <c r="C119" s="50">
        <f>VLOOKUP($A119,'Data Vlaue (Cr)'!$C:$FB,11)*100</f>
        <v>-1.37</v>
      </c>
      <c r="D119" s="50">
        <f>VLOOKUP($A119,'Data Vlaue (Cr)'!$C:$FB,143)</f>
        <v>534.01</v>
      </c>
      <c r="E119" s="50">
        <f>VLOOKUP($A119,'Data Vlaue (Cr)'!$C:$FB,144)</f>
        <v>532.11</v>
      </c>
      <c r="F119" s="50">
        <f>VLOOKUP($A119,'Data Vlaue (Cr)'!$C:$FB,146)*100</f>
        <v>0.36</v>
      </c>
      <c r="G119" s="49">
        <f>VLOOKUP($A119,'Data Vlaue (Cr)'!$C:$FB,43)</f>
        <v>143</v>
      </c>
      <c r="H119" s="49">
        <f>VLOOKUP($A119,'Data Vlaue (Cr)'!$C:$FB,44)</f>
        <v>110</v>
      </c>
      <c r="I119" s="49">
        <f>VLOOKUP($A119,'Data Vlaue (Cr)'!$C:$FB,46)*100</f>
        <v>30.18</v>
      </c>
      <c r="J119" s="51">
        <f>VLOOKUP($A119,'Data Vlaue (Cr)'!$C:$FB,59)</f>
        <v>211</v>
      </c>
      <c r="K119" s="51">
        <f>VLOOKUP($A119,'Data Vlaue (Cr)'!$C:$FB,60)</f>
        <v>205</v>
      </c>
      <c r="L119" s="51">
        <f>VLOOKUP($A119,'Data Vlaue (Cr)'!$C:$FB,62)*100</f>
        <v>2.88</v>
      </c>
      <c r="M119" s="51">
        <f>VLOOKUP($A119,'Data Vlaue (Cr)'!$C:$FB,63)</f>
        <v>171</v>
      </c>
      <c r="N119" s="51">
        <f>VLOOKUP($A119,'Data Vlaue (Cr)'!$C:$FB,64)</f>
        <v>194</v>
      </c>
      <c r="O119" s="51">
        <f>VLOOKUP($A119,'Data Vlaue (Cr)'!$C:$FB,66)*100</f>
        <v>-11.899999999999999</v>
      </c>
    </row>
    <row r="120" spans="1:15" x14ac:dyDescent="0.25">
      <c r="A120" s="101" t="str">
        <f>'Data Vlaue (Cr)'!C115</f>
        <v>LICI</v>
      </c>
      <c r="B120" s="50">
        <f>VLOOKUP($A120,'Data Vlaue (Cr)'!$C:$FB,8)</f>
        <v>796.65</v>
      </c>
      <c r="C120" s="50">
        <f>VLOOKUP($A120,'Data Vlaue (Cr)'!$C:$FB,11)*100</f>
        <v>-0.72</v>
      </c>
      <c r="D120" s="50">
        <f>VLOOKUP($A120,'Data Vlaue (Cr)'!$C:$FB,143)</f>
        <v>377.4</v>
      </c>
      <c r="E120" s="50">
        <f>VLOOKUP($A120,'Data Vlaue (Cr)'!$C:$FB,144)</f>
        <v>355.98</v>
      </c>
      <c r="F120" s="50">
        <f>VLOOKUP($A120,'Data Vlaue (Cr)'!$C:$FB,146)*100</f>
        <v>6.02</v>
      </c>
      <c r="G120" s="49">
        <f>VLOOKUP($A120,'Data Vlaue (Cr)'!$C:$FB,43)</f>
        <v>96</v>
      </c>
      <c r="H120" s="49">
        <f>VLOOKUP($A120,'Data Vlaue (Cr)'!$C:$FB,44)</f>
        <v>121</v>
      </c>
      <c r="I120" s="49">
        <f>VLOOKUP($A120,'Data Vlaue (Cr)'!$C:$FB,46)*100</f>
        <v>-20.52</v>
      </c>
      <c r="J120" s="51">
        <f>VLOOKUP($A120,'Data Vlaue (Cr)'!$C:$FB,59)</f>
        <v>177</v>
      </c>
      <c r="K120" s="51">
        <f>VLOOKUP($A120,'Data Vlaue (Cr)'!$C:$FB,60)</f>
        <v>140</v>
      </c>
      <c r="L120" s="51">
        <f>VLOOKUP($A120,'Data Vlaue (Cr)'!$C:$FB,62)*100</f>
        <v>27.05</v>
      </c>
      <c r="M120" s="51">
        <f>VLOOKUP($A120,'Data Vlaue (Cr)'!$C:$FB,63)</f>
        <v>91</v>
      </c>
      <c r="N120" s="51">
        <f>VLOOKUP($A120,'Data Vlaue (Cr)'!$C:$FB,64)</f>
        <v>80</v>
      </c>
      <c r="O120" s="51">
        <f>VLOOKUP($A120,'Data Vlaue (Cr)'!$C:$FB,66)*100</f>
        <v>13.700000000000001</v>
      </c>
    </row>
    <row r="121" spans="1:15" x14ac:dyDescent="0.25">
      <c r="A121" s="101" t="str">
        <f>'Data Vlaue (Cr)'!C116</f>
        <v>LODHA</v>
      </c>
      <c r="B121" s="50">
        <f>VLOOKUP($A121,'Data Vlaue (Cr)'!$C:$FB,8)</f>
        <v>869.05</v>
      </c>
      <c r="C121" s="50">
        <f>VLOOKUP($A121,'Data Vlaue (Cr)'!$C:$FB,11)*100</f>
        <v>-1.29</v>
      </c>
      <c r="D121" s="50">
        <f>VLOOKUP($A121,'Data Vlaue (Cr)'!$C:$FB,143)</f>
        <v>316.69</v>
      </c>
      <c r="E121" s="50">
        <f>VLOOKUP($A121,'Data Vlaue (Cr)'!$C:$FB,144)</f>
        <v>346.6</v>
      </c>
      <c r="F121" s="50">
        <f>VLOOKUP($A121,'Data Vlaue (Cr)'!$C:$FB,146)*100</f>
        <v>-8.6300000000000008</v>
      </c>
      <c r="G121" s="49">
        <f>VLOOKUP($A121,'Data Vlaue (Cr)'!$C:$FB,43)</f>
        <v>74</v>
      </c>
      <c r="H121" s="49">
        <f>VLOOKUP($A121,'Data Vlaue (Cr)'!$C:$FB,44)</f>
        <v>88</v>
      </c>
      <c r="I121" s="49">
        <f>VLOOKUP($A121,'Data Vlaue (Cr)'!$C:$FB,46)*100</f>
        <v>-16.21</v>
      </c>
      <c r="J121" s="51">
        <f>VLOOKUP($A121,'Data Vlaue (Cr)'!$C:$FB,59)</f>
        <v>146</v>
      </c>
      <c r="K121" s="51">
        <f>VLOOKUP($A121,'Data Vlaue (Cr)'!$C:$FB,60)</f>
        <v>162</v>
      </c>
      <c r="L121" s="51">
        <f>VLOOKUP($A121,'Data Vlaue (Cr)'!$C:$FB,62)*100</f>
        <v>-9.76</v>
      </c>
      <c r="M121" s="51">
        <f>VLOOKUP($A121,'Data Vlaue (Cr)'!$C:$FB,63)</f>
        <v>80</v>
      </c>
      <c r="N121" s="51">
        <f>VLOOKUP($A121,'Data Vlaue (Cr)'!$C:$FB,64)</f>
        <v>75</v>
      </c>
      <c r="O121" s="51">
        <f>VLOOKUP($A121,'Data Vlaue (Cr)'!$C:$FB,66)*100</f>
        <v>6.79</v>
      </c>
    </row>
    <row r="122" spans="1:15" x14ac:dyDescent="0.25">
      <c r="A122" s="101" t="str">
        <f>'Data Vlaue (Cr)'!C117</f>
        <v>LT</v>
      </c>
      <c r="B122" s="50">
        <f>VLOOKUP($A122,'Data Vlaue (Cr)'!$C:$FB,8)</f>
        <v>3719.5</v>
      </c>
      <c r="C122" s="50">
        <f>VLOOKUP($A122,'Data Vlaue (Cr)'!$C:$FB,11)*100</f>
        <v>-3.11</v>
      </c>
      <c r="D122" s="50">
        <f>VLOOKUP($A122,'Data Vlaue (Cr)'!$C:$FB,143)</f>
        <v>8555.02</v>
      </c>
      <c r="E122" s="50">
        <f>VLOOKUP($A122,'Data Vlaue (Cr)'!$C:$FB,144)</f>
        <v>4694.05</v>
      </c>
      <c r="F122" s="50">
        <f>VLOOKUP($A122,'Data Vlaue (Cr)'!$C:$FB,146)*100</f>
        <v>82.25</v>
      </c>
      <c r="G122" s="49">
        <f>VLOOKUP($A122,'Data Vlaue (Cr)'!$C:$FB,43)</f>
        <v>1266</v>
      </c>
      <c r="H122" s="49">
        <f>VLOOKUP($A122,'Data Vlaue (Cr)'!$C:$FB,44)</f>
        <v>705</v>
      </c>
      <c r="I122" s="49">
        <f>VLOOKUP($A122,'Data Vlaue (Cr)'!$C:$FB,46)*100</f>
        <v>79.569999999999993</v>
      </c>
      <c r="J122" s="51">
        <f>VLOOKUP($A122,'Data Vlaue (Cr)'!$C:$FB,59)</f>
        <v>4315</v>
      </c>
      <c r="K122" s="51">
        <f>VLOOKUP($A122,'Data Vlaue (Cr)'!$C:$FB,60)</f>
        <v>2271</v>
      </c>
      <c r="L122" s="51">
        <f>VLOOKUP($A122,'Data Vlaue (Cr)'!$C:$FB,62)*100</f>
        <v>90.01</v>
      </c>
      <c r="M122" s="51">
        <f>VLOOKUP($A122,'Data Vlaue (Cr)'!$C:$FB,63)</f>
        <v>2614</v>
      </c>
      <c r="N122" s="51">
        <f>VLOOKUP($A122,'Data Vlaue (Cr)'!$C:$FB,64)</f>
        <v>1450</v>
      </c>
      <c r="O122" s="51">
        <f>VLOOKUP($A122,'Data Vlaue (Cr)'!$C:$FB,66)*100</f>
        <v>80.31</v>
      </c>
    </row>
    <row r="123" spans="1:15" x14ac:dyDescent="0.25">
      <c r="A123" s="101" t="str">
        <f>'Data Vlaue (Cr)'!C118</f>
        <v>LTF</v>
      </c>
      <c r="B123" s="50">
        <f>VLOOKUP($A123,'Data Vlaue (Cr)'!$C:$FB,8)</f>
        <v>265.5</v>
      </c>
      <c r="C123" s="50">
        <f>VLOOKUP($A123,'Data Vlaue (Cr)'!$C:$FB,11)*100</f>
        <v>-0.43</v>
      </c>
      <c r="D123" s="50">
        <f>VLOOKUP($A123,'Data Vlaue (Cr)'!$C:$FB,143)</f>
        <v>1199.75</v>
      </c>
      <c r="E123" s="50">
        <f>VLOOKUP($A123,'Data Vlaue (Cr)'!$C:$FB,144)</f>
        <v>1110.74</v>
      </c>
      <c r="F123" s="50">
        <f>VLOOKUP($A123,'Data Vlaue (Cr)'!$C:$FB,146)*100</f>
        <v>8.01</v>
      </c>
      <c r="G123" s="49">
        <f>VLOOKUP($A123,'Data Vlaue (Cr)'!$C:$FB,43)</f>
        <v>302</v>
      </c>
      <c r="H123" s="49">
        <f>VLOOKUP($A123,'Data Vlaue (Cr)'!$C:$FB,44)</f>
        <v>213</v>
      </c>
      <c r="I123" s="49">
        <f>VLOOKUP($A123,'Data Vlaue (Cr)'!$C:$FB,46)*100</f>
        <v>41.89</v>
      </c>
      <c r="J123" s="51">
        <f>VLOOKUP($A123,'Data Vlaue (Cr)'!$C:$FB,59)</f>
        <v>616</v>
      </c>
      <c r="K123" s="51">
        <f>VLOOKUP($A123,'Data Vlaue (Cr)'!$C:$FB,60)</f>
        <v>616</v>
      </c>
      <c r="L123" s="51">
        <f>VLOOKUP($A123,'Data Vlaue (Cr)'!$C:$FB,62)*100</f>
        <v>0.1</v>
      </c>
      <c r="M123" s="51">
        <f>VLOOKUP($A123,'Data Vlaue (Cr)'!$C:$FB,63)</f>
        <v>214</v>
      </c>
      <c r="N123" s="51">
        <f>VLOOKUP($A123,'Data Vlaue (Cr)'!$C:$FB,64)</f>
        <v>189</v>
      </c>
      <c r="O123" s="51">
        <f>VLOOKUP($A123,'Data Vlaue (Cr)'!$C:$FB,66)*100</f>
        <v>13.23</v>
      </c>
    </row>
    <row r="124" spans="1:15" x14ac:dyDescent="0.25">
      <c r="A124" s="101" t="str">
        <f>'Data Vlaue (Cr)'!C119</f>
        <v>LTM</v>
      </c>
      <c r="B124" s="50">
        <f>VLOOKUP($A124,'Data Vlaue (Cr)'!$C:$FB,8)</f>
        <v>4323.6000000000004</v>
      </c>
      <c r="C124" s="50">
        <f>VLOOKUP($A124,'Data Vlaue (Cr)'!$C:$FB,11)*100</f>
        <v>1.43</v>
      </c>
      <c r="D124" s="50">
        <f>VLOOKUP($A124,'Data Vlaue (Cr)'!$C:$FB,143)</f>
        <v>868.71</v>
      </c>
      <c r="E124" s="50">
        <f>VLOOKUP($A124,'Data Vlaue (Cr)'!$C:$FB,144)</f>
        <v>726.11</v>
      </c>
      <c r="F124" s="50">
        <f>VLOOKUP($A124,'Data Vlaue (Cr)'!$C:$FB,146)*100</f>
        <v>19.64</v>
      </c>
      <c r="G124" s="49">
        <f>VLOOKUP($A124,'Data Vlaue (Cr)'!$C:$FB,43)</f>
        <v>230</v>
      </c>
      <c r="H124" s="49">
        <f>VLOOKUP($A124,'Data Vlaue (Cr)'!$C:$FB,44)</f>
        <v>156</v>
      </c>
      <c r="I124" s="49">
        <f>VLOOKUP($A124,'Data Vlaue (Cr)'!$C:$FB,46)*100</f>
        <v>47</v>
      </c>
      <c r="J124" s="51">
        <f>VLOOKUP($A124,'Data Vlaue (Cr)'!$C:$FB,59)</f>
        <v>430</v>
      </c>
      <c r="K124" s="51">
        <f>VLOOKUP($A124,'Data Vlaue (Cr)'!$C:$FB,60)</f>
        <v>385</v>
      </c>
      <c r="L124" s="51">
        <f>VLOOKUP($A124,'Data Vlaue (Cr)'!$C:$FB,62)*100</f>
        <v>11.73</v>
      </c>
      <c r="M124" s="51">
        <f>VLOOKUP($A124,'Data Vlaue (Cr)'!$C:$FB,63)</f>
        <v>177</v>
      </c>
      <c r="N124" s="51">
        <f>VLOOKUP($A124,'Data Vlaue (Cr)'!$C:$FB,64)</f>
        <v>158</v>
      </c>
      <c r="O124" s="51">
        <f>VLOOKUP($A124,'Data Vlaue (Cr)'!$C:$FB,66)*100</f>
        <v>12.36</v>
      </c>
    </row>
    <row r="125" spans="1:15" x14ac:dyDescent="0.25">
      <c r="A125" s="101" t="str">
        <f>'Data Vlaue (Cr)'!C120</f>
        <v>LUPIN</v>
      </c>
      <c r="B125" s="50">
        <f>VLOOKUP($A125,'Data Vlaue (Cr)'!$C:$FB,8)</f>
        <v>2357.3000000000002</v>
      </c>
      <c r="C125" s="50">
        <f>VLOOKUP($A125,'Data Vlaue (Cr)'!$C:$FB,11)*100</f>
        <v>0.54</v>
      </c>
      <c r="D125" s="50">
        <f>VLOOKUP($A125,'Data Vlaue (Cr)'!$C:$FB,143)</f>
        <v>1914.5</v>
      </c>
      <c r="E125" s="50">
        <f>VLOOKUP($A125,'Data Vlaue (Cr)'!$C:$FB,144)</f>
        <v>3278.05</v>
      </c>
      <c r="F125" s="50">
        <f>VLOOKUP($A125,'Data Vlaue (Cr)'!$C:$FB,146)*100</f>
        <v>-41.6</v>
      </c>
      <c r="G125" s="49">
        <f>VLOOKUP($A125,'Data Vlaue (Cr)'!$C:$FB,43)</f>
        <v>315</v>
      </c>
      <c r="H125" s="49">
        <f>VLOOKUP($A125,'Data Vlaue (Cr)'!$C:$FB,44)</f>
        <v>447</v>
      </c>
      <c r="I125" s="49">
        <f>VLOOKUP($A125,'Data Vlaue (Cr)'!$C:$FB,46)*100</f>
        <v>-29.62</v>
      </c>
      <c r="J125" s="51">
        <f>VLOOKUP($A125,'Data Vlaue (Cr)'!$C:$FB,59)</f>
        <v>1030</v>
      </c>
      <c r="K125" s="51">
        <f>VLOOKUP($A125,'Data Vlaue (Cr)'!$C:$FB,60)</f>
        <v>2098</v>
      </c>
      <c r="L125" s="51">
        <f>VLOOKUP($A125,'Data Vlaue (Cr)'!$C:$FB,62)*100</f>
        <v>-50.94</v>
      </c>
      <c r="M125" s="51">
        <f>VLOOKUP($A125,'Data Vlaue (Cr)'!$C:$FB,63)</f>
        <v>541</v>
      </c>
      <c r="N125" s="51">
        <f>VLOOKUP($A125,'Data Vlaue (Cr)'!$C:$FB,64)</f>
        <v>658</v>
      </c>
      <c r="O125" s="51">
        <f>VLOOKUP($A125,'Data Vlaue (Cr)'!$C:$FB,66)*100</f>
        <v>-17.829999999999998</v>
      </c>
    </row>
    <row r="126" spans="1:15" x14ac:dyDescent="0.25">
      <c r="A126" s="101" t="str">
        <f>'Data Vlaue (Cr)'!C121</f>
        <v>M&amp;M</v>
      </c>
      <c r="B126" s="50">
        <f>VLOOKUP($A126,'Data Vlaue (Cr)'!$C:$FB,8)</f>
        <v>3031.2</v>
      </c>
      <c r="C126" s="50">
        <f>VLOOKUP($A126,'Data Vlaue (Cr)'!$C:$FB,11)*100</f>
        <v>-4.32</v>
      </c>
      <c r="D126" s="50">
        <f>VLOOKUP($A126,'Data Vlaue (Cr)'!$C:$FB,143)</f>
        <v>7440.54</v>
      </c>
      <c r="E126" s="50">
        <f>VLOOKUP($A126,'Data Vlaue (Cr)'!$C:$FB,144)</f>
        <v>4790.8</v>
      </c>
      <c r="F126" s="50">
        <f>VLOOKUP($A126,'Data Vlaue (Cr)'!$C:$FB,146)*100</f>
        <v>55.31</v>
      </c>
      <c r="G126" s="49">
        <f>VLOOKUP($A126,'Data Vlaue (Cr)'!$C:$FB,43)</f>
        <v>1150</v>
      </c>
      <c r="H126" s="49">
        <f>VLOOKUP($A126,'Data Vlaue (Cr)'!$C:$FB,44)</f>
        <v>665</v>
      </c>
      <c r="I126" s="49">
        <f>VLOOKUP($A126,'Data Vlaue (Cr)'!$C:$FB,46)*100</f>
        <v>73.11999999999999</v>
      </c>
      <c r="J126" s="51">
        <f>VLOOKUP($A126,'Data Vlaue (Cr)'!$C:$FB,59)</f>
        <v>3258</v>
      </c>
      <c r="K126" s="51">
        <f>VLOOKUP($A126,'Data Vlaue (Cr)'!$C:$FB,60)</f>
        <v>2042</v>
      </c>
      <c r="L126" s="51">
        <f>VLOOKUP($A126,'Data Vlaue (Cr)'!$C:$FB,62)*100</f>
        <v>59.540000000000006</v>
      </c>
      <c r="M126" s="51">
        <f>VLOOKUP($A126,'Data Vlaue (Cr)'!$C:$FB,63)</f>
        <v>2678</v>
      </c>
      <c r="N126" s="51">
        <f>VLOOKUP($A126,'Data Vlaue (Cr)'!$C:$FB,64)</f>
        <v>1697</v>
      </c>
      <c r="O126" s="51">
        <f>VLOOKUP($A126,'Data Vlaue (Cr)'!$C:$FB,66)*100</f>
        <v>57.84</v>
      </c>
    </row>
    <row r="127" spans="1:15" x14ac:dyDescent="0.25">
      <c r="A127" s="101" t="str">
        <f>'Data Vlaue (Cr)'!C122</f>
        <v>MANAPPURAM</v>
      </c>
      <c r="B127" s="50">
        <f>VLOOKUP($A127,'Data Vlaue (Cr)'!$C:$FB,8)</f>
        <v>255.55</v>
      </c>
      <c r="C127" s="50">
        <f>VLOOKUP($A127,'Data Vlaue (Cr)'!$C:$FB,11)*100</f>
        <v>-0.95</v>
      </c>
      <c r="D127" s="50">
        <f>VLOOKUP($A127,'Data Vlaue (Cr)'!$C:$FB,143)</f>
        <v>519.62</v>
      </c>
      <c r="E127" s="50">
        <f>VLOOKUP($A127,'Data Vlaue (Cr)'!$C:$FB,144)</f>
        <v>751.54</v>
      </c>
      <c r="F127" s="50">
        <f>VLOOKUP($A127,'Data Vlaue (Cr)'!$C:$FB,146)*100</f>
        <v>-30.86</v>
      </c>
      <c r="G127" s="49">
        <f>VLOOKUP($A127,'Data Vlaue (Cr)'!$C:$FB,43)</f>
        <v>214</v>
      </c>
      <c r="H127" s="49">
        <f>VLOOKUP($A127,'Data Vlaue (Cr)'!$C:$FB,44)</f>
        <v>232</v>
      </c>
      <c r="I127" s="49">
        <f>VLOOKUP($A127,'Data Vlaue (Cr)'!$C:$FB,46)*100</f>
        <v>-7.99</v>
      </c>
      <c r="J127" s="51">
        <f>VLOOKUP($A127,'Data Vlaue (Cr)'!$C:$FB,59)</f>
        <v>195</v>
      </c>
      <c r="K127" s="51">
        <f>VLOOKUP($A127,'Data Vlaue (Cr)'!$C:$FB,60)</f>
        <v>299</v>
      </c>
      <c r="L127" s="51">
        <f>VLOOKUP($A127,'Data Vlaue (Cr)'!$C:$FB,62)*100</f>
        <v>-34.79</v>
      </c>
      <c r="M127" s="51">
        <f>VLOOKUP($A127,'Data Vlaue (Cr)'!$C:$FB,63)</f>
        <v>91</v>
      </c>
      <c r="N127" s="51">
        <f>VLOOKUP($A127,'Data Vlaue (Cr)'!$C:$FB,64)</f>
        <v>176</v>
      </c>
      <c r="O127" s="51">
        <f>VLOOKUP($A127,'Data Vlaue (Cr)'!$C:$FB,66)*100</f>
        <v>-48.27</v>
      </c>
    </row>
    <row r="128" spans="1:15" x14ac:dyDescent="0.25">
      <c r="A128" s="101" t="str">
        <f>'Data Vlaue (Cr)'!C123</f>
        <v>MANKIND</v>
      </c>
      <c r="B128" s="50">
        <f>VLOOKUP($A128,'Data Vlaue (Cr)'!$C:$FB,8)</f>
        <v>2207.9</v>
      </c>
      <c r="C128" s="50">
        <f>VLOOKUP($A128,'Data Vlaue (Cr)'!$C:$FB,11)*100</f>
        <v>-1.6</v>
      </c>
      <c r="D128" s="50">
        <f>VLOOKUP($A128,'Data Vlaue (Cr)'!$C:$FB,143)</f>
        <v>334.84</v>
      </c>
      <c r="E128" s="50">
        <f>VLOOKUP($A128,'Data Vlaue (Cr)'!$C:$FB,144)</f>
        <v>506.47</v>
      </c>
      <c r="F128" s="50">
        <f>VLOOKUP($A128,'Data Vlaue (Cr)'!$C:$FB,146)*100</f>
        <v>-33.89</v>
      </c>
      <c r="G128" s="49">
        <f>VLOOKUP($A128,'Data Vlaue (Cr)'!$C:$FB,43)</f>
        <v>87</v>
      </c>
      <c r="H128" s="49">
        <f>VLOOKUP($A128,'Data Vlaue (Cr)'!$C:$FB,44)</f>
        <v>77</v>
      </c>
      <c r="I128" s="49">
        <f>VLOOKUP($A128,'Data Vlaue (Cr)'!$C:$FB,46)*100</f>
        <v>13.420000000000002</v>
      </c>
      <c r="J128" s="51">
        <f>VLOOKUP($A128,'Data Vlaue (Cr)'!$C:$FB,59)</f>
        <v>185</v>
      </c>
      <c r="K128" s="51">
        <f>VLOOKUP($A128,'Data Vlaue (Cr)'!$C:$FB,60)</f>
        <v>345</v>
      </c>
      <c r="L128" s="51">
        <f>VLOOKUP($A128,'Data Vlaue (Cr)'!$C:$FB,62)*100</f>
        <v>-46.27</v>
      </c>
      <c r="M128" s="51">
        <f>VLOOKUP($A128,'Data Vlaue (Cr)'!$C:$FB,63)</f>
        <v>51</v>
      </c>
      <c r="N128" s="51">
        <f>VLOOKUP($A128,'Data Vlaue (Cr)'!$C:$FB,64)</f>
        <v>62</v>
      </c>
      <c r="O128" s="51">
        <f>VLOOKUP($A128,'Data Vlaue (Cr)'!$C:$FB,66)*100</f>
        <v>-17.22</v>
      </c>
    </row>
    <row r="129" spans="1:15" x14ac:dyDescent="0.25">
      <c r="A129" s="101" t="str">
        <f>'Data Vlaue (Cr)'!C124</f>
        <v>MARICO</v>
      </c>
      <c r="B129" s="50">
        <f>VLOOKUP($A129,'Data Vlaue (Cr)'!$C:$FB,8)</f>
        <v>757.15</v>
      </c>
      <c r="C129" s="50">
        <f>VLOOKUP($A129,'Data Vlaue (Cr)'!$C:$FB,11)*100</f>
        <v>-0.57999999999999996</v>
      </c>
      <c r="D129" s="50">
        <f>VLOOKUP($A129,'Data Vlaue (Cr)'!$C:$FB,143)</f>
        <v>3447.36</v>
      </c>
      <c r="E129" s="50">
        <f>VLOOKUP($A129,'Data Vlaue (Cr)'!$C:$FB,144)</f>
        <v>1141.77</v>
      </c>
      <c r="F129" s="50">
        <f>VLOOKUP($A129,'Data Vlaue (Cr)'!$C:$FB,146)*100</f>
        <v>201.92999999999998</v>
      </c>
      <c r="G129" s="49">
        <f>VLOOKUP($A129,'Data Vlaue (Cr)'!$C:$FB,43)</f>
        <v>745</v>
      </c>
      <c r="H129" s="49">
        <f>VLOOKUP($A129,'Data Vlaue (Cr)'!$C:$FB,44)</f>
        <v>255</v>
      </c>
      <c r="I129" s="49">
        <f>VLOOKUP($A129,'Data Vlaue (Cr)'!$C:$FB,46)*100</f>
        <v>191.89000000000001</v>
      </c>
      <c r="J129" s="51">
        <f>VLOOKUP($A129,'Data Vlaue (Cr)'!$C:$FB,59)</f>
        <v>1323</v>
      </c>
      <c r="K129" s="51">
        <f>VLOOKUP($A129,'Data Vlaue (Cr)'!$C:$FB,60)</f>
        <v>400</v>
      </c>
      <c r="L129" s="51">
        <f>VLOOKUP($A129,'Data Vlaue (Cr)'!$C:$FB,62)*100</f>
        <v>231.01</v>
      </c>
      <c r="M129" s="51">
        <f>VLOOKUP($A129,'Data Vlaue (Cr)'!$C:$FB,63)</f>
        <v>1311</v>
      </c>
      <c r="N129" s="51">
        <f>VLOOKUP($A129,'Data Vlaue (Cr)'!$C:$FB,64)</f>
        <v>443</v>
      </c>
      <c r="O129" s="51">
        <f>VLOOKUP($A129,'Data Vlaue (Cr)'!$C:$FB,66)*100</f>
        <v>195.95</v>
      </c>
    </row>
    <row r="130" spans="1:15" x14ac:dyDescent="0.25">
      <c r="A130" s="101" t="str">
        <f>'Data Vlaue (Cr)'!C125</f>
        <v>MARUTI</v>
      </c>
      <c r="B130" s="50">
        <f>VLOOKUP($A130,'Data Vlaue (Cr)'!$C:$FB,8)</f>
        <v>13011</v>
      </c>
      <c r="C130" s="50">
        <f>VLOOKUP($A130,'Data Vlaue (Cr)'!$C:$FB,11)*100</f>
        <v>-3.5999999999999996</v>
      </c>
      <c r="D130" s="50">
        <f>VLOOKUP($A130,'Data Vlaue (Cr)'!$C:$FB,143)</f>
        <v>10118.25</v>
      </c>
      <c r="E130" s="50">
        <f>VLOOKUP($A130,'Data Vlaue (Cr)'!$C:$FB,144)</f>
        <v>7587.4</v>
      </c>
      <c r="F130" s="50">
        <f>VLOOKUP($A130,'Data Vlaue (Cr)'!$C:$FB,146)*100</f>
        <v>33.36</v>
      </c>
      <c r="G130" s="49">
        <f>VLOOKUP($A130,'Data Vlaue (Cr)'!$C:$FB,43)</f>
        <v>956</v>
      </c>
      <c r="H130" s="49">
        <f>VLOOKUP($A130,'Data Vlaue (Cr)'!$C:$FB,44)</f>
        <v>655</v>
      </c>
      <c r="I130" s="49">
        <f>VLOOKUP($A130,'Data Vlaue (Cr)'!$C:$FB,46)*100</f>
        <v>45.989999999999995</v>
      </c>
      <c r="J130" s="51">
        <f>VLOOKUP($A130,'Data Vlaue (Cr)'!$C:$FB,59)</f>
        <v>5052</v>
      </c>
      <c r="K130" s="51">
        <f>VLOOKUP($A130,'Data Vlaue (Cr)'!$C:$FB,60)</f>
        <v>3575</v>
      </c>
      <c r="L130" s="51">
        <f>VLOOKUP($A130,'Data Vlaue (Cr)'!$C:$FB,62)*100</f>
        <v>41.32</v>
      </c>
      <c r="M130" s="51">
        <f>VLOOKUP($A130,'Data Vlaue (Cr)'!$C:$FB,63)</f>
        <v>3588</v>
      </c>
      <c r="N130" s="51">
        <f>VLOOKUP($A130,'Data Vlaue (Cr)'!$C:$FB,64)</f>
        <v>2838</v>
      </c>
      <c r="O130" s="51">
        <f>VLOOKUP($A130,'Data Vlaue (Cr)'!$C:$FB,66)*100</f>
        <v>26.44</v>
      </c>
    </row>
    <row r="131" spans="1:15" x14ac:dyDescent="0.25">
      <c r="A131" s="101" t="str">
        <f>'Data Vlaue (Cr)'!C126</f>
        <v>MAXHEALTH</v>
      </c>
      <c r="B131" s="50">
        <f>VLOOKUP($A131,'Data Vlaue (Cr)'!$C:$FB,8)</f>
        <v>1020.4</v>
      </c>
      <c r="C131" s="50">
        <f>VLOOKUP($A131,'Data Vlaue (Cr)'!$C:$FB,11)*100</f>
        <v>-1.1400000000000001</v>
      </c>
      <c r="D131" s="50">
        <f>VLOOKUP($A131,'Data Vlaue (Cr)'!$C:$FB,143)</f>
        <v>680.32</v>
      </c>
      <c r="E131" s="50">
        <f>VLOOKUP($A131,'Data Vlaue (Cr)'!$C:$FB,144)</f>
        <v>696.28</v>
      </c>
      <c r="F131" s="50">
        <f>VLOOKUP($A131,'Data Vlaue (Cr)'!$C:$FB,146)*100</f>
        <v>-2.29</v>
      </c>
      <c r="G131" s="49">
        <f>VLOOKUP($A131,'Data Vlaue (Cr)'!$C:$FB,43)</f>
        <v>165</v>
      </c>
      <c r="H131" s="49">
        <f>VLOOKUP($A131,'Data Vlaue (Cr)'!$C:$FB,44)</f>
        <v>138</v>
      </c>
      <c r="I131" s="49">
        <f>VLOOKUP($A131,'Data Vlaue (Cr)'!$C:$FB,46)*100</f>
        <v>19.420000000000002</v>
      </c>
      <c r="J131" s="51">
        <f>VLOOKUP($A131,'Data Vlaue (Cr)'!$C:$FB,59)</f>
        <v>286</v>
      </c>
      <c r="K131" s="51">
        <f>VLOOKUP($A131,'Data Vlaue (Cr)'!$C:$FB,60)</f>
        <v>292</v>
      </c>
      <c r="L131" s="51">
        <f>VLOOKUP($A131,'Data Vlaue (Cr)'!$C:$FB,62)*100</f>
        <v>-2.09</v>
      </c>
      <c r="M131" s="51">
        <f>VLOOKUP($A131,'Data Vlaue (Cr)'!$C:$FB,63)</f>
        <v>210</v>
      </c>
      <c r="N131" s="51">
        <f>VLOOKUP($A131,'Data Vlaue (Cr)'!$C:$FB,64)</f>
        <v>241</v>
      </c>
      <c r="O131" s="51">
        <f>VLOOKUP($A131,'Data Vlaue (Cr)'!$C:$FB,66)*100</f>
        <v>-13.020000000000001</v>
      </c>
    </row>
    <row r="132" spans="1:15" x14ac:dyDescent="0.25">
      <c r="A132" s="101" t="str">
        <f>'Data Vlaue (Cr)'!C127</f>
        <v>MAZDOCK</v>
      </c>
      <c r="B132" s="50">
        <f>VLOOKUP($A132,'Data Vlaue (Cr)'!$C:$FB,8)</f>
        <v>2443.3000000000002</v>
      </c>
      <c r="C132" s="50">
        <f>VLOOKUP($A132,'Data Vlaue (Cr)'!$C:$FB,11)*100</f>
        <v>0.3</v>
      </c>
      <c r="D132" s="50">
        <f>VLOOKUP($A132,'Data Vlaue (Cr)'!$C:$FB,143)</f>
        <v>3126.52</v>
      </c>
      <c r="E132" s="50">
        <f>VLOOKUP($A132,'Data Vlaue (Cr)'!$C:$FB,144)</f>
        <v>3789.79</v>
      </c>
      <c r="F132" s="50">
        <f>VLOOKUP($A132,'Data Vlaue (Cr)'!$C:$FB,146)*100</f>
        <v>-17.5</v>
      </c>
      <c r="G132" s="49">
        <f>VLOOKUP($A132,'Data Vlaue (Cr)'!$C:$FB,43)</f>
        <v>609</v>
      </c>
      <c r="H132" s="49">
        <f>VLOOKUP($A132,'Data Vlaue (Cr)'!$C:$FB,44)</f>
        <v>384</v>
      </c>
      <c r="I132" s="49">
        <f>VLOOKUP($A132,'Data Vlaue (Cr)'!$C:$FB,46)*100</f>
        <v>58.37</v>
      </c>
      <c r="J132" s="51">
        <f>VLOOKUP($A132,'Data Vlaue (Cr)'!$C:$FB,59)</f>
        <v>1704</v>
      </c>
      <c r="K132" s="51">
        <f>VLOOKUP($A132,'Data Vlaue (Cr)'!$C:$FB,60)</f>
        <v>2352</v>
      </c>
      <c r="L132" s="51">
        <f>VLOOKUP($A132,'Data Vlaue (Cr)'!$C:$FB,62)*100</f>
        <v>-27.55</v>
      </c>
      <c r="M132" s="51">
        <f>VLOOKUP($A132,'Data Vlaue (Cr)'!$C:$FB,63)</f>
        <v>733</v>
      </c>
      <c r="N132" s="51">
        <f>VLOOKUP($A132,'Data Vlaue (Cr)'!$C:$FB,64)</f>
        <v>855</v>
      </c>
      <c r="O132" s="51">
        <f>VLOOKUP($A132,'Data Vlaue (Cr)'!$C:$FB,66)*100</f>
        <v>-14.27</v>
      </c>
    </row>
    <row r="133" spans="1:15" x14ac:dyDescent="0.25">
      <c r="A133" s="101" t="str">
        <f>'Data Vlaue (Cr)'!C128</f>
        <v>MCX</v>
      </c>
      <c r="B133" s="50">
        <f>VLOOKUP($A133,'Data Vlaue (Cr)'!$C:$FB,8)</f>
        <v>2526.1</v>
      </c>
      <c r="C133" s="50">
        <f>VLOOKUP($A133,'Data Vlaue (Cr)'!$C:$FB,11)*100</f>
        <v>-0.22</v>
      </c>
      <c r="D133" s="50">
        <f>VLOOKUP($A133,'Data Vlaue (Cr)'!$C:$FB,143)</f>
        <v>4334.3100000000004</v>
      </c>
      <c r="E133" s="50">
        <f>VLOOKUP($A133,'Data Vlaue (Cr)'!$C:$FB,144)</f>
        <v>4493.42</v>
      </c>
      <c r="F133" s="50">
        <f>VLOOKUP($A133,'Data Vlaue (Cr)'!$C:$FB,146)*100</f>
        <v>-3.54</v>
      </c>
      <c r="G133" s="49">
        <f>VLOOKUP($A133,'Data Vlaue (Cr)'!$C:$FB,43)</f>
        <v>858</v>
      </c>
      <c r="H133" s="49">
        <f>VLOOKUP($A133,'Data Vlaue (Cr)'!$C:$FB,44)</f>
        <v>863</v>
      </c>
      <c r="I133" s="49">
        <f>VLOOKUP($A133,'Data Vlaue (Cr)'!$C:$FB,46)*100</f>
        <v>-0.57000000000000006</v>
      </c>
      <c r="J133" s="51">
        <f>VLOOKUP($A133,'Data Vlaue (Cr)'!$C:$FB,59)</f>
        <v>2055</v>
      </c>
      <c r="K133" s="51">
        <f>VLOOKUP($A133,'Data Vlaue (Cr)'!$C:$FB,60)</f>
        <v>2068</v>
      </c>
      <c r="L133" s="51">
        <f>VLOOKUP($A133,'Data Vlaue (Cr)'!$C:$FB,62)*100</f>
        <v>-0.61</v>
      </c>
      <c r="M133" s="51">
        <f>VLOOKUP($A133,'Data Vlaue (Cr)'!$C:$FB,63)</f>
        <v>1309</v>
      </c>
      <c r="N133" s="51">
        <f>VLOOKUP($A133,'Data Vlaue (Cr)'!$C:$FB,64)</f>
        <v>1383</v>
      </c>
      <c r="O133" s="51">
        <f>VLOOKUP($A133,'Data Vlaue (Cr)'!$C:$FB,66)*100</f>
        <v>-5.38</v>
      </c>
    </row>
    <row r="134" spans="1:15" x14ac:dyDescent="0.25">
      <c r="A134" s="101" t="str">
        <f>'Data Vlaue (Cr)'!C129</f>
        <v>MFSL</v>
      </c>
      <c r="B134" s="50">
        <f>VLOOKUP($A134,'Data Vlaue (Cr)'!$C:$FB,8)</f>
        <v>1696.2</v>
      </c>
      <c r="C134" s="50">
        <f>VLOOKUP($A134,'Data Vlaue (Cr)'!$C:$FB,11)*100</f>
        <v>-1.7000000000000002</v>
      </c>
      <c r="D134" s="50">
        <f>VLOOKUP($A134,'Data Vlaue (Cr)'!$C:$FB,143)</f>
        <v>365.76</v>
      </c>
      <c r="E134" s="50">
        <f>VLOOKUP($A134,'Data Vlaue (Cr)'!$C:$FB,144)</f>
        <v>419.91</v>
      </c>
      <c r="F134" s="50">
        <f>VLOOKUP($A134,'Data Vlaue (Cr)'!$C:$FB,146)*100</f>
        <v>-12.9</v>
      </c>
      <c r="G134" s="49">
        <f>VLOOKUP($A134,'Data Vlaue (Cr)'!$C:$FB,43)</f>
        <v>141</v>
      </c>
      <c r="H134" s="49">
        <f>VLOOKUP($A134,'Data Vlaue (Cr)'!$C:$FB,44)</f>
        <v>218</v>
      </c>
      <c r="I134" s="49">
        <f>VLOOKUP($A134,'Data Vlaue (Cr)'!$C:$FB,46)*100</f>
        <v>-35.4</v>
      </c>
      <c r="J134" s="51">
        <f>VLOOKUP($A134,'Data Vlaue (Cr)'!$C:$FB,59)</f>
        <v>128</v>
      </c>
      <c r="K134" s="51">
        <f>VLOOKUP($A134,'Data Vlaue (Cr)'!$C:$FB,60)</f>
        <v>123</v>
      </c>
      <c r="L134" s="51">
        <f>VLOOKUP($A134,'Data Vlaue (Cr)'!$C:$FB,62)*100</f>
        <v>3.5900000000000003</v>
      </c>
      <c r="M134" s="51">
        <f>VLOOKUP($A134,'Data Vlaue (Cr)'!$C:$FB,63)</f>
        <v>91</v>
      </c>
      <c r="N134" s="51">
        <f>VLOOKUP($A134,'Data Vlaue (Cr)'!$C:$FB,64)</f>
        <v>64</v>
      </c>
      <c r="O134" s="51">
        <f>VLOOKUP($A134,'Data Vlaue (Cr)'!$C:$FB,66)*100</f>
        <v>42.34</v>
      </c>
    </row>
    <row r="135" spans="1:15" x14ac:dyDescent="0.25">
      <c r="A135" s="101" t="str">
        <f>'Data Vlaue (Cr)'!C130</f>
        <v>MIDCPNIFTY</v>
      </c>
      <c r="B135" s="50">
        <f>VLOOKUP($A135,'Data Vlaue (Cr)'!$C:$FB,8)</f>
        <v>12961.15</v>
      </c>
      <c r="C135" s="50">
        <f>VLOOKUP($A135,'Data Vlaue (Cr)'!$C:$FB,11)*100</f>
        <v>-0.01</v>
      </c>
      <c r="D135" s="50">
        <f>VLOOKUP($A135,'Data Vlaue (Cr)'!$C:$FB,143)</f>
        <v>33605.61</v>
      </c>
      <c r="E135" s="50">
        <f>VLOOKUP($A135,'Data Vlaue (Cr)'!$C:$FB,144)</f>
        <v>34047</v>
      </c>
      <c r="F135" s="50">
        <f>VLOOKUP($A135,'Data Vlaue (Cr)'!$C:$FB,146)*100</f>
        <v>-1.3</v>
      </c>
      <c r="G135" s="49">
        <f>VLOOKUP($A135,'Data Vlaue (Cr)'!$C:$FB,43)</f>
        <v>1467</v>
      </c>
      <c r="H135" s="49">
        <f>VLOOKUP($A135,'Data Vlaue (Cr)'!$C:$FB,44)</f>
        <v>985</v>
      </c>
      <c r="I135" s="49">
        <f>VLOOKUP($A135,'Data Vlaue (Cr)'!$C:$FB,46)*100</f>
        <v>48.89</v>
      </c>
      <c r="J135" s="51">
        <f>VLOOKUP($A135,'Data Vlaue (Cr)'!$C:$FB,59)</f>
        <v>15432</v>
      </c>
      <c r="K135" s="51">
        <f>VLOOKUP($A135,'Data Vlaue (Cr)'!$C:$FB,60)</f>
        <v>15691</v>
      </c>
      <c r="L135" s="51">
        <f>VLOOKUP($A135,'Data Vlaue (Cr)'!$C:$FB,62)*100</f>
        <v>-1.6500000000000001</v>
      </c>
      <c r="M135" s="51">
        <f>VLOOKUP($A135,'Data Vlaue (Cr)'!$C:$FB,63)</f>
        <v>16230</v>
      </c>
      <c r="N135" s="51">
        <f>VLOOKUP($A135,'Data Vlaue (Cr)'!$C:$FB,64)</f>
        <v>16381</v>
      </c>
      <c r="O135" s="51">
        <f>VLOOKUP($A135,'Data Vlaue (Cr)'!$C:$FB,66)*100</f>
        <v>-0.91999999999999993</v>
      </c>
    </row>
    <row r="136" spans="1:15" x14ac:dyDescent="0.25">
      <c r="A136" s="101" t="str">
        <f>'Data Vlaue (Cr)'!C131</f>
        <v>MOTHERSON</v>
      </c>
      <c r="B136" s="50">
        <f>VLOOKUP($A136,'Data Vlaue (Cr)'!$C:$FB,8)</f>
        <v>120.17</v>
      </c>
      <c r="C136" s="50">
        <f>VLOOKUP($A136,'Data Vlaue (Cr)'!$C:$FB,11)*100</f>
        <v>-1.01</v>
      </c>
      <c r="D136" s="50">
        <f>VLOOKUP($A136,'Data Vlaue (Cr)'!$C:$FB,143)</f>
        <v>1241.5899999999999</v>
      </c>
      <c r="E136" s="50">
        <f>VLOOKUP($A136,'Data Vlaue (Cr)'!$C:$FB,144)</f>
        <v>1067.06</v>
      </c>
      <c r="F136" s="50">
        <f>VLOOKUP($A136,'Data Vlaue (Cr)'!$C:$FB,146)*100</f>
        <v>16.36</v>
      </c>
      <c r="G136" s="49">
        <f>VLOOKUP($A136,'Data Vlaue (Cr)'!$C:$FB,43)</f>
        <v>479</v>
      </c>
      <c r="H136" s="49">
        <f>VLOOKUP($A136,'Data Vlaue (Cr)'!$C:$FB,44)</f>
        <v>372</v>
      </c>
      <c r="I136" s="49">
        <f>VLOOKUP($A136,'Data Vlaue (Cr)'!$C:$FB,46)*100</f>
        <v>28.689999999999998</v>
      </c>
      <c r="J136" s="51">
        <f>VLOOKUP($A136,'Data Vlaue (Cr)'!$C:$FB,59)</f>
        <v>438</v>
      </c>
      <c r="K136" s="51">
        <f>VLOOKUP($A136,'Data Vlaue (Cr)'!$C:$FB,60)</f>
        <v>419</v>
      </c>
      <c r="L136" s="51">
        <f>VLOOKUP($A136,'Data Vlaue (Cr)'!$C:$FB,62)*100</f>
        <v>4.6399999999999997</v>
      </c>
      <c r="M136" s="51">
        <f>VLOOKUP($A136,'Data Vlaue (Cr)'!$C:$FB,63)</f>
        <v>294</v>
      </c>
      <c r="N136" s="51">
        <f>VLOOKUP($A136,'Data Vlaue (Cr)'!$C:$FB,64)</f>
        <v>223</v>
      </c>
      <c r="O136" s="51">
        <f>VLOOKUP($A136,'Data Vlaue (Cr)'!$C:$FB,66)*100</f>
        <v>31.819999999999997</v>
      </c>
    </row>
    <row r="137" spans="1:15" x14ac:dyDescent="0.25">
      <c r="A137" s="101" t="str">
        <f>'Data Vlaue (Cr)'!C132</f>
        <v>MPHASIS</v>
      </c>
      <c r="B137" s="50">
        <f>VLOOKUP($A137,'Data Vlaue (Cr)'!$C:$FB,8)</f>
        <v>2185.1999999999998</v>
      </c>
      <c r="C137" s="50">
        <f>VLOOKUP($A137,'Data Vlaue (Cr)'!$C:$FB,11)*100</f>
        <v>0.01</v>
      </c>
      <c r="D137" s="50">
        <f>VLOOKUP($A137,'Data Vlaue (Cr)'!$C:$FB,143)</f>
        <v>562.76</v>
      </c>
      <c r="E137" s="50">
        <f>VLOOKUP($A137,'Data Vlaue (Cr)'!$C:$FB,144)</f>
        <v>350.56</v>
      </c>
      <c r="F137" s="50">
        <f>VLOOKUP($A137,'Data Vlaue (Cr)'!$C:$FB,146)*100</f>
        <v>60.529999999999994</v>
      </c>
      <c r="G137" s="49">
        <f>VLOOKUP($A137,'Data Vlaue (Cr)'!$C:$FB,43)</f>
        <v>123</v>
      </c>
      <c r="H137" s="49">
        <f>VLOOKUP($A137,'Data Vlaue (Cr)'!$C:$FB,44)</f>
        <v>127</v>
      </c>
      <c r="I137" s="49">
        <f>VLOOKUP($A137,'Data Vlaue (Cr)'!$C:$FB,46)*100</f>
        <v>-3.09</v>
      </c>
      <c r="J137" s="51">
        <f>VLOOKUP($A137,'Data Vlaue (Cr)'!$C:$FB,59)</f>
        <v>272</v>
      </c>
      <c r="K137" s="51">
        <f>VLOOKUP($A137,'Data Vlaue (Cr)'!$C:$FB,60)</f>
        <v>112</v>
      </c>
      <c r="L137" s="51">
        <f>VLOOKUP($A137,'Data Vlaue (Cr)'!$C:$FB,62)*100</f>
        <v>143.76</v>
      </c>
      <c r="M137" s="51">
        <f>VLOOKUP($A137,'Data Vlaue (Cr)'!$C:$FB,63)</f>
        <v>150</v>
      </c>
      <c r="N137" s="51">
        <f>VLOOKUP($A137,'Data Vlaue (Cr)'!$C:$FB,64)</f>
        <v>107</v>
      </c>
      <c r="O137" s="51">
        <f>VLOOKUP($A137,'Data Vlaue (Cr)'!$C:$FB,66)*100</f>
        <v>40.380000000000003</v>
      </c>
    </row>
    <row r="138" spans="1:15" x14ac:dyDescent="0.25">
      <c r="A138" s="101" t="str">
        <f>'Data Vlaue (Cr)'!C133</f>
        <v>MUTHOOTFIN</v>
      </c>
      <c r="B138" s="50">
        <f>VLOOKUP($A138,'Data Vlaue (Cr)'!$C:$FB,8)</f>
        <v>3244</v>
      </c>
      <c r="C138" s="50">
        <f>VLOOKUP($A138,'Data Vlaue (Cr)'!$C:$FB,11)*100</f>
        <v>2.5299999999999998</v>
      </c>
      <c r="D138" s="50">
        <f>VLOOKUP($A138,'Data Vlaue (Cr)'!$C:$FB,143)</f>
        <v>2139.9899999999998</v>
      </c>
      <c r="E138" s="50">
        <f>VLOOKUP($A138,'Data Vlaue (Cr)'!$C:$FB,144)</f>
        <v>2092.19</v>
      </c>
      <c r="F138" s="50">
        <f>VLOOKUP($A138,'Data Vlaue (Cr)'!$C:$FB,146)*100</f>
        <v>2.2800000000000002</v>
      </c>
      <c r="G138" s="49">
        <f>VLOOKUP($A138,'Data Vlaue (Cr)'!$C:$FB,43)</f>
        <v>358</v>
      </c>
      <c r="H138" s="49">
        <f>VLOOKUP($A138,'Data Vlaue (Cr)'!$C:$FB,44)</f>
        <v>428</v>
      </c>
      <c r="I138" s="49">
        <f>VLOOKUP($A138,'Data Vlaue (Cr)'!$C:$FB,46)*100</f>
        <v>-16.25</v>
      </c>
      <c r="J138" s="51">
        <f>VLOOKUP($A138,'Data Vlaue (Cr)'!$C:$FB,59)</f>
        <v>1218</v>
      </c>
      <c r="K138" s="51">
        <f>VLOOKUP($A138,'Data Vlaue (Cr)'!$C:$FB,60)</f>
        <v>1022</v>
      </c>
      <c r="L138" s="51">
        <f>VLOOKUP($A138,'Data Vlaue (Cr)'!$C:$FB,62)*100</f>
        <v>19.2</v>
      </c>
      <c r="M138" s="51">
        <f>VLOOKUP($A138,'Data Vlaue (Cr)'!$C:$FB,63)</f>
        <v>504</v>
      </c>
      <c r="N138" s="51">
        <f>VLOOKUP($A138,'Data Vlaue (Cr)'!$C:$FB,64)</f>
        <v>568</v>
      </c>
      <c r="O138" s="51">
        <f>VLOOKUP($A138,'Data Vlaue (Cr)'!$C:$FB,66)*100</f>
        <v>-11.26</v>
      </c>
    </row>
    <row r="139" spans="1:15" x14ac:dyDescent="0.25">
      <c r="A139" s="101" t="str">
        <f>'Data Vlaue (Cr)'!C134</f>
        <v>NATIONALUM</v>
      </c>
      <c r="B139" s="50">
        <f>VLOOKUP($A139,'Data Vlaue (Cr)'!$C:$FB,8)</f>
        <v>409.15</v>
      </c>
      <c r="C139" s="50">
        <f>VLOOKUP($A139,'Data Vlaue (Cr)'!$C:$FB,11)*100</f>
        <v>2.87</v>
      </c>
      <c r="D139" s="50">
        <f>VLOOKUP($A139,'Data Vlaue (Cr)'!$C:$FB,143)</f>
        <v>6972.05</v>
      </c>
      <c r="E139" s="50">
        <f>VLOOKUP($A139,'Data Vlaue (Cr)'!$C:$FB,144)</f>
        <v>6542.68</v>
      </c>
      <c r="F139" s="50">
        <f>VLOOKUP($A139,'Data Vlaue (Cr)'!$C:$FB,146)*100</f>
        <v>6.5600000000000005</v>
      </c>
      <c r="G139" s="49">
        <f>VLOOKUP($A139,'Data Vlaue (Cr)'!$C:$FB,43)</f>
        <v>1410</v>
      </c>
      <c r="H139" s="49">
        <f>VLOOKUP($A139,'Data Vlaue (Cr)'!$C:$FB,44)</f>
        <v>1116</v>
      </c>
      <c r="I139" s="49">
        <f>VLOOKUP($A139,'Data Vlaue (Cr)'!$C:$FB,46)*100</f>
        <v>26.33</v>
      </c>
      <c r="J139" s="51">
        <f>VLOOKUP($A139,'Data Vlaue (Cr)'!$C:$FB,59)</f>
        <v>3743</v>
      </c>
      <c r="K139" s="51">
        <f>VLOOKUP($A139,'Data Vlaue (Cr)'!$C:$FB,60)</f>
        <v>3738</v>
      </c>
      <c r="L139" s="51">
        <f>VLOOKUP($A139,'Data Vlaue (Cr)'!$C:$FB,62)*100</f>
        <v>0.13</v>
      </c>
      <c r="M139" s="51">
        <f>VLOOKUP($A139,'Data Vlaue (Cr)'!$C:$FB,63)</f>
        <v>1747</v>
      </c>
      <c r="N139" s="51">
        <f>VLOOKUP($A139,'Data Vlaue (Cr)'!$C:$FB,64)</f>
        <v>1630</v>
      </c>
      <c r="O139" s="51">
        <f>VLOOKUP($A139,'Data Vlaue (Cr)'!$C:$FB,66)*100</f>
        <v>7.1999999999999993</v>
      </c>
    </row>
    <row r="140" spans="1:15" x14ac:dyDescent="0.25">
      <c r="A140" s="101" t="str">
        <f>'Data Vlaue (Cr)'!C135</f>
        <v>NAUKRI</v>
      </c>
      <c r="B140" s="50">
        <f>VLOOKUP($A140,'Data Vlaue (Cr)'!$C:$FB,8)</f>
        <v>955.4</v>
      </c>
      <c r="C140" s="50">
        <f>VLOOKUP($A140,'Data Vlaue (Cr)'!$C:$FB,11)*100</f>
        <v>-0.12</v>
      </c>
      <c r="D140" s="50">
        <f>VLOOKUP($A140,'Data Vlaue (Cr)'!$C:$FB,143)</f>
        <v>506.88</v>
      </c>
      <c r="E140" s="50">
        <f>VLOOKUP($A140,'Data Vlaue (Cr)'!$C:$FB,144)</f>
        <v>489.83</v>
      </c>
      <c r="F140" s="50">
        <f>VLOOKUP($A140,'Data Vlaue (Cr)'!$C:$FB,146)*100</f>
        <v>3.4799999999999995</v>
      </c>
      <c r="G140" s="49">
        <f>VLOOKUP($A140,'Data Vlaue (Cr)'!$C:$FB,43)</f>
        <v>103</v>
      </c>
      <c r="H140" s="49">
        <f>VLOOKUP($A140,'Data Vlaue (Cr)'!$C:$FB,44)</f>
        <v>92</v>
      </c>
      <c r="I140" s="49">
        <f>VLOOKUP($A140,'Data Vlaue (Cr)'!$C:$FB,46)*100</f>
        <v>12.049999999999999</v>
      </c>
      <c r="J140" s="51">
        <f>VLOOKUP($A140,'Data Vlaue (Cr)'!$C:$FB,59)</f>
        <v>281</v>
      </c>
      <c r="K140" s="51">
        <f>VLOOKUP($A140,'Data Vlaue (Cr)'!$C:$FB,60)</f>
        <v>239</v>
      </c>
      <c r="L140" s="51">
        <f>VLOOKUP($A140,'Data Vlaue (Cr)'!$C:$FB,62)*100</f>
        <v>17.23</v>
      </c>
      <c r="M140" s="51">
        <f>VLOOKUP($A140,'Data Vlaue (Cr)'!$C:$FB,63)</f>
        <v>103</v>
      </c>
      <c r="N140" s="51">
        <f>VLOOKUP($A140,'Data Vlaue (Cr)'!$C:$FB,64)</f>
        <v>136</v>
      </c>
      <c r="O140" s="51">
        <f>VLOOKUP($A140,'Data Vlaue (Cr)'!$C:$FB,66)*100</f>
        <v>-24.36</v>
      </c>
    </row>
    <row r="141" spans="1:15" x14ac:dyDescent="0.25">
      <c r="A141" s="101" t="str">
        <f>'Data Vlaue (Cr)'!C136</f>
        <v>NBCC</v>
      </c>
      <c r="B141" s="50">
        <f>VLOOKUP($A141,'Data Vlaue (Cr)'!$C:$FB,8)</f>
        <v>86.58</v>
      </c>
      <c r="C141" s="50">
        <f>VLOOKUP($A141,'Data Vlaue (Cr)'!$C:$FB,11)*100</f>
        <v>0.49</v>
      </c>
      <c r="D141" s="50">
        <f>VLOOKUP($A141,'Data Vlaue (Cr)'!$C:$FB,143)</f>
        <v>274.64999999999998</v>
      </c>
      <c r="E141" s="50">
        <f>VLOOKUP($A141,'Data Vlaue (Cr)'!$C:$FB,144)</f>
        <v>227.7</v>
      </c>
      <c r="F141" s="50">
        <f>VLOOKUP($A141,'Data Vlaue (Cr)'!$C:$FB,146)*100</f>
        <v>20.62</v>
      </c>
      <c r="G141" s="49">
        <f>VLOOKUP($A141,'Data Vlaue (Cr)'!$C:$FB,43)</f>
        <v>85</v>
      </c>
      <c r="H141" s="49">
        <f>VLOOKUP($A141,'Data Vlaue (Cr)'!$C:$FB,44)</f>
        <v>83</v>
      </c>
      <c r="I141" s="49">
        <f>VLOOKUP($A141,'Data Vlaue (Cr)'!$C:$FB,46)*100</f>
        <v>2.39</v>
      </c>
      <c r="J141" s="51">
        <f>VLOOKUP($A141,'Data Vlaue (Cr)'!$C:$FB,59)</f>
        <v>118</v>
      </c>
      <c r="K141" s="51">
        <f>VLOOKUP($A141,'Data Vlaue (Cr)'!$C:$FB,60)</f>
        <v>85</v>
      </c>
      <c r="L141" s="51">
        <f>VLOOKUP($A141,'Data Vlaue (Cr)'!$C:$FB,62)*100</f>
        <v>38.79</v>
      </c>
      <c r="M141" s="51">
        <f>VLOOKUP($A141,'Data Vlaue (Cr)'!$C:$FB,63)</f>
        <v>61</v>
      </c>
      <c r="N141" s="51">
        <f>VLOOKUP($A141,'Data Vlaue (Cr)'!$C:$FB,64)</f>
        <v>50</v>
      </c>
      <c r="O141" s="51">
        <f>VLOOKUP($A141,'Data Vlaue (Cr)'!$C:$FB,66)*100</f>
        <v>22.13</v>
      </c>
    </row>
    <row r="142" spans="1:15" x14ac:dyDescent="0.25">
      <c r="A142" s="101" t="str">
        <f>'Data Vlaue (Cr)'!C137</f>
        <v>NESTLEIND</v>
      </c>
      <c r="B142" s="50">
        <f>VLOOKUP($A142,'Data Vlaue (Cr)'!$C:$FB,8)</f>
        <v>1220.8</v>
      </c>
      <c r="C142" s="50">
        <f>VLOOKUP($A142,'Data Vlaue (Cr)'!$C:$FB,11)*100</f>
        <v>-1.05</v>
      </c>
      <c r="D142" s="50">
        <f>VLOOKUP($A142,'Data Vlaue (Cr)'!$C:$FB,143)</f>
        <v>559.03</v>
      </c>
      <c r="E142" s="50">
        <f>VLOOKUP($A142,'Data Vlaue (Cr)'!$C:$FB,144)</f>
        <v>513.45000000000005</v>
      </c>
      <c r="F142" s="50">
        <f>VLOOKUP($A142,'Data Vlaue (Cr)'!$C:$FB,146)*100</f>
        <v>8.8800000000000008</v>
      </c>
      <c r="G142" s="49">
        <f>VLOOKUP($A142,'Data Vlaue (Cr)'!$C:$FB,43)</f>
        <v>187</v>
      </c>
      <c r="H142" s="49">
        <f>VLOOKUP($A142,'Data Vlaue (Cr)'!$C:$FB,44)</f>
        <v>165</v>
      </c>
      <c r="I142" s="49">
        <f>VLOOKUP($A142,'Data Vlaue (Cr)'!$C:$FB,46)*100</f>
        <v>13.04</v>
      </c>
      <c r="J142" s="51">
        <f>VLOOKUP($A142,'Data Vlaue (Cr)'!$C:$FB,59)</f>
        <v>204</v>
      </c>
      <c r="K142" s="51">
        <f>VLOOKUP($A142,'Data Vlaue (Cr)'!$C:$FB,60)</f>
        <v>202</v>
      </c>
      <c r="L142" s="51">
        <f>VLOOKUP($A142,'Data Vlaue (Cr)'!$C:$FB,62)*100</f>
        <v>1.27</v>
      </c>
      <c r="M142" s="51">
        <f>VLOOKUP($A142,'Data Vlaue (Cr)'!$C:$FB,63)</f>
        <v>161</v>
      </c>
      <c r="N142" s="51">
        <f>VLOOKUP($A142,'Data Vlaue (Cr)'!$C:$FB,64)</f>
        <v>135</v>
      </c>
      <c r="O142" s="51">
        <f>VLOOKUP($A142,'Data Vlaue (Cr)'!$C:$FB,66)*100</f>
        <v>19.32</v>
      </c>
    </row>
    <row r="143" spans="1:15" x14ac:dyDescent="0.25">
      <c r="A143" s="101" t="str">
        <f>'Data Vlaue (Cr)'!C138</f>
        <v>NHPC</v>
      </c>
      <c r="B143" s="50">
        <f>VLOOKUP($A143,'Data Vlaue (Cr)'!$C:$FB,8)</f>
        <v>74.78</v>
      </c>
      <c r="C143" s="50">
        <f>VLOOKUP($A143,'Data Vlaue (Cr)'!$C:$FB,11)*100</f>
        <v>1.7999999999999998</v>
      </c>
      <c r="D143" s="50">
        <f>VLOOKUP($A143,'Data Vlaue (Cr)'!$C:$FB,143)</f>
        <v>866.61</v>
      </c>
      <c r="E143" s="50">
        <f>VLOOKUP($A143,'Data Vlaue (Cr)'!$C:$FB,144)</f>
        <v>557.97</v>
      </c>
      <c r="F143" s="50">
        <f>VLOOKUP($A143,'Data Vlaue (Cr)'!$C:$FB,146)*100</f>
        <v>55.32</v>
      </c>
      <c r="G143" s="49">
        <f>VLOOKUP($A143,'Data Vlaue (Cr)'!$C:$FB,43)</f>
        <v>156</v>
      </c>
      <c r="H143" s="49">
        <f>VLOOKUP($A143,'Data Vlaue (Cr)'!$C:$FB,44)</f>
        <v>113</v>
      </c>
      <c r="I143" s="49">
        <f>VLOOKUP($A143,'Data Vlaue (Cr)'!$C:$FB,46)*100</f>
        <v>38.22</v>
      </c>
      <c r="J143" s="51">
        <f>VLOOKUP($A143,'Data Vlaue (Cr)'!$C:$FB,59)</f>
        <v>522</v>
      </c>
      <c r="K143" s="51">
        <f>VLOOKUP($A143,'Data Vlaue (Cr)'!$C:$FB,60)</f>
        <v>322</v>
      </c>
      <c r="L143" s="51">
        <f>VLOOKUP($A143,'Data Vlaue (Cr)'!$C:$FB,62)*100</f>
        <v>62.12</v>
      </c>
      <c r="M143" s="51">
        <f>VLOOKUP($A143,'Data Vlaue (Cr)'!$C:$FB,63)</f>
        <v>162</v>
      </c>
      <c r="N143" s="51">
        <f>VLOOKUP($A143,'Data Vlaue (Cr)'!$C:$FB,64)</f>
        <v>116</v>
      </c>
      <c r="O143" s="51">
        <f>VLOOKUP($A143,'Data Vlaue (Cr)'!$C:$FB,66)*100</f>
        <v>39.72</v>
      </c>
    </row>
    <row r="144" spans="1:15" x14ac:dyDescent="0.25">
      <c r="A144" s="101" t="str">
        <f>'Data Vlaue (Cr)'!C139</f>
        <v>NIFTY</v>
      </c>
      <c r="B144" s="50">
        <f>VLOOKUP($A144,'Data Vlaue (Cr)'!$C:$FB,8)</f>
        <v>23639.15</v>
      </c>
      <c r="C144" s="50">
        <f>VLOOKUP($A144,'Data Vlaue (Cr)'!$C:$FB,11)*100</f>
        <v>-0.95</v>
      </c>
      <c r="D144" s="50">
        <f>VLOOKUP($A144,'Data Vlaue (Cr)'!$C:$FB,143)</f>
        <v>7695359.3200000003</v>
      </c>
      <c r="E144" s="50">
        <f>VLOOKUP($A144,'Data Vlaue (Cr)'!$C:$FB,144)</f>
        <v>7769653.9900000002</v>
      </c>
      <c r="F144" s="50">
        <f>VLOOKUP($A144,'Data Vlaue (Cr)'!$C:$FB,146)*100</f>
        <v>-0.96</v>
      </c>
      <c r="G144" s="49">
        <f>VLOOKUP($A144,'Data Vlaue (Cr)'!$C:$FB,43)</f>
        <v>24138</v>
      </c>
      <c r="H144" s="49">
        <f>VLOOKUP($A144,'Data Vlaue (Cr)'!$C:$FB,44)</f>
        <v>22504</v>
      </c>
      <c r="I144" s="49">
        <f>VLOOKUP($A144,'Data Vlaue (Cr)'!$C:$FB,46)*100</f>
        <v>7.26</v>
      </c>
      <c r="J144" s="51">
        <f>VLOOKUP($A144,'Data Vlaue (Cr)'!$C:$FB,59)</f>
        <v>4122354</v>
      </c>
      <c r="K144" s="51">
        <f>VLOOKUP($A144,'Data Vlaue (Cr)'!$C:$FB,60)</f>
        <v>3563388</v>
      </c>
      <c r="L144" s="51">
        <f>VLOOKUP($A144,'Data Vlaue (Cr)'!$C:$FB,62)*100</f>
        <v>15.690000000000001</v>
      </c>
      <c r="M144" s="51">
        <f>VLOOKUP($A144,'Data Vlaue (Cr)'!$C:$FB,63)</f>
        <v>3451030</v>
      </c>
      <c r="N144" s="51">
        <f>VLOOKUP($A144,'Data Vlaue (Cr)'!$C:$FB,64)</f>
        <v>4015282</v>
      </c>
      <c r="O144" s="51">
        <f>VLOOKUP($A144,'Data Vlaue (Cr)'!$C:$FB,66)*100</f>
        <v>-14.05</v>
      </c>
    </row>
    <row r="145" spans="1:15" x14ac:dyDescent="0.25">
      <c r="A145" s="101" t="str">
        <f>'Data Vlaue (Cr)'!C140</f>
        <v>NIFTYNXT50</v>
      </c>
      <c r="B145" s="50">
        <f>VLOOKUP($A145,'Data Vlaue (Cr)'!$C:$FB,8)</f>
        <v>66424.55</v>
      </c>
      <c r="C145" s="50">
        <f>VLOOKUP($A145,'Data Vlaue (Cr)'!$C:$FB,11)*100</f>
        <v>-0.11</v>
      </c>
      <c r="D145" s="50">
        <f>VLOOKUP($A145,'Data Vlaue (Cr)'!$C:$FB,143)</f>
        <v>89.17</v>
      </c>
      <c r="E145" s="50">
        <f>VLOOKUP($A145,'Data Vlaue (Cr)'!$C:$FB,144)</f>
        <v>167.87</v>
      </c>
      <c r="F145" s="50">
        <f>VLOOKUP($A145,'Data Vlaue (Cr)'!$C:$FB,146)*100</f>
        <v>-46.88</v>
      </c>
      <c r="G145" s="49">
        <f>VLOOKUP($A145,'Data Vlaue (Cr)'!$C:$FB,43)</f>
        <v>52</v>
      </c>
      <c r="H145" s="49">
        <f>VLOOKUP($A145,'Data Vlaue (Cr)'!$C:$FB,44)</f>
        <v>51</v>
      </c>
      <c r="I145" s="49">
        <f>VLOOKUP($A145,'Data Vlaue (Cr)'!$C:$FB,46)*100</f>
        <v>2.94</v>
      </c>
      <c r="J145" s="51">
        <f>VLOOKUP($A145,'Data Vlaue (Cr)'!$C:$FB,59)</f>
        <v>23</v>
      </c>
      <c r="K145" s="51">
        <f>VLOOKUP($A145,'Data Vlaue (Cr)'!$C:$FB,60)</f>
        <v>70</v>
      </c>
      <c r="L145" s="51">
        <f>VLOOKUP($A145,'Data Vlaue (Cr)'!$C:$FB,62)*100</f>
        <v>-66.59</v>
      </c>
      <c r="M145" s="51">
        <f>VLOOKUP($A145,'Data Vlaue (Cr)'!$C:$FB,63)</f>
        <v>13</v>
      </c>
      <c r="N145" s="51">
        <f>VLOOKUP($A145,'Data Vlaue (Cr)'!$C:$FB,64)</f>
        <v>43</v>
      </c>
      <c r="O145" s="51">
        <f>VLOOKUP($A145,'Data Vlaue (Cr)'!$C:$FB,66)*100</f>
        <v>-70.040000000000006</v>
      </c>
    </row>
    <row r="146" spans="1:15" x14ac:dyDescent="0.25">
      <c r="A146" s="101" t="str">
        <f>'Data Vlaue (Cr)'!C141</f>
        <v>NMDC</v>
      </c>
      <c r="B146" s="50">
        <f>VLOOKUP($A146,'Data Vlaue (Cr)'!$C:$FB,8)</f>
        <v>80.87</v>
      </c>
      <c r="C146" s="50">
        <f>VLOOKUP($A146,'Data Vlaue (Cr)'!$C:$FB,11)*100</f>
        <v>1.43</v>
      </c>
      <c r="D146" s="50">
        <f>VLOOKUP($A146,'Data Vlaue (Cr)'!$C:$FB,143)</f>
        <v>1037.8599999999999</v>
      </c>
      <c r="E146" s="50">
        <f>VLOOKUP($A146,'Data Vlaue (Cr)'!$C:$FB,144)</f>
        <v>755.03</v>
      </c>
      <c r="F146" s="50">
        <f>VLOOKUP($A146,'Data Vlaue (Cr)'!$C:$FB,146)*100</f>
        <v>37.46</v>
      </c>
      <c r="G146" s="49">
        <f>VLOOKUP($A146,'Data Vlaue (Cr)'!$C:$FB,43)</f>
        <v>270</v>
      </c>
      <c r="H146" s="49">
        <f>VLOOKUP($A146,'Data Vlaue (Cr)'!$C:$FB,44)</f>
        <v>167</v>
      </c>
      <c r="I146" s="49">
        <f>VLOOKUP($A146,'Data Vlaue (Cr)'!$C:$FB,46)*100</f>
        <v>61.33</v>
      </c>
      <c r="J146" s="51">
        <f>VLOOKUP($A146,'Data Vlaue (Cr)'!$C:$FB,59)</f>
        <v>556</v>
      </c>
      <c r="K146" s="51">
        <f>VLOOKUP($A146,'Data Vlaue (Cr)'!$C:$FB,60)</f>
        <v>411</v>
      </c>
      <c r="L146" s="51">
        <f>VLOOKUP($A146,'Data Vlaue (Cr)'!$C:$FB,62)*100</f>
        <v>35.25</v>
      </c>
      <c r="M146" s="51">
        <f>VLOOKUP($A146,'Data Vlaue (Cr)'!$C:$FB,63)</f>
        <v>194</v>
      </c>
      <c r="N146" s="51">
        <f>VLOOKUP($A146,'Data Vlaue (Cr)'!$C:$FB,64)</f>
        <v>160</v>
      </c>
      <c r="O146" s="51">
        <f>VLOOKUP($A146,'Data Vlaue (Cr)'!$C:$FB,66)*100</f>
        <v>21.060000000000002</v>
      </c>
    </row>
    <row r="147" spans="1:15" x14ac:dyDescent="0.25">
      <c r="A147" s="101" t="str">
        <f>'Data Vlaue (Cr)'!C142</f>
        <v>NTPC</v>
      </c>
      <c r="B147" s="50">
        <f>VLOOKUP($A147,'Data Vlaue (Cr)'!$C:$FB,8)</f>
        <v>390.55</v>
      </c>
      <c r="C147" s="50">
        <f>VLOOKUP($A147,'Data Vlaue (Cr)'!$C:$FB,11)*100</f>
        <v>2.8000000000000003</v>
      </c>
      <c r="D147" s="50">
        <f>VLOOKUP($A147,'Data Vlaue (Cr)'!$C:$FB,143)</f>
        <v>13661.73</v>
      </c>
      <c r="E147" s="50">
        <f>VLOOKUP($A147,'Data Vlaue (Cr)'!$C:$FB,144)</f>
        <v>4128.7</v>
      </c>
      <c r="F147" s="50">
        <f>VLOOKUP($A147,'Data Vlaue (Cr)'!$C:$FB,146)*100</f>
        <v>230.9</v>
      </c>
      <c r="G147" s="49">
        <f>VLOOKUP($A147,'Data Vlaue (Cr)'!$C:$FB,43)</f>
        <v>1121</v>
      </c>
      <c r="H147" s="49">
        <f>VLOOKUP($A147,'Data Vlaue (Cr)'!$C:$FB,44)</f>
        <v>481</v>
      </c>
      <c r="I147" s="49">
        <f>VLOOKUP($A147,'Data Vlaue (Cr)'!$C:$FB,46)*100</f>
        <v>133.16</v>
      </c>
      <c r="J147" s="51">
        <f>VLOOKUP($A147,'Data Vlaue (Cr)'!$C:$FB,59)</f>
        <v>9981</v>
      </c>
      <c r="K147" s="51">
        <f>VLOOKUP($A147,'Data Vlaue (Cr)'!$C:$FB,60)</f>
        <v>2688</v>
      </c>
      <c r="L147" s="51">
        <f>VLOOKUP($A147,'Data Vlaue (Cr)'!$C:$FB,62)*100</f>
        <v>271.37</v>
      </c>
      <c r="M147" s="51">
        <f>VLOOKUP($A147,'Data Vlaue (Cr)'!$C:$FB,63)</f>
        <v>2367</v>
      </c>
      <c r="N147" s="51">
        <f>VLOOKUP($A147,'Data Vlaue (Cr)'!$C:$FB,64)</f>
        <v>967</v>
      </c>
      <c r="O147" s="51">
        <f>VLOOKUP($A147,'Data Vlaue (Cr)'!$C:$FB,66)*100</f>
        <v>144.64999999999998</v>
      </c>
    </row>
    <row r="148" spans="1:15" x14ac:dyDescent="0.25">
      <c r="A148" s="101" t="str">
        <f>'Data Vlaue (Cr)'!C143</f>
        <v>NUVAMA</v>
      </c>
      <c r="B148" s="50">
        <f>VLOOKUP($A148,'Data Vlaue (Cr)'!$C:$FB,8)</f>
        <v>1183.8</v>
      </c>
      <c r="C148" s="50">
        <f>VLOOKUP($A148,'Data Vlaue (Cr)'!$C:$FB,11)*100</f>
        <v>-2.37</v>
      </c>
      <c r="D148" s="50">
        <f>VLOOKUP($A148,'Data Vlaue (Cr)'!$C:$FB,143)</f>
        <v>172.1</v>
      </c>
      <c r="E148" s="50">
        <f>VLOOKUP($A148,'Data Vlaue (Cr)'!$C:$FB,144)</f>
        <v>177.82</v>
      </c>
      <c r="F148" s="50">
        <f>VLOOKUP($A148,'Data Vlaue (Cr)'!$C:$FB,146)*100</f>
        <v>-3.2199999999999998</v>
      </c>
      <c r="G148" s="49">
        <f>VLOOKUP($A148,'Data Vlaue (Cr)'!$C:$FB,43)</f>
        <v>71</v>
      </c>
      <c r="H148" s="49">
        <f>VLOOKUP($A148,'Data Vlaue (Cr)'!$C:$FB,44)</f>
        <v>58</v>
      </c>
      <c r="I148" s="49">
        <f>VLOOKUP($A148,'Data Vlaue (Cr)'!$C:$FB,46)*100</f>
        <v>22.6</v>
      </c>
      <c r="J148" s="51">
        <f>VLOOKUP($A148,'Data Vlaue (Cr)'!$C:$FB,59)</f>
        <v>71</v>
      </c>
      <c r="K148" s="51">
        <f>VLOOKUP($A148,'Data Vlaue (Cr)'!$C:$FB,60)</f>
        <v>85</v>
      </c>
      <c r="L148" s="51">
        <f>VLOOKUP($A148,'Data Vlaue (Cr)'!$C:$FB,62)*100</f>
        <v>-16.48</v>
      </c>
      <c r="M148" s="51">
        <f>VLOOKUP($A148,'Data Vlaue (Cr)'!$C:$FB,63)</f>
        <v>21</v>
      </c>
      <c r="N148" s="51">
        <f>VLOOKUP($A148,'Data Vlaue (Cr)'!$C:$FB,64)</f>
        <v>21</v>
      </c>
      <c r="O148" s="51">
        <f>VLOOKUP($A148,'Data Vlaue (Cr)'!$C:$FB,66)*100</f>
        <v>-1.96</v>
      </c>
    </row>
    <row r="149" spans="1:15" x14ac:dyDescent="0.25">
      <c r="A149" s="101" t="str">
        <f>'Data Vlaue (Cr)'!C144</f>
        <v>NYKAA</v>
      </c>
      <c r="B149" s="50">
        <f>VLOOKUP($A149,'Data Vlaue (Cr)'!$C:$FB,8)</f>
        <v>244.95</v>
      </c>
      <c r="C149" s="50">
        <f>VLOOKUP($A149,'Data Vlaue (Cr)'!$C:$FB,11)*100</f>
        <v>-2.68</v>
      </c>
      <c r="D149" s="50">
        <f>VLOOKUP($A149,'Data Vlaue (Cr)'!$C:$FB,143)</f>
        <v>292.91000000000003</v>
      </c>
      <c r="E149" s="50">
        <f>VLOOKUP($A149,'Data Vlaue (Cr)'!$C:$FB,144)</f>
        <v>307.51</v>
      </c>
      <c r="F149" s="50">
        <f>VLOOKUP($A149,'Data Vlaue (Cr)'!$C:$FB,146)*100</f>
        <v>-4.75</v>
      </c>
      <c r="G149" s="49">
        <f>VLOOKUP($A149,'Data Vlaue (Cr)'!$C:$FB,43)</f>
        <v>95</v>
      </c>
      <c r="H149" s="49">
        <f>VLOOKUP($A149,'Data Vlaue (Cr)'!$C:$FB,44)</f>
        <v>135</v>
      </c>
      <c r="I149" s="49">
        <f>VLOOKUP($A149,'Data Vlaue (Cr)'!$C:$FB,46)*100</f>
        <v>-29.93</v>
      </c>
      <c r="J149" s="51">
        <f>VLOOKUP($A149,'Data Vlaue (Cr)'!$C:$FB,59)</f>
        <v>126</v>
      </c>
      <c r="K149" s="51">
        <f>VLOOKUP($A149,'Data Vlaue (Cr)'!$C:$FB,60)</f>
        <v>100</v>
      </c>
      <c r="L149" s="51">
        <f>VLOOKUP($A149,'Data Vlaue (Cr)'!$C:$FB,62)*100</f>
        <v>25.590000000000003</v>
      </c>
      <c r="M149" s="51">
        <f>VLOOKUP($A149,'Data Vlaue (Cr)'!$C:$FB,63)</f>
        <v>61</v>
      </c>
      <c r="N149" s="51">
        <f>VLOOKUP($A149,'Data Vlaue (Cr)'!$C:$FB,64)</f>
        <v>54</v>
      </c>
      <c r="O149" s="51">
        <f>VLOOKUP($A149,'Data Vlaue (Cr)'!$C:$FB,66)*100</f>
        <v>12.02</v>
      </c>
    </row>
    <row r="150" spans="1:15" x14ac:dyDescent="0.25">
      <c r="A150" s="101" t="str">
        <f>'Data Vlaue (Cr)'!C145</f>
        <v>OBEROIRLTY</v>
      </c>
      <c r="B150" s="50">
        <f>VLOOKUP($A150,'Data Vlaue (Cr)'!$C:$FB,8)</f>
        <v>1470.3</v>
      </c>
      <c r="C150" s="50">
        <f>VLOOKUP($A150,'Data Vlaue (Cr)'!$C:$FB,11)*100</f>
        <v>-1.24</v>
      </c>
      <c r="D150" s="50">
        <f>VLOOKUP($A150,'Data Vlaue (Cr)'!$C:$FB,143)</f>
        <v>343.12</v>
      </c>
      <c r="E150" s="50">
        <f>VLOOKUP($A150,'Data Vlaue (Cr)'!$C:$FB,144)</f>
        <v>468.25</v>
      </c>
      <c r="F150" s="50">
        <f>VLOOKUP($A150,'Data Vlaue (Cr)'!$C:$FB,146)*100</f>
        <v>-26.72</v>
      </c>
      <c r="G150" s="49">
        <f>VLOOKUP($A150,'Data Vlaue (Cr)'!$C:$FB,43)</f>
        <v>162</v>
      </c>
      <c r="H150" s="49">
        <f>VLOOKUP($A150,'Data Vlaue (Cr)'!$C:$FB,44)</f>
        <v>176</v>
      </c>
      <c r="I150" s="49">
        <f>VLOOKUP($A150,'Data Vlaue (Cr)'!$C:$FB,46)*100</f>
        <v>-7.6700000000000008</v>
      </c>
      <c r="J150" s="51">
        <f>VLOOKUP($A150,'Data Vlaue (Cr)'!$C:$FB,59)</f>
        <v>104</v>
      </c>
      <c r="K150" s="51">
        <f>VLOOKUP($A150,'Data Vlaue (Cr)'!$C:$FB,60)</f>
        <v>138</v>
      </c>
      <c r="L150" s="51">
        <f>VLOOKUP($A150,'Data Vlaue (Cr)'!$C:$FB,62)*100</f>
        <v>-24.72</v>
      </c>
      <c r="M150" s="51">
        <f>VLOOKUP($A150,'Data Vlaue (Cr)'!$C:$FB,63)</f>
        <v>68</v>
      </c>
      <c r="N150" s="51">
        <f>VLOOKUP($A150,'Data Vlaue (Cr)'!$C:$FB,64)</f>
        <v>136</v>
      </c>
      <c r="O150" s="51">
        <f>VLOOKUP($A150,'Data Vlaue (Cr)'!$C:$FB,66)*100</f>
        <v>-50</v>
      </c>
    </row>
    <row r="151" spans="1:15" x14ac:dyDescent="0.25">
      <c r="A151" s="101" t="str">
        <f>'Data Vlaue (Cr)'!C146</f>
        <v>OFSS</v>
      </c>
      <c r="B151" s="50">
        <f>VLOOKUP($A151,'Data Vlaue (Cr)'!$C:$FB,8)</f>
        <v>6694.5</v>
      </c>
      <c r="C151" s="50">
        <f>VLOOKUP($A151,'Data Vlaue (Cr)'!$C:$FB,11)*100</f>
        <v>-1.44</v>
      </c>
      <c r="D151" s="50">
        <f>VLOOKUP($A151,'Data Vlaue (Cr)'!$C:$FB,143)</f>
        <v>889</v>
      </c>
      <c r="E151" s="50">
        <f>VLOOKUP($A151,'Data Vlaue (Cr)'!$C:$FB,144)</f>
        <v>1915.9</v>
      </c>
      <c r="F151" s="50">
        <f>VLOOKUP($A151,'Data Vlaue (Cr)'!$C:$FB,146)*100</f>
        <v>-53.6</v>
      </c>
      <c r="G151" s="49">
        <f>VLOOKUP($A151,'Data Vlaue (Cr)'!$C:$FB,43)</f>
        <v>104</v>
      </c>
      <c r="H151" s="49">
        <f>VLOOKUP($A151,'Data Vlaue (Cr)'!$C:$FB,44)</f>
        <v>226</v>
      </c>
      <c r="I151" s="49">
        <f>VLOOKUP($A151,'Data Vlaue (Cr)'!$C:$FB,46)*100</f>
        <v>-53.83</v>
      </c>
      <c r="J151" s="51">
        <f>VLOOKUP($A151,'Data Vlaue (Cr)'!$C:$FB,59)</f>
        <v>373</v>
      </c>
      <c r="K151" s="51">
        <f>VLOOKUP($A151,'Data Vlaue (Cr)'!$C:$FB,60)</f>
        <v>1138</v>
      </c>
      <c r="L151" s="51">
        <f>VLOOKUP($A151,'Data Vlaue (Cr)'!$C:$FB,62)*100</f>
        <v>-67.27</v>
      </c>
      <c r="M151" s="51">
        <f>VLOOKUP($A151,'Data Vlaue (Cr)'!$C:$FB,63)</f>
        <v>421</v>
      </c>
      <c r="N151" s="51">
        <f>VLOOKUP($A151,'Data Vlaue (Cr)'!$C:$FB,64)</f>
        <v>430</v>
      </c>
      <c r="O151" s="51">
        <f>VLOOKUP($A151,'Data Vlaue (Cr)'!$C:$FB,66)*100</f>
        <v>-2</v>
      </c>
    </row>
    <row r="152" spans="1:15" x14ac:dyDescent="0.25">
      <c r="A152" s="101" t="str">
        <f>'Data Vlaue (Cr)'!C147</f>
        <v>OIL</v>
      </c>
      <c r="B152" s="50">
        <f>VLOOKUP($A152,'Data Vlaue (Cr)'!$C:$FB,8)</f>
        <v>479.3</v>
      </c>
      <c r="C152" s="50">
        <f>VLOOKUP($A152,'Data Vlaue (Cr)'!$C:$FB,11)*100</f>
        <v>-0.70000000000000007</v>
      </c>
      <c r="D152" s="50">
        <f>VLOOKUP($A152,'Data Vlaue (Cr)'!$C:$FB,143)</f>
        <v>2182.2800000000002</v>
      </c>
      <c r="E152" s="50">
        <f>VLOOKUP($A152,'Data Vlaue (Cr)'!$C:$FB,144)</f>
        <v>2354.12</v>
      </c>
      <c r="F152" s="50">
        <f>VLOOKUP($A152,'Data Vlaue (Cr)'!$C:$FB,146)*100</f>
        <v>-7.3</v>
      </c>
      <c r="G152" s="49">
        <f>VLOOKUP($A152,'Data Vlaue (Cr)'!$C:$FB,43)</f>
        <v>330</v>
      </c>
      <c r="H152" s="49">
        <f>VLOOKUP($A152,'Data Vlaue (Cr)'!$C:$FB,44)</f>
        <v>282</v>
      </c>
      <c r="I152" s="49">
        <f>VLOOKUP($A152,'Data Vlaue (Cr)'!$C:$FB,46)*100</f>
        <v>16.919999999999998</v>
      </c>
      <c r="J152" s="51">
        <f>VLOOKUP($A152,'Data Vlaue (Cr)'!$C:$FB,59)</f>
        <v>1356</v>
      </c>
      <c r="K152" s="51">
        <f>VLOOKUP($A152,'Data Vlaue (Cr)'!$C:$FB,60)</f>
        <v>1455</v>
      </c>
      <c r="L152" s="51">
        <f>VLOOKUP($A152,'Data Vlaue (Cr)'!$C:$FB,62)*100</f>
        <v>-6.78</v>
      </c>
      <c r="M152" s="51">
        <f>VLOOKUP($A152,'Data Vlaue (Cr)'!$C:$FB,63)</f>
        <v>395</v>
      </c>
      <c r="N152" s="51">
        <f>VLOOKUP($A152,'Data Vlaue (Cr)'!$C:$FB,64)</f>
        <v>515</v>
      </c>
      <c r="O152" s="51">
        <f>VLOOKUP($A152,'Data Vlaue (Cr)'!$C:$FB,66)*100</f>
        <v>-23.380000000000003</v>
      </c>
    </row>
    <row r="153" spans="1:15" x14ac:dyDescent="0.25">
      <c r="A153" s="101" t="str">
        <f>'Data Vlaue (Cr)'!C148</f>
        <v>ONGC</v>
      </c>
      <c r="B153" s="50">
        <f>VLOOKUP($A153,'Data Vlaue (Cr)'!$C:$FB,8)</f>
        <v>270.55</v>
      </c>
      <c r="C153" s="50">
        <f>VLOOKUP($A153,'Data Vlaue (Cr)'!$C:$FB,11)*100</f>
        <v>-6.9999999999999993E-2</v>
      </c>
      <c r="D153" s="50">
        <f>VLOOKUP($A153,'Data Vlaue (Cr)'!$C:$FB,143)</f>
        <v>3123.92</v>
      </c>
      <c r="E153" s="50">
        <f>VLOOKUP($A153,'Data Vlaue (Cr)'!$C:$FB,144)</f>
        <v>2773.59</v>
      </c>
      <c r="F153" s="50">
        <f>VLOOKUP($A153,'Data Vlaue (Cr)'!$C:$FB,146)*100</f>
        <v>12.629999999999999</v>
      </c>
      <c r="G153" s="49">
        <f>VLOOKUP($A153,'Data Vlaue (Cr)'!$C:$FB,43)</f>
        <v>574</v>
      </c>
      <c r="H153" s="49">
        <f>VLOOKUP($A153,'Data Vlaue (Cr)'!$C:$FB,44)</f>
        <v>394</v>
      </c>
      <c r="I153" s="49">
        <f>VLOOKUP($A153,'Data Vlaue (Cr)'!$C:$FB,46)*100</f>
        <v>45.910000000000004</v>
      </c>
      <c r="J153" s="51">
        <f>VLOOKUP($A153,'Data Vlaue (Cr)'!$C:$FB,59)</f>
        <v>1829</v>
      </c>
      <c r="K153" s="51">
        <f>VLOOKUP($A153,'Data Vlaue (Cr)'!$C:$FB,60)</f>
        <v>1737</v>
      </c>
      <c r="L153" s="51">
        <f>VLOOKUP($A153,'Data Vlaue (Cr)'!$C:$FB,62)*100</f>
        <v>5.3199999999999994</v>
      </c>
      <c r="M153" s="51">
        <f>VLOOKUP($A153,'Data Vlaue (Cr)'!$C:$FB,63)</f>
        <v>620</v>
      </c>
      <c r="N153" s="51">
        <f>VLOOKUP($A153,'Data Vlaue (Cr)'!$C:$FB,64)</f>
        <v>538</v>
      </c>
      <c r="O153" s="51">
        <f>VLOOKUP($A153,'Data Vlaue (Cr)'!$C:$FB,66)*100</f>
        <v>15.25</v>
      </c>
    </row>
    <row r="154" spans="1:15" x14ac:dyDescent="0.25">
      <c r="A154" s="101" t="str">
        <f>'Data Vlaue (Cr)'!C149</f>
        <v>PAGEIND</v>
      </c>
      <c r="B154" s="50">
        <f>VLOOKUP($A154,'Data Vlaue (Cr)'!$C:$FB,8)</f>
        <v>30860</v>
      </c>
      <c r="C154" s="50">
        <f>VLOOKUP($A154,'Data Vlaue (Cr)'!$C:$FB,11)*100</f>
        <v>-2.33</v>
      </c>
      <c r="D154" s="50">
        <f>VLOOKUP($A154,'Data Vlaue (Cr)'!$C:$FB,143)</f>
        <v>789.05</v>
      </c>
      <c r="E154" s="50">
        <f>VLOOKUP($A154,'Data Vlaue (Cr)'!$C:$FB,144)</f>
        <v>759.43</v>
      </c>
      <c r="F154" s="50">
        <f>VLOOKUP($A154,'Data Vlaue (Cr)'!$C:$FB,146)*100</f>
        <v>3.9</v>
      </c>
      <c r="G154" s="49">
        <f>VLOOKUP($A154,'Data Vlaue (Cr)'!$C:$FB,43)</f>
        <v>116</v>
      </c>
      <c r="H154" s="49">
        <f>VLOOKUP($A154,'Data Vlaue (Cr)'!$C:$FB,44)</f>
        <v>159</v>
      </c>
      <c r="I154" s="49">
        <f>VLOOKUP($A154,'Data Vlaue (Cr)'!$C:$FB,46)*100</f>
        <v>-27.400000000000002</v>
      </c>
      <c r="J154" s="51">
        <f>VLOOKUP($A154,'Data Vlaue (Cr)'!$C:$FB,59)</f>
        <v>446</v>
      </c>
      <c r="K154" s="51">
        <f>VLOOKUP($A154,'Data Vlaue (Cr)'!$C:$FB,60)</f>
        <v>378</v>
      </c>
      <c r="L154" s="51">
        <f>VLOOKUP($A154,'Data Vlaue (Cr)'!$C:$FB,62)*100</f>
        <v>18.04</v>
      </c>
      <c r="M154" s="51">
        <f>VLOOKUP($A154,'Data Vlaue (Cr)'!$C:$FB,63)</f>
        <v>186</v>
      </c>
      <c r="N154" s="51">
        <f>VLOOKUP($A154,'Data Vlaue (Cr)'!$C:$FB,64)</f>
        <v>160</v>
      </c>
      <c r="O154" s="51">
        <f>VLOOKUP($A154,'Data Vlaue (Cr)'!$C:$FB,66)*100</f>
        <v>16.04</v>
      </c>
    </row>
    <row r="155" spans="1:15" x14ac:dyDescent="0.25">
      <c r="A155" s="101" t="str">
        <f>'Data Vlaue (Cr)'!C150</f>
        <v>PATANJALI</v>
      </c>
      <c r="B155" s="50">
        <f>VLOOKUP($A155,'Data Vlaue (Cr)'!$C:$FB,8)</f>
        <v>490.6</v>
      </c>
      <c r="C155" s="50">
        <f>VLOOKUP($A155,'Data Vlaue (Cr)'!$C:$FB,11)*100</f>
        <v>-1.46</v>
      </c>
      <c r="D155" s="50">
        <f>VLOOKUP($A155,'Data Vlaue (Cr)'!$C:$FB,143)</f>
        <v>457.23</v>
      </c>
      <c r="E155" s="50">
        <f>VLOOKUP($A155,'Data Vlaue (Cr)'!$C:$FB,144)</f>
        <v>317.73</v>
      </c>
      <c r="F155" s="50">
        <f>VLOOKUP($A155,'Data Vlaue (Cr)'!$C:$FB,146)*100</f>
        <v>43.9</v>
      </c>
      <c r="G155" s="49">
        <f>VLOOKUP($A155,'Data Vlaue (Cr)'!$C:$FB,43)</f>
        <v>206</v>
      </c>
      <c r="H155" s="49">
        <f>VLOOKUP($A155,'Data Vlaue (Cr)'!$C:$FB,44)</f>
        <v>96</v>
      </c>
      <c r="I155" s="49">
        <f>VLOOKUP($A155,'Data Vlaue (Cr)'!$C:$FB,46)*100</f>
        <v>115.38999999999999</v>
      </c>
      <c r="J155" s="51">
        <f>VLOOKUP($A155,'Data Vlaue (Cr)'!$C:$FB,59)</f>
        <v>137</v>
      </c>
      <c r="K155" s="51">
        <f>VLOOKUP($A155,'Data Vlaue (Cr)'!$C:$FB,60)</f>
        <v>133</v>
      </c>
      <c r="L155" s="51">
        <f>VLOOKUP($A155,'Data Vlaue (Cr)'!$C:$FB,62)*100</f>
        <v>3.36</v>
      </c>
      <c r="M155" s="51">
        <f>VLOOKUP($A155,'Data Vlaue (Cr)'!$C:$FB,63)</f>
        <v>106</v>
      </c>
      <c r="N155" s="51">
        <f>VLOOKUP($A155,'Data Vlaue (Cr)'!$C:$FB,64)</f>
        <v>78</v>
      </c>
      <c r="O155" s="51">
        <f>VLOOKUP($A155,'Data Vlaue (Cr)'!$C:$FB,66)*100</f>
        <v>35.35</v>
      </c>
    </row>
    <row r="156" spans="1:15" x14ac:dyDescent="0.25">
      <c r="A156" s="101" t="str">
        <f>'Data Vlaue (Cr)'!C151</f>
        <v>PAYTM</v>
      </c>
      <c r="B156" s="50">
        <f>VLOOKUP($A156,'Data Vlaue (Cr)'!$C:$FB,8)</f>
        <v>1009.1</v>
      </c>
      <c r="C156" s="50">
        <f>VLOOKUP($A156,'Data Vlaue (Cr)'!$C:$FB,11)*100</f>
        <v>-1.6199999999999999</v>
      </c>
      <c r="D156" s="50">
        <f>VLOOKUP($A156,'Data Vlaue (Cr)'!$C:$FB,143)</f>
        <v>1215.1600000000001</v>
      </c>
      <c r="E156" s="50">
        <f>VLOOKUP($A156,'Data Vlaue (Cr)'!$C:$FB,144)</f>
        <v>1219.33</v>
      </c>
      <c r="F156" s="50">
        <f>VLOOKUP($A156,'Data Vlaue (Cr)'!$C:$FB,146)*100</f>
        <v>-0.33999999999999997</v>
      </c>
      <c r="G156" s="49">
        <f>VLOOKUP($A156,'Data Vlaue (Cr)'!$C:$FB,43)</f>
        <v>241</v>
      </c>
      <c r="H156" s="49">
        <f>VLOOKUP($A156,'Data Vlaue (Cr)'!$C:$FB,44)</f>
        <v>288</v>
      </c>
      <c r="I156" s="49">
        <f>VLOOKUP($A156,'Data Vlaue (Cr)'!$C:$FB,46)*100</f>
        <v>-16.45</v>
      </c>
      <c r="J156" s="51">
        <f>VLOOKUP($A156,'Data Vlaue (Cr)'!$C:$FB,59)</f>
        <v>568</v>
      </c>
      <c r="K156" s="51">
        <f>VLOOKUP($A156,'Data Vlaue (Cr)'!$C:$FB,60)</f>
        <v>542</v>
      </c>
      <c r="L156" s="51">
        <f>VLOOKUP($A156,'Data Vlaue (Cr)'!$C:$FB,62)*100</f>
        <v>4.82</v>
      </c>
      <c r="M156" s="51">
        <f>VLOOKUP($A156,'Data Vlaue (Cr)'!$C:$FB,63)</f>
        <v>352</v>
      </c>
      <c r="N156" s="51">
        <f>VLOOKUP($A156,'Data Vlaue (Cr)'!$C:$FB,64)</f>
        <v>321</v>
      </c>
      <c r="O156" s="51">
        <f>VLOOKUP($A156,'Data Vlaue (Cr)'!$C:$FB,66)*100</f>
        <v>9.66</v>
      </c>
    </row>
    <row r="157" spans="1:15" x14ac:dyDescent="0.25">
      <c r="A157" s="101" t="str">
        <f>'Data Vlaue (Cr)'!C152</f>
        <v>PERSISTENT</v>
      </c>
      <c r="B157" s="50">
        <f>VLOOKUP($A157,'Data Vlaue (Cr)'!$C:$FB,8)</f>
        <v>4714.3999999999996</v>
      </c>
      <c r="C157" s="50">
        <f>VLOOKUP($A157,'Data Vlaue (Cr)'!$C:$FB,11)*100</f>
        <v>-0.70000000000000007</v>
      </c>
      <c r="D157" s="50">
        <f>VLOOKUP($A157,'Data Vlaue (Cr)'!$C:$FB,143)</f>
        <v>1592.48</v>
      </c>
      <c r="E157" s="50">
        <f>VLOOKUP($A157,'Data Vlaue (Cr)'!$C:$FB,144)</f>
        <v>1421.14</v>
      </c>
      <c r="F157" s="50">
        <f>VLOOKUP($A157,'Data Vlaue (Cr)'!$C:$FB,146)*100</f>
        <v>12.06</v>
      </c>
      <c r="G157" s="49">
        <f>VLOOKUP($A157,'Data Vlaue (Cr)'!$C:$FB,43)</f>
        <v>364</v>
      </c>
      <c r="H157" s="49">
        <f>VLOOKUP($A157,'Data Vlaue (Cr)'!$C:$FB,44)</f>
        <v>344</v>
      </c>
      <c r="I157" s="49">
        <f>VLOOKUP($A157,'Data Vlaue (Cr)'!$C:$FB,46)*100</f>
        <v>5.71</v>
      </c>
      <c r="J157" s="51">
        <f>VLOOKUP($A157,'Data Vlaue (Cr)'!$C:$FB,59)</f>
        <v>767</v>
      </c>
      <c r="K157" s="51">
        <f>VLOOKUP($A157,'Data Vlaue (Cr)'!$C:$FB,60)</f>
        <v>627</v>
      </c>
      <c r="L157" s="51">
        <f>VLOOKUP($A157,'Data Vlaue (Cr)'!$C:$FB,62)*100</f>
        <v>22.42</v>
      </c>
      <c r="M157" s="51">
        <f>VLOOKUP($A157,'Data Vlaue (Cr)'!$C:$FB,63)</f>
        <v>399</v>
      </c>
      <c r="N157" s="51">
        <f>VLOOKUP($A157,'Data Vlaue (Cr)'!$C:$FB,64)</f>
        <v>380</v>
      </c>
      <c r="O157" s="51">
        <f>VLOOKUP($A157,'Data Vlaue (Cr)'!$C:$FB,66)*100</f>
        <v>5.18</v>
      </c>
    </row>
    <row r="158" spans="1:15" x14ac:dyDescent="0.25">
      <c r="A158" s="101" t="str">
        <f>'Data Vlaue (Cr)'!C153</f>
        <v>PETRONET</v>
      </c>
      <c r="B158" s="50">
        <f>VLOOKUP($A158,'Data Vlaue (Cr)'!$C:$FB,8)</f>
        <v>296.7</v>
      </c>
      <c r="C158" s="50">
        <f>VLOOKUP($A158,'Data Vlaue (Cr)'!$C:$FB,11)*100</f>
        <v>2.4299999999999997</v>
      </c>
      <c r="D158" s="50">
        <f>VLOOKUP($A158,'Data Vlaue (Cr)'!$C:$FB,143)</f>
        <v>2159.5500000000002</v>
      </c>
      <c r="E158" s="50">
        <f>VLOOKUP($A158,'Data Vlaue (Cr)'!$C:$FB,144)</f>
        <v>878.57</v>
      </c>
      <c r="F158" s="50">
        <f>VLOOKUP($A158,'Data Vlaue (Cr)'!$C:$FB,146)*100</f>
        <v>145.79999999999998</v>
      </c>
      <c r="G158" s="49">
        <f>VLOOKUP($A158,'Data Vlaue (Cr)'!$C:$FB,43)</f>
        <v>288</v>
      </c>
      <c r="H158" s="49">
        <f>VLOOKUP($A158,'Data Vlaue (Cr)'!$C:$FB,44)</f>
        <v>176</v>
      </c>
      <c r="I158" s="49">
        <f>VLOOKUP($A158,'Data Vlaue (Cr)'!$C:$FB,46)*100</f>
        <v>63.570000000000007</v>
      </c>
      <c r="J158" s="51">
        <f>VLOOKUP($A158,'Data Vlaue (Cr)'!$C:$FB,59)</f>
        <v>1281</v>
      </c>
      <c r="K158" s="51">
        <f>VLOOKUP($A158,'Data Vlaue (Cr)'!$C:$FB,60)</f>
        <v>404</v>
      </c>
      <c r="L158" s="51">
        <f>VLOOKUP($A158,'Data Vlaue (Cr)'!$C:$FB,62)*100</f>
        <v>217.16000000000003</v>
      </c>
      <c r="M158" s="51">
        <f>VLOOKUP($A158,'Data Vlaue (Cr)'!$C:$FB,63)</f>
        <v>522</v>
      </c>
      <c r="N158" s="51">
        <f>VLOOKUP($A158,'Data Vlaue (Cr)'!$C:$FB,64)</f>
        <v>288</v>
      </c>
      <c r="O158" s="51">
        <f>VLOOKUP($A158,'Data Vlaue (Cr)'!$C:$FB,66)*100</f>
        <v>81.38</v>
      </c>
    </row>
    <row r="159" spans="1:15" x14ac:dyDescent="0.25">
      <c r="A159" s="101" t="str">
        <f>'Data Vlaue (Cr)'!C154</f>
        <v>PFC</v>
      </c>
      <c r="B159" s="50">
        <f>VLOOKUP($A159,'Data Vlaue (Cr)'!$C:$FB,8)</f>
        <v>415.9</v>
      </c>
      <c r="C159" s="50">
        <f>VLOOKUP($A159,'Data Vlaue (Cr)'!$C:$FB,11)*100</f>
        <v>2.21</v>
      </c>
      <c r="D159" s="50">
        <f>VLOOKUP($A159,'Data Vlaue (Cr)'!$C:$FB,143)</f>
        <v>3706.65</v>
      </c>
      <c r="E159" s="50">
        <f>VLOOKUP($A159,'Data Vlaue (Cr)'!$C:$FB,144)</f>
        <v>1773.8</v>
      </c>
      <c r="F159" s="50">
        <f>VLOOKUP($A159,'Data Vlaue (Cr)'!$C:$FB,146)*100</f>
        <v>108.96999999999998</v>
      </c>
      <c r="G159" s="49">
        <f>VLOOKUP($A159,'Data Vlaue (Cr)'!$C:$FB,43)</f>
        <v>743</v>
      </c>
      <c r="H159" s="49">
        <f>VLOOKUP($A159,'Data Vlaue (Cr)'!$C:$FB,44)</f>
        <v>390</v>
      </c>
      <c r="I159" s="49">
        <f>VLOOKUP($A159,'Data Vlaue (Cr)'!$C:$FB,46)*100</f>
        <v>90.39</v>
      </c>
      <c r="J159" s="51">
        <f>VLOOKUP($A159,'Data Vlaue (Cr)'!$C:$FB,59)</f>
        <v>2046</v>
      </c>
      <c r="K159" s="51">
        <f>VLOOKUP($A159,'Data Vlaue (Cr)'!$C:$FB,60)</f>
        <v>884</v>
      </c>
      <c r="L159" s="51">
        <f>VLOOKUP($A159,'Data Vlaue (Cr)'!$C:$FB,62)*100</f>
        <v>131.54999999999998</v>
      </c>
      <c r="M159" s="51">
        <f>VLOOKUP($A159,'Data Vlaue (Cr)'!$C:$FB,63)</f>
        <v>852</v>
      </c>
      <c r="N159" s="51">
        <f>VLOOKUP($A159,'Data Vlaue (Cr)'!$C:$FB,64)</f>
        <v>480</v>
      </c>
      <c r="O159" s="51">
        <f>VLOOKUP($A159,'Data Vlaue (Cr)'!$C:$FB,66)*100</f>
        <v>77.42</v>
      </c>
    </row>
    <row r="160" spans="1:15" x14ac:dyDescent="0.25">
      <c r="A160" s="101" t="str">
        <f>'Data Vlaue (Cr)'!C155</f>
        <v>PGEL</v>
      </c>
      <c r="B160" s="50">
        <f>VLOOKUP($A160,'Data Vlaue (Cr)'!$C:$FB,8)</f>
        <v>532.20000000000005</v>
      </c>
      <c r="C160" s="50">
        <f>VLOOKUP($A160,'Data Vlaue (Cr)'!$C:$FB,11)*100</f>
        <v>-3.25</v>
      </c>
      <c r="D160" s="50">
        <f>VLOOKUP($A160,'Data Vlaue (Cr)'!$C:$FB,143)</f>
        <v>1293.1500000000001</v>
      </c>
      <c r="E160" s="50">
        <f>VLOOKUP($A160,'Data Vlaue (Cr)'!$C:$FB,144)</f>
        <v>2038.8</v>
      </c>
      <c r="F160" s="50">
        <f>VLOOKUP($A160,'Data Vlaue (Cr)'!$C:$FB,146)*100</f>
        <v>-36.57</v>
      </c>
      <c r="G160" s="49">
        <f>VLOOKUP($A160,'Data Vlaue (Cr)'!$C:$FB,43)</f>
        <v>262</v>
      </c>
      <c r="H160" s="49">
        <f>VLOOKUP($A160,'Data Vlaue (Cr)'!$C:$FB,44)</f>
        <v>340</v>
      </c>
      <c r="I160" s="49">
        <f>VLOOKUP($A160,'Data Vlaue (Cr)'!$C:$FB,46)*100</f>
        <v>-22.79</v>
      </c>
      <c r="J160" s="51">
        <f>VLOOKUP($A160,'Data Vlaue (Cr)'!$C:$FB,59)</f>
        <v>552</v>
      </c>
      <c r="K160" s="51">
        <f>VLOOKUP($A160,'Data Vlaue (Cr)'!$C:$FB,60)</f>
        <v>1143</v>
      </c>
      <c r="L160" s="51">
        <f>VLOOKUP($A160,'Data Vlaue (Cr)'!$C:$FB,62)*100</f>
        <v>-51.7</v>
      </c>
      <c r="M160" s="51">
        <f>VLOOKUP($A160,'Data Vlaue (Cr)'!$C:$FB,63)</f>
        <v>409</v>
      </c>
      <c r="N160" s="51">
        <f>VLOOKUP($A160,'Data Vlaue (Cr)'!$C:$FB,64)</f>
        <v>383</v>
      </c>
      <c r="O160" s="51">
        <f>VLOOKUP($A160,'Data Vlaue (Cr)'!$C:$FB,66)*100</f>
        <v>6.72</v>
      </c>
    </row>
    <row r="161" spans="1:15" x14ac:dyDescent="0.25">
      <c r="A161" s="101" t="str">
        <f>'Data Vlaue (Cr)'!C156</f>
        <v>PHOENIXLTD</v>
      </c>
      <c r="B161" s="50">
        <f>VLOOKUP($A161,'Data Vlaue (Cr)'!$C:$FB,8)</f>
        <v>1560.2</v>
      </c>
      <c r="C161" s="50">
        <f>VLOOKUP($A161,'Data Vlaue (Cr)'!$C:$FB,11)*100</f>
        <v>-0.98</v>
      </c>
      <c r="D161" s="50">
        <f>VLOOKUP($A161,'Data Vlaue (Cr)'!$C:$FB,143)</f>
        <v>257.63</v>
      </c>
      <c r="E161" s="50">
        <f>VLOOKUP($A161,'Data Vlaue (Cr)'!$C:$FB,144)</f>
        <v>150.16999999999999</v>
      </c>
      <c r="F161" s="50">
        <f>VLOOKUP($A161,'Data Vlaue (Cr)'!$C:$FB,146)*100</f>
        <v>71.56</v>
      </c>
      <c r="G161" s="49">
        <f>VLOOKUP($A161,'Data Vlaue (Cr)'!$C:$FB,43)</f>
        <v>97</v>
      </c>
      <c r="H161" s="49">
        <f>VLOOKUP($A161,'Data Vlaue (Cr)'!$C:$FB,44)</f>
        <v>52</v>
      </c>
      <c r="I161" s="49">
        <f>VLOOKUP($A161,'Data Vlaue (Cr)'!$C:$FB,46)*100</f>
        <v>84.97</v>
      </c>
      <c r="J161" s="51">
        <f>VLOOKUP($A161,'Data Vlaue (Cr)'!$C:$FB,59)</f>
        <v>128</v>
      </c>
      <c r="K161" s="51">
        <f>VLOOKUP($A161,'Data Vlaue (Cr)'!$C:$FB,60)</f>
        <v>65</v>
      </c>
      <c r="L161" s="51">
        <f>VLOOKUP($A161,'Data Vlaue (Cr)'!$C:$FB,62)*100</f>
        <v>98.48</v>
      </c>
      <c r="M161" s="51">
        <f>VLOOKUP($A161,'Data Vlaue (Cr)'!$C:$FB,63)</f>
        <v>22</v>
      </c>
      <c r="N161" s="51">
        <f>VLOOKUP($A161,'Data Vlaue (Cr)'!$C:$FB,64)</f>
        <v>26</v>
      </c>
      <c r="O161" s="51">
        <f>VLOOKUP($A161,'Data Vlaue (Cr)'!$C:$FB,66)*100</f>
        <v>-18.09</v>
      </c>
    </row>
    <row r="162" spans="1:15" x14ac:dyDescent="0.25">
      <c r="A162" s="101" t="str">
        <f>'Data Vlaue (Cr)'!C157</f>
        <v>PIDILITIND</v>
      </c>
      <c r="B162" s="50">
        <f>VLOOKUP($A162,'Data Vlaue (Cr)'!$C:$FB,8)</f>
        <v>1387.4</v>
      </c>
      <c r="C162" s="50">
        <f>VLOOKUP($A162,'Data Vlaue (Cr)'!$C:$FB,11)*100</f>
        <v>-1.1400000000000001</v>
      </c>
      <c r="D162" s="50">
        <f>VLOOKUP($A162,'Data Vlaue (Cr)'!$C:$FB,143)</f>
        <v>301.20999999999998</v>
      </c>
      <c r="E162" s="50">
        <f>VLOOKUP($A162,'Data Vlaue (Cr)'!$C:$FB,144)</f>
        <v>347.6</v>
      </c>
      <c r="F162" s="50">
        <f>VLOOKUP($A162,'Data Vlaue (Cr)'!$C:$FB,146)*100</f>
        <v>-13.34</v>
      </c>
      <c r="G162" s="49">
        <f>VLOOKUP($A162,'Data Vlaue (Cr)'!$C:$FB,43)</f>
        <v>87</v>
      </c>
      <c r="H162" s="49">
        <f>VLOOKUP($A162,'Data Vlaue (Cr)'!$C:$FB,44)</f>
        <v>84</v>
      </c>
      <c r="I162" s="49">
        <f>VLOOKUP($A162,'Data Vlaue (Cr)'!$C:$FB,46)*100</f>
        <v>3.64</v>
      </c>
      <c r="J162" s="51">
        <f>VLOOKUP($A162,'Data Vlaue (Cr)'!$C:$FB,59)</f>
        <v>110</v>
      </c>
      <c r="K162" s="51">
        <f>VLOOKUP($A162,'Data Vlaue (Cr)'!$C:$FB,60)</f>
        <v>143</v>
      </c>
      <c r="L162" s="51">
        <f>VLOOKUP($A162,'Data Vlaue (Cr)'!$C:$FB,62)*100</f>
        <v>-23.119999999999997</v>
      </c>
      <c r="M162" s="51">
        <f>VLOOKUP($A162,'Data Vlaue (Cr)'!$C:$FB,63)</f>
        <v>98</v>
      </c>
      <c r="N162" s="51">
        <f>VLOOKUP($A162,'Data Vlaue (Cr)'!$C:$FB,64)</f>
        <v>107</v>
      </c>
      <c r="O162" s="51">
        <f>VLOOKUP($A162,'Data Vlaue (Cr)'!$C:$FB,66)*100</f>
        <v>-8.7099999999999991</v>
      </c>
    </row>
    <row r="163" spans="1:15" x14ac:dyDescent="0.25">
      <c r="A163" s="101" t="str">
        <f>'Data Vlaue (Cr)'!C158</f>
        <v>PIIND</v>
      </c>
      <c r="B163" s="50">
        <f>VLOOKUP($A163,'Data Vlaue (Cr)'!$C:$FB,8)</f>
        <v>2952.4</v>
      </c>
      <c r="C163" s="50">
        <f>VLOOKUP($A163,'Data Vlaue (Cr)'!$C:$FB,11)*100</f>
        <v>-1.9900000000000002</v>
      </c>
      <c r="D163" s="50">
        <f>VLOOKUP($A163,'Data Vlaue (Cr)'!$C:$FB,143)</f>
        <v>430.68</v>
      </c>
      <c r="E163" s="50">
        <f>VLOOKUP($A163,'Data Vlaue (Cr)'!$C:$FB,144)</f>
        <v>455.81</v>
      </c>
      <c r="F163" s="50">
        <f>VLOOKUP($A163,'Data Vlaue (Cr)'!$C:$FB,146)*100</f>
        <v>-5.5100000000000007</v>
      </c>
      <c r="G163" s="49">
        <f>VLOOKUP($A163,'Data Vlaue (Cr)'!$C:$FB,43)</f>
        <v>106</v>
      </c>
      <c r="H163" s="49">
        <f>VLOOKUP($A163,'Data Vlaue (Cr)'!$C:$FB,44)</f>
        <v>148</v>
      </c>
      <c r="I163" s="49">
        <f>VLOOKUP($A163,'Data Vlaue (Cr)'!$C:$FB,46)*100</f>
        <v>-28.060000000000002</v>
      </c>
      <c r="J163" s="51">
        <f>VLOOKUP($A163,'Data Vlaue (Cr)'!$C:$FB,59)</f>
        <v>205</v>
      </c>
      <c r="K163" s="51">
        <f>VLOOKUP($A163,'Data Vlaue (Cr)'!$C:$FB,60)</f>
        <v>150</v>
      </c>
      <c r="L163" s="51">
        <f>VLOOKUP($A163,'Data Vlaue (Cr)'!$C:$FB,62)*100</f>
        <v>36.809999999999995</v>
      </c>
      <c r="M163" s="51">
        <f>VLOOKUP($A163,'Data Vlaue (Cr)'!$C:$FB,63)</f>
        <v>105</v>
      </c>
      <c r="N163" s="51">
        <f>VLOOKUP($A163,'Data Vlaue (Cr)'!$C:$FB,64)</f>
        <v>137</v>
      </c>
      <c r="O163" s="51">
        <f>VLOOKUP($A163,'Data Vlaue (Cr)'!$C:$FB,66)*100</f>
        <v>-23.35</v>
      </c>
    </row>
    <row r="164" spans="1:15" x14ac:dyDescent="0.25">
      <c r="A164" s="101" t="str">
        <f>'Data Vlaue (Cr)'!C159</f>
        <v>PNB</v>
      </c>
      <c r="B164" s="50">
        <f>VLOOKUP($A164,'Data Vlaue (Cr)'!$C:$FB,8)</f>
        <v>116.61</v>
      </c>
      <c r="C164" s="50">
        <f>VLOOKUP($A164,'Data Vlaue (Cr)'!$C:$FB,11)*100</f>
        <v>0.66</v>
      </c>
      <c r="D164" s="50">
        <f>VLOOKUP($A164,'Data Vlaue (Cr)'!$C:$FB,143)</f>
        <v>2061.2399999999998</v>
      </c>
      <c r="E164" s="50">
        <f>VLOOKUP($A164,'Data Vlaue (Cr)'!$C:$FB,144)</f>
        <v>1720.68</v>
      </c>
      <c r="F164" s="50">
        <f>VLOOKUP($A164,'Data Vlaue (Cr)'!$C:$FB,146)*100</f>
        <v>19.79</v>
      </c>
      <c r="G164" s="49">
        <f>VLOOKUP($A164,'Data Vlaue (Cr)'!$C:$FB,43)</f>
        <v>546</v>
      </c>
      <c r="H164" s="49">
        <f>VLOOKUP($A164,'Data Vlaue (Cr)'!$C:$FB,44)</f>
        <v>405</v>
      </c>
      <c r="I164" s="49">
        <f>VLOOKUP($A164,'Data Vlaue (Cr)'!$C:$FB,46)*100</f>
        <v>34.78</v>
      </c>
      <c r="J164" s="51">
        <f>VLOOKUP($A164,'Data Vlaue (Cr)'!$C:$FB,59)</f>
        <v>898</v>
      </c>
      <c r="K164" s="51">
        <f>VLOOKUP($A164,'Data Vlaue (Cr)'!$C:$FB,60)</f>
        <v>741</v>
      </c>
      <c r="L164" s="51">
        <f>VLOOKUP($A164,'Data Vlaue (Cr)'!$C:$FB,62)*100</f>
        <v>21.19</v>
      </c>
      <c r="M164" s="51">
        <f>VLOOKUP($A164,'Data Vlaue (Cr)'!$C:$FB,63)</f>
        <v>559</v>
      </c>
      <c r="N164" s="51">
        <f>VLOOKUP($A164,'Data Vlaue (Cr)'!$C:$FB,64)</f>
        <v>514</v>
      </c>
      <c r="O164" s="51">
        <f>VLOOKUP($A164,'Data Vlaue (Cr)'!$C:$FB,66)*100</f>
        <v>8.6999999999999993</v>
      </c>
    </row>
    <row r="165" spans="1:15" x14ac:dyDescent="0.25">
      <c r="A165" s="101" t="str">
        <f>'Data Vlaue (Cr)'!C160</f>
        <v>PNBHOUSING</v>
      </c>
      <c r="B165" s="50">
        <f>VLOOKUP($A165,'Data Vlaue (Cr)'!$C:$FB,8)</f>
        <v>780.15</v>
      </c>
      <c r="C165" s="50">
        <f>VLOOKUP($A165,'Data Vlaue (Cr)'!$C:$FB,11)*100</f>
        <v>0.47000000000000003</v>
      </c>
      <c r="D165" s="50">
        <f>VLOOKUP($A165,'Data Vlaue (Cr)'!$C:$FB,143)</f>
        <v>615.62</v>
      </c>
      <c r="E165" s="50">
        <f>VLOOKUP($A165,'Data Vlaue (Cr)'!$C:$FB,144)</f>
        <v>764.21</v>
      </c>
      <c r="F165" s="50">
        <f>VLOOKUP($A165,'Data Vlaue (Cr)'!$C:$FB,146)*100</f>
        <v>-19.439999999999998</v>
      </c>
      <c r="G165" s="49">
        <f>VLOOKUP($A165,'Data Vlaue (Cr)'!$C:$FB,43)</f>
        <v>148</v>
      </c>
      <c r="H165" s="49">
        <f>VLOOKUP($A165,'Data Vlaue (Cr)'!$C:$FB,44)</f>
        <v>160</v>
      </c>
      <c r="I165" s="49">
        <f>VLOOKUP($A165,'Data Vlaue (Cr)'!$C:$FB,46)*100</f>
        <v>-7.46</v>
      </c>
      <c r="J165" s="51">
        <f>VLOOKUP($A165,'Data Vlaue (Cr)'!$C:$FB,59)</f>
        <v>197</v>
      </c>
      <c r="K165" s="51">
        <f>VLOOKUP($A165,'Data Vlaue (Cr)'!$C:$FB,60)</f>
        <v>330</v>
      </c>
      <c r="L165" s="51">
        <f>VLOOKUP($A165,'Data Vlaue (Cr)'!$C:$FB,62)*100</f>
        <v>-40.369999999999997</v>
      </c>
      <c r="M165" s="51">
        <f>VLOOKUP($A165,'Data Vlaue (Cr)'!$C:$FB,63)</f>
        <v>261</v>
      </c>
      <c r="N165" s="51">
        <f>VLOOKUP($A165,'Data Vlaue (Cr)'!$C:$FB,64)</f>
        <v>255</v>
      </c>
      <c r="O165" s="51">
        <f>VLOOKUP($A165,'Data Vlaue (Cr)'!$C:$FB,66)*100</f>
        <v>2.4500000000000002</v>
      </c>
    </row>
    <row r="166" spans="1:15" x14ac:dyDescent="0.25">
      <c r="A166" s="101" t="str">
        <f>'Data Vlaue (Cr)'!C161</f>
        <v>POLICYBZR</v>
      </c>
      <c r="B166" s="50">
        <f>VLOOKUP($A166,'Data Vlaue (Cr)'!$C:$FB,8)</f>
        <v>1462.7</v>
      </c>
      <c r="C166" s="50">
        <f>VLOOKUP($A166,'Data Vlaue (Cr)'!$C:$FB,11)*100</f>
        <v>-0.03</v>
      </c>
      <c r="D166" s="50">
        <f>VLOOKUP($A166,'Data Vlaue (Cr)'!$C:$FB,143)</f>
        <v>390.83</v>
      </c>
      <c r="E166" s="50">
        <f>VLOOKUP($A166,'Data Vlaue (Cr)'!$C:$FB,144)</f>
        <v>669.42</v>
      </c>
      <c r="F166" s="50">
        <f>VLOOKUP($A166,'Data Vlaue (Cr)'!$C:$FB,146)*100</f>
        <v>-41.620000000000005</v>
      </c>
      <c r="G166" s="49">
        <f>VLOOKUP($A166,'Data Vlaue (Cr)'!$C:$FB,43)</f>
        <v>148</v>
      </c>
      <c r="H166" s="49">
        <f>VLOOKUP($A166,'Data Vlaue (Cr)'!$C:$FB,44)</f>
        <v>266</v>
      </c>
      <c r="I166" s="49">
        <f>VLOOKUP($A166,'Data Vlaue (Cr)'!$C:$FB,46)*100</f>
        <v>-44.3</v>
      </c>
      <c r="J166" s="51">
        <f>VLOOKUP($A166,'Data Vlaue (Cr)'!$C:$FB,59)</f>
        <v>118</v>
      </c>
      <c r="K166" s="51">
        <f>VLOOKUP($A166,'Data Vlaue (Cr)'!$C:$FB,60)</f>
        <v>238</v>
      </c>
      <c r="L166" s="51">
        <f>VLOOKUP($A166,'Data Vlaue (Cr)'!$C:$FB,62)*100</f>
        <v>-50.62</v>
      </c>
      <c r="M166" s="51">
        <f>VLOOKUP($A166,'Data Vlaue (Cr)'!$C:$FB,63)</f>
        <v>120</v>
      </c>
      <c r="N166" s="51">
        <f>VLOOKUP($A166,'Data Vlaue (Cr)'!$C:$FB,64)</f>
        <v>143</v>
      </c>
      <c r="O166" s="51">
        <f>VLOOKUP($A166,'Data Vlaue (Cr)'!$C:$FB,66)*100</f>
        <v>-16.150000000000002</v>
      </c>
    </row>
    <row r="167" spans="1:15" x14ac:dyDescent="0.25">
      <c r="A167" s="101" t="str">
        <f>'Data Vlaue (Cr)'!C162</f>
        <v>POLYCAB</v>
      </c>
      <c r="B167" s="50">
        <f>VLOOKUP($A167,'Data Vlaue (Cr)'!$C:$FB,8)</f>
        <v>7455</v>
      </c>
      <c r="C167" s="50">
        <f>VLOOKUP($A167,'Data Vlaue (Cr)'!$C:$FB,11)*100</f>
        <v>0.33999999999999997</v>
      </c>
      <c r="D167" s="50">
        <f>VLOOKUP($A167,'Data Vlaue (Cr)'!$C:$FB,143)</f>
        <v>4831.76</v>
      </c>
      <c r="E167" s="50">
        <f>VLOOKUP($A167,'Data Vlaue (Cr)'!$C:$FB,144)</f>
        <v>9526.33</v>
      </c>
      <c r="F167" s="50">
        <f>VLOOKUP($A167,'Data Vlaue (Cr)'!$C:$FB,146)*100</f>
        <v>-49.28</v>
      </c>
      <c r="G167" s="49">
        <f>VLOOKUP($A167,'Data Vlaue (Cr)'!$C:$FB,43)</f>
        <v>652</v>
      </c>
      <c r="H167" s="49">
        <f>VLOOKUP($A167,'Data Vlaue (Cr)'!$C:$FB,44)</f>
        <v>1179</v>
      </c>
      <c r="I167" s="49">
        <f>VLOOKUP($A167,'Data Vlaue (Cr)'!$C:$FB,46)*100</f>
        <v>-44.72</v>
      </c>
      <c r="J167" s="51">
        <f>VLOOKUP($A167,'Data Vlaue (Cr)'!$C:$FB,59)</f>
        <v>2396</v>
      </c>
      <c r="K167" s="51">
        <f>VLOOKUP($A167,'Data Vlaue (Cr)'!$C:$FB,60)</f>
        <v>3748</v>
      </c>
      <c r="L167" s="51">
        <f>VLOOKUP($A167,'Data Vlaue (Cr)'!$C:$FB,62)*100</f>
        <v>-36.090000000000003</v>
      </c>
      <c r="M167" s="51">
        <f>VLOOKUP($A167,'Data Vlaue (Cr)'!$C:$FB,63)</f>
        <v>1574</v>
      </c>
      <c r="N167" s="51">
        <f>VLOOKUP($A167,'Data Vlaue (Cr)'!$C:$FB,64)</f>
        <v>4306</v>
      </c>
      <c r="O167" s="51">
        <f>VLOOKUP($A167,'Data Vlaue (Cr)'!$C:$FB,66)*100</f>
        <v>-63.449999999999996</v>
      </c>
    </row>
    <row r="168" spans="1:15" x14ac:dyDescent="0.25">
      <c r="A168" s="101" t="str">
        <f>'Data Vlaue (Cr)'!C163</f>
        <v>POWERGRID</v>
      </c>
      <c r="B168" s="50">
        <f>VLOOKUP($A168,'Data Vlaue (Cr)'!$C:$FB,8)</f>
        <v>303.60000000000002</v>
      </c>
      <c r="C168" s="50">
        <f>VLOOKUP($A168,'Data Vlaue (Cr)'!$C:$FB,11)*100</f>
        <v>1.6099999999999999</v>
      </c>
      <c r="D168" s="50">
        <f>VLOOKUP($A168,'Data Vlaue (Cr)'!$C:$FB,143)</f>
        <v>3119.24</v>
      </c>
      <c r="E168" s="50">
        <f>VLOOKUP($A168,'Data Vlaue (Cr)'!$C:$FB,144)</f>
        <v>1872.95</v>
      </c>
      <c r="F168" s="50">
        <f>VLOOKUP($A168,'Data Vlaue (Cr)'!$C:$FB,146)*100</f>
        <v>66.539999999999992</v>
      </c>
      <c r="G168" s="49">
        <f>VLOOKUP($A168,'Data Vlaue (Cr)'!$C:$FB,43)</f>
        <v>525</v>
      </c>
      <c r="H168" s="49">
        <f>VLOOKUP($A168,'Data Vlaue (Cr)'!$C:$FB,44)</f>
        <v>292</v>
      </c>
      <c r="I168" s="49">
        <f>VLOOKUP($A168,'Data Vlaue (Cr)'!$C:$FB,46)*100</f>
        <v>79.73</v>
      </c>
      <c r="J168" s="51">
        <f>VLOOKUP($A168,'Data Vlaue (Cr)'!$C:$FB,59)</f>
        <v>2044</v>
      </c>
      <c r="K168" s="51">
        <f>VLOOKUP($A168,'Data Vlaue (Cr)'!$C:$FB,60)</f>
        <v>1137</v>
      </c>
      <c r="L168" s="51">
        <f>VLOOKUP($A168,'Data Vlaue (Cr)'!$C:$FB,62)*100</f>
        <v>79.710000000000008</v>
      </c>
      <c r="M168" s="51">
        <f>VLOOKUP($A168,'Data Vlaue (Cr)'!$C:$FB,63)</f>
        <v>482</v>
      </c>
      <c r="N168" s="51">
        <f>VLOOKUP($A168,'Data Vlaue (Cr)'!$C:$FB,64)</f>
        <v>427</v>
      </c>
      <c r="O168" s="51">
        <f>VLOOKUP($A168,'Data Vlaue (Cr)'!$C:$FB,66)*100</f>
        <v>13.03</v>
      </c>
    </row>
    <row r="169" spans="1:15" x14ac:dyDescent="0.25">
      <c r="A169" s="101" t="str">
        <f>'Data Vlaue (Cr)'!C164</f>
        <v>POWERINDIA</v>
      </c>
      <c r="B169" s="50">
        <f>VLOOKUP($A169,'Data Vlaue (Cr)'!$C:$FB,8)</f>
        <v>24880</v>
      </c>
      <c r="C169" s="50">
        <f>VLOOKUP($A169,'Data Vlaue (Cr)'!$C:$FB,11)*100</f>
        <v>-0.3</v>
      </c>
      <c r="D169" s="50">
        <f>VLOOKUP($A169,'Data Vlaue (Cr)'!$C:$FB,143)</f>
        <v>1422.95</v>
      </c>
      <c r="E169" s="50">
        <f>VLOOKUP($A169,'Data Vlaue (Cr)'!$C:$FB,144)</f>
        <v>1103.03</v>
      </c>
      <c r="F169" s="50">
        <f>VLOOKUP($A169,'Data Vlaue (Cr)'!$C:$FB,146)*100</f>
        <v>28.999999999999996</v>
      </c>
      <c r="G169" s="49">
        <f>VLOOKUP($A169,'Data Vlaue (Cr)'!$C:$FB,43)</f>
        <v>290</v>
      </c>
      <c r="H169" s="49">
        <f>VLOOKUP($A169,'Data Vlaue (Cr)'!$C:$FB,44)</f>
        <v>210</v>
      </c>
      <c r="I169" s="49">
        <f>VLOOKUP($A169,'Data Vlaue (Cr)'!$C:$FB,46)*100</f>
        <v>37.86</v>
      </c>
      <c r="J169" s="51">
        <f>VLOOKUP($A169,'Data Vlaue (Cr)'!$C:$FB,59)</f>
        <v>791</v>
      </c>
      <c r="K169" s="51">
        <f>VLOOKUP($A169,'Data Vlaue (Cr)'!$C:$FB,60)</f>
        <v>571</v>
      </c>
      <c r="L169" s="51">
        <f>VLOOKUP($A169,'Data Vlaue (Cr)'!$C:$FB,62)*100</f>
        <v>38.5</v>
      </c>
      <c r="M169" s="51">
        <f>VLOOKUP($A169,'Data Vlaue (Cr)'!$C:$FB,63)</f>
        <v>286</v>
      </c>
      <c r="N169" s="51">
        <f>VLOOKUP($A169,'Data Vlaue (Cr)'!$C:$FB,64)</f>
        <v>275</v>
      </c>
      <c r="O169" s="51">
        <f>VLOOKUP($A169,'Data Vlaue (Cr)'!$C:$FB,66)*100</f>
        <v>4</v>
      </c>
    </row>
    <row r="170" spans="1:15" x14ac:dyDescent="0.25">
      <c r="A170" s="101" t="str">
        <f>'Data Vlaue (Cr)'!C165</f>
        <v>PPLPHARMA</v>
      </c>
      <c r="B170" s="50">
        <f>VLOOKUP($A170,'Data Vlaue (Cr)'!$C:$FB,8)</f>
        <v>145.54</v>
      </c>
      <c r="C170" s="50">
        <f>VLOOKUP($A170,'Data Vlaue (Cr)'!$C:$FB,11)*100</f>
        <v>-6.36</v>
      </c>
      <c r="D170" s="50">
        <f>VLOOKUP($A170,'Data Vlaue (Cr)'!$C:$FB,143)</f>
        <v>525.83000000000004</v>
      </c>
      <c r="E170" s="50">
        <f>VLOOKUP($A170,'Data Vlaue (Cr)'!$C:$FB,144)</f>
        <v>271.93</v>
      </c>
      <c r="F170" s="50">
        <f>VLOOKUP($A170,'Data Vlaue (Cr)'!$C:$FB,146)*100</f>
        <v>93.37</v>
      </c>
      <c r="G170" s="49">
        <f>VLOOKUP($A170,'Data Vlaue (Cr)'!$C:$FB,43)</f>
        <v>105</v>
      </c>
      <c r="H170" s="49">
        <f>VLOOKUP($A170,'Data Vlaue (Cr)'!$C:$FB,44)</f>
        <v>59</v>
      </c>
      <c r="I170" s="49">
        <f>VLOOKUP($A170,'Data Vlaue (Cr)'!$C:$FB,46)*100</f>
        <v>76.990000000000009</v>
      </c>
      <c r="J170" s="51">
        <f>VLOOKUP($A170,'Data Vlaue (Cr)'!$C:$FB,59)</f>
        <v>192</v>
      </c>
      <c r="K170" s="51">
        <f>VLOOKUP($A170,'Data Vlaue (Cr)'!$C:$FB,60)</f>
        <v>152</v>
      </c>
      <c r="L170" s="51">
        <f>VLOOKUP($A170,'Data Vlaue (Cr)'!$C:$FB,62)*100</f>
        <v>26.55</v>
      </c>
      <c r="M170" s="51">
        <f>VLOOKUP($A170,'Data Vlaue (Cr)'!$C:$FB,63)</f>
        <v>204</v>
      </c>
      <c r="N170" s="51">
        <f>VLOOKUP($A170,'Data Vlaue (Cr)'!$C:$FB,64)</f>
        <v>31</v>
      </c>
      <c r="O170" s="51">
        <f>VLOOKUP($A170,'Data Vlaue (Cr)'!$C:$FB,66)*100</f>
        <v>557.41</v>
      </c>
    </row>
    <row r="171" spans="1:15" x14ac:dyDescent="0.25">
      <c r="A171" s="101" t="str">
        <f>'Data Vlaue (Cr)'!C166</f>
        <v>PREMIERENE</v>
      </c>
      <c r="B171" s="50">
        <f>VLOOKUP($A171,'Data Vlaue (Cr)'!$C:$FB,8)</f>
        <v>789.35</v>
      </c>
      <c r="C171" s="50">
        <f>VLOOKUP($A171,'Data Vlaue (Cr)'!$C:$FB,11)*100</f>
        <v>0.16</v>
      </c>
      <c r="D171" s="50">
        <f>VLOOKUP($A171,'Data Vlaue (Cr)'!$C:$FB,143)</f>
        <v>802.31</v>
      </c>
      <c r="E171" s="50">
        <f>VLOOKUP($A171,'Data Vlaue (Cr)'!$C:$FB,144)</f>
        <v>2122.6799999999998</v>
      </c>
      <c r="F171" s="50">
        <f>VLOOKUP($A171,'Data Vlaue (Cr)'!$C:$FB,146)*100</f>
        <v>-62.2</v>
      </c>
      <c r="G171" s="49">
        <f>VLOOKUP($A171,'Data Vlaue (Cr)'!$C:$FB,43)</f>
        <v>174</v>
      </c>
      <c r="H171" s="49">
        <f>VLOOKUP($A171,'Data Vlaue (Cr)'!$C:$FB,44)</f>
        <v>442</v>
      </c>
      <c r="I171" s="49">
        <f>VLOOKUP($A171,'Data Vlaue (Cr)'!$C:$FB,46)*100</f>
        <v>-60.529999999999994</v>
      </c>
      <c r="J171" s="51">
        <f>VLOOKUP($A171,'Data Vlaue (Cr)'!$C:$FB,59)</f>
        <v>418</v>
      </c>
      <c r="K171" s="51">
        <f>VLOOKUP($A171,'Data Vlaue (Cr)'!$C:$FB,60)</f>
        <v>1142</v>
      </c>
      <c r="L171" s="51">
        <f>VLOOKUP($A171,'Data Vlaue (Cr)'!$C:$FB,62)*100</f>
        <v>-63.360000000000007</v>
      </c>
      <c r="M171" s="51">
        <f>VLOOKUP($A171,'Data Vlaue (Cr)'!$C:$FB,63)</f>
        <v>187</v>
      </c>
      <c r="N171" s="51">
        <f>VLOOKUP($A171,'Data Vlaue (Cr)'!$C:$FB,64)</f>
        <v>493</v>
      </c>
      <c r="O171" s="51">
        <f>VLOOKUP($A171,'Data Vlaue (Cr)'!$C:$FB,66)*100</f>
        <v>-62.039999999999992</v>
      </c>
    </row>
    <row r="172" spans="1:15" x14ac:dyDescent="0.25">
      <c r="A172" s="101" t="str">
        <f>'Data Vlaue (Cr)'!C167</f>
        <v>PRESTIGE</v>
      </c>
      <c r="B172" s="50">
        <f>VLOOKUP($A172,'Data Vlaue (Cr)'!$C:$FB,8)</f>
        <v>1252.7</v>
      </c>
      <c r="C172" s="50">
        <f>VLOOKUP($A172,'Data Vlaue (Cr)'!$C:$FB,11)*100</f>
        <v>-1.48</v>
      </c>
      <c r="D172" s="50">
        <f>VLOOKUP($A172,'Data Vlaue (Cr)'!$C:$FB,143)</f>
        <v>402.5</v>
      </c>
      <c r="E172" s="50">
        <f>VLOOKUP($A172,'Data Vlaue (Cr)'!$C:$FB,144)</f>
        <v>376.7</v>
      </c>
      <c r="F172" s="50">
        <f>VLOOKUP($A172,'Data Vlaue (Cr)'!$C:$FB,146)*100</f>
        <v>6.8500000000000005</v>
      </c>
      <c r="G172" s="49">
        <f>VLOOKUP($A172,'Data Vlaue (Cr)'!$C:$FB,43)</f>
        <v>130</v>
      </c>
      <c r="H172" s="49">
        <f>VLOOKUP($A172,'Data Vlaue (Cr)'!$C:$FB,44)</f>
        <v>145</v>
      </c>
      <c r="I172" s="49">
        <f>VLOOKUP($A172,'Data Vlaue (Cr)'!$C:$FB,46)*100</f>
        <v>-10.48</v>
      </c>
      <c r="J172" s="51">
        <f>VLOOKUP($A172,'Data Vlaue (Cr)'!$C:$FB,59)</f>
        <v>126</v>
      </c>
      <c r="K172" s="51">
        <f>VLOOKUP($A172,'Data Vlaue (Cr)'!$C:$FB,60)</f>
        <v>116</v>
      </c>
      <c r="L172" s="51">
        <f>VLOOKUP($A172,'Data Vlaue (Cr)'!$C:$FB,62)*100</f>
        <v>9.1399999999999988</v>
      </c>
      <c r="M172" s="51">
        <f>VLOOKUP($A172,'Data Vlaue (Cr)'!$C:$FB,63)</f>
        <v>128</v>
      </c>
      <c r="N172" s="51">
        <f>VLOOKUP($A172,'Data Vlaue (Cr)'!$C:$FB,64)</f>
        <v>92</v>
      </c>
      <c r="O172" s="51">
        <f>VLOOKUP($A172,'Data Vlaue (Cr)'!$C:$FB,66)*100</f>
        <v>38.92</v>
      </c>
    </row>
    <row r="173" spans="1:15" x14ac:dyDescent="0.25">
      <c r="A173" s="101" t="str">
        <f>'Data Vlaue (Cr)'!C168</f>
        <v>RBLBANK</v>
      </c>
      <c r="B173" s="50">
        <f>VLOOKUP($A173,'Data Vlaue (Cr)'!$C:$FB,8)</f>
        <v>299.8</v>
      </c>
      <c r="C173" s="50">
        <f>VLOOKUP($A173,'Data Vlaue (Cr)'!$C:$FB,11)*100</f>
        <v>0.71000000000000008</v>
      </c>
      <c r="D173" s="50">
        <f>VLOOKUP($A173,'Data Vlaue (Cr)'!$C:$FB,143)</f>
        <v>1525.17</v>
      </c>
      <c r="E173" s="50">
        <f>VLOOKUP($A173,'Data Vlaue (Cr)'!$C:$FB,144)</f>
        <v>1912.58</v>
      </c>
      <c r="F173" s="50">
        <f>VLOOKUP($A173,'Data Vlaue (Cr)'!$C:$FB,146)*100</f>
        <v>-20.260000000000002</v>
      </c>
      <c r="G173" s="49">
        <f>VLOOKUP($A173,'Data Vlaue (Cr)'!$C:$FB,43)</f>
        <v>376</v>
      </c>
      <c r="H173" s="49">
        <f>VLOOKUP($A173,'Data Vlaue (Cr)'!$C:$FB,44)</f>
        <v>414</v>
      </c>
      <c r="I173" s="49">
        <f>VLOOKUP($A173,'Data Vlaue (Cr)'!$C:$FB,46)*100</f>
        <v>-9.2200000000000006</v>
      </c>
      <c r="J173" s="51">
        <f>VLOOKUP($A173,'Data Vlaue (Cr)'!$C:$FB,59)</f>
        <v>670</v>
      </c>
      <c r="K173" s="51">
        <f>VLOOKUP($A173,'Data Vlaue (Cr)'!$C:$FB,60)</f>
        <v>766</v>
      </c>
      <c r="L173" s="51">
        <f>VLOOKUP($A173,'Data Vlaue (Cr)'!$C:$FB,62)*100</f>
        <v>-12.47</v>
      </c>
      <c r="M173" s="51">
        <f>VLOOKUP($A173,'Data Vlaue (Cr)'!$C:$FB,63)</f>
        <v>448</v>
      </c>
      <c r="N173" s="51">
        <f>VLOOKUP($A173,'Data Vlaue (Cr)'!$C:$FB,64)</f>
        <v>665</v>
      </c>
      <c r="O173" s="51">
        <f>VLOOKUP($A173,'Data Vlaue (Cr)'!$C:$FB,66)*100</f>
        <v>-32.629999999999995</v>
      </c>
    </row>
    <row r="174" spans="1:15" x14ac:dyDescent="0.25">
      <c r="A174" s="101" t="str">
        <f>'Data Vlaue (Cr)'!C169</f>
        <v>RECLTD</v>
      </c>
      <c r="B174" s="50">
        <f>VLOOKUP($A174,'Data Vlaue (Cr)'!$C:$FB,8)</f>
        <v>343.5</v>
      </c>
      <c r="C174" s="50">
        <f>VLOOKUP($A174,'Data Vlaue (Cr)'!$C:$FB,11)*100</f>
        <v>3.1399999999999997</v>
      </c>
      <c r="D174" s="50">
        <f>VLOOKUP($A174,'Data Vlaue (Cr)'!$C:$FB,143)</f>
        <v>2925.92</v>
      </c>
      <c r="E174" s="50">
        <f>VLOOKUP($A174,'Data Vlaue (Cr)'!$C:$FB,144)</f>
        <v>1228.04</v>
      </c>
      <c r="F174" s="50">
        <f>VLOOKUP($A174,'Data Vlaue (Cr)'!$C:$FB,146)*100</f>
        <v>138.26</v>
      </c>
      <c r="G174" s="49">
        <f>VLOOKUP($A174,'Data Vlaue (Cr)'!$C:$FB,43)</f>
        <v>570</v>
      </c>
      <c r="H174" s="49">
        <f>VLOOKUP($A174,'Data Vlaue (Cr)'!$C:$FB,44)</f>
        <v>294</v>
      </c>
      <c r="I174" s="49">
        <f>VLOOKUP($A174,'Data Vlaue (Cr)'!$C:$FB,46)*100</f>
        <v>93.97</v>
      </c>
      <c r="J174" s="51">
        <f>VLOOKUP($A174,'Data Vlaue (Cr)'!$C:$FB,59)</f>
        <v>1585</v>
      </c>
      <c r="K174" s="51">
        <f>VLOOKUP($A174,'Data Vlaue (Cr)'!$C:$FB,60)</f>
        <v>607</v>
      </c>
      <c r="L174" s="51">
        <f>VLOOKUP($A174,'Data Vlaue (Cr)'!$C:$FB,62)*100</f>
        <v>161.35</v>
      </c>
      <c r="M174" s="51">
        <f>VLOOKUP($A174,'Data Vlaue (Cr)'!$C:$FB,63)</f>
        <v>690</v>
      </c>
      <c r="N174" s="51">
        <f>VLOOKUP($A174,'Data Vlaue (Cr)'!$C:$FB,64)</f>
        <v>310</v>
      </c>
      <c r="O174" s="51">
        <f>VLOOKUP($A174,'Data Vlaue (Cr)'!$C:$FB,66)*100</f>
        <v>122.42</v>
      </c>
    </row>
    <row r="175" spans="1:15" x14ac:dyDescent="0.25">
      <c r="A175" s="101" t="str">
        <f>'Data Vlaue (Cr)'!C170</f>
        <v>RELIANCE</v>
      </c>
      <c r="B175" s="50">
        <f>VLOOKUP($A175,'Data Vlaue (Cr)'!$C:$FB,8)</f>
        <v>1392.2</v>
      </c>
      <c r="C175" s="50">
        <f>VLOOKUP($A175,'Data Vlaue (Cr)'!$C:$FB,11)*100</f>
        <v>0.13999999999999999</v>
      </c>
      <c r="D175" s="50">
        <f>VLOOKUP($A175,'Data Vlaue (Cr)'!$C:$FB,143)</f>
        <v>33698.61</v>
      </c>
      <c r="E175" s="50">
        <f>VLOOKUP($A175,'Data Vlaue (Cr)'!$C:$FB,144)</f>
        <v>47498.37</v>
      </c>
      <c r="F175" s="50">
        <f>VLOOKUP($A175,'Data Vlaue (Cr)'!$C:$FB,146)*100</f>
        <v>-29.049999999999997</v>
      </c>
      <c r="G175" s="49">
        <f>VLOOKUP($A175,'Data Vlaue (Cr)'!$C:$FB,43)</f>
        <v>2750</v>
      </c>
      <c r="H175" s="49">
        <f>VLOOKUP($A175,'Data Vlaue (Cr)'!$C:$FB,44)</f>
        <v>3794</v>
      </c>
      <c r="I175" s="49">
        <f>VLOOKUP($A175,'Data Vlaue (Cr)'!$C:$FB,46)*100</f>
        <v>-27.500000000000004</v>
      </c>
      <c r="J175" s="51">
        <f>VLOOKUP($A175,'Data Vlaue (Cr)'!$C:$FB,59)</f>
        <v>20135</v>
      </c>
      <c r="K175" s="51">
        <f>VLOOKUP($A175,'Data Vlaue (Cr)'!$C:$FB,60)</f>
        <v>29915</v>
      </c>
      <c r="L175" s="51">
        <f>VLOOKUP($A175,'Data Vlaue (Cr)'!$C:$FB,62)*100</f>
        <v>-32.690000000000005</v>
      </c>
      <c r="M175" s="51">
        <f>VLOOKUP($A175,'Data Vlaue (Cr)'!$C:$FB,63)</f>
        <v>9951</v>
      </c>
      <c r="N175" s="51">
        <f>VLOOKUP($A175,'Data Vlaue (Cr)'!$C:$FB,64)</f>
        <v>12183</v>
      </c>
      <c r="O175" s="51">
        <f>VLOOKUP($A175,'Data Vlaue (Cr)'!$C:$FB,66)*100</f>
        <v>-18.32</v>
      </c>
    </row>
    <row r="176" spans="1:15" x14ac:dyDescent="0.25">
      <c r="A176" s="101" t="str">
        <f>'Data Vlaue (Cr)'!C171</f>
        <v>RVNL</v>
      </c>
      <c r="B176" s="50">
        <f>VLOOKUP($A176,'Data Vlaue (Cr)'!$C:$FB,8)</f>
        <v>279.60000000000002</v>
      </c>
      <c r="C176" s="50">
        <f>VLOOKUP($A176,'Data Vlaue (Cr)'!$C:$FB,11)*100</f>
        <v>0.86999999999999988</v>
      </c>
      <c r="D176" s="50">
        <f>VLOOKUP($A176,'Data Vlaue (Cr)'!$C:$FB,143)</f>
        <v>1270.4000000000001</v>
      </c>
      <c r="E176" s="50">
        <f>VLOOKUP($A176,'Data Vlaue (Cr)'!$C:$FB,144)</f>
        <v>951.07</v>
      </c>
      <c r="F176" s="50">
        <f>VLOOKUP($A176,'Data Vlaue (Cr)'!$C:$FB,146)*100</f>
        <v>33.58</v>
      </c>
      <c r="G176" s="49">
        <f>VLOOKUP($A176,'Data Vlaue (Cr)'!$C:$FB,43)</f>
        <v>289</v>
      </c>
      <c r="H176" s="49">
        <f>VLOOKUP($A176,'Data Vlaue (Cr)'!$C:$FB,44)</f>
        <v>206</v>
      </c>
      <c r="I176" s="49">
        <f>VLOOKUP($A176,'Data Vlaue (Cr)'!$C:$FB,46)*100</f>
        <v>40.19</v>
      </c>
      <c r="J176" s="51">
        <f>VLOOKUP($A176,'Data Vlaue (Cr)'!$C:$FB,59)</f>
        <v>659</v>
      </c>
      <c r="K176" s="51">
        <f>VLOOKUP($A176,'Data Vlaue (Cr)'!$C:$FB,60)</f>
        <v>507</v>
      </c>
      <c r="L176" s="51">
        <f>VLOOKUP($A176,'Data Vlaue (Cr)'!$C:$FB,62)*100</f>
        <v>30.130000000000003</v>
      </c>
      <c r="M176" s="51">
        <f>VLOOKUP($A176,'Data Vlaue (Cr)'!$C:$FB,63)</f>
        <v>259</v>
      </c>
      <c r="N176" s="51">
        <f>VLOOKUP($A176,'Data Vlaue (Cr)'!$C:$FB,64)</f>
        <v>184</v>
      </c>
      <c r="O176" s="51">
        <f>VLOOKUP($A176,'Data Vlaue (Cr)'!$C:$FB,66)*100</f>
        <v>40.339999999999996</v>
      </c>
    </row>
    <row r="177" spans="1:15" x14ac:dyDescent="0.25">
      <c r="A177" s="101" t="str">
        <f>'Data Vlaue (Cr)'!C172</f>
        <v>SAIL</v>
      </c>
      <c r="B177" s="50">
        <f>VLOOKUP($A177,'Data Vlaue (Cr)'!$C:$FB,8)</f>
        <v>153.65</v>
      </c>
      <c r="C177" s="50">
        <f>VLOOKUP($A177,'Data Vlaue (Cr)'!$C:$FB,11)*100</f>
        <v>-0.15</v>
      </c>
      <c r="D177" s="50">
        <f>VLOOKUP($A177,'Data Vlaue (Cr)'!$C:$FB,143)</f>
        <v>31.7</v>
      </c>
      <c r="E177" s="50">
        <f>VLOOKUP($A177,'Data Vlaue (Cr)'!$C:$FB,144)</f>
        <v>37.29</v>
      </c>
      <c r="F177" s="50">
        <f>VLOOKUP($A177,'Data Vlaue (Cr)'!$C:$FB,146)*100</f>
        <v>-15</v>
      </c>
      <c r="G177" s="49">
        <f>VLOOKUP($A177,'Data Vlaue (Cr)'!$C:$FB,43)</f>
        <v>25</v>
      </c>
      <c r="H177" s="49">
        <f>VLOOKUP($A177,'Data Vlaue (Cr)'!$C:$FB,44)</f>
        <v>30</v>
      </c>
      <c r="I177" s="49">
        <f>VLOOKUP($A177,'Data Vlaue (Cr)'!$C:$FB,46)*100</f>
        <v>-16.07</v>
      </c>
      <c r="J177" s="51">
        <f>VLOOKUP($A177,'Data Vlaue (Cr)'!$C:$FB,59)</f>
        <v>2</v>
      </c>
      <c r="K177" s="51">
        <f>VLOOKUP($A177,'Data Vlaue (Cr)'!$C:$FB,60)</f>
        <v>4</v>
      </c>
      <c r="L177" s="51">
        <f>VLOOKUP($A177,'Data Vlaue (Cr)'!$C:$FB,62)*100</f>
        <v>-41.38</v>
      </c>
      <c r="M177" s="51">
        <f>VLOOKUP($A177,'Data Vlaue (Cr)'!$C:$FB,63)</f>
        <v>4</v>
      </c>
      <c r="N177" s="51">
        <f>VLOOKUP($A177,'Data Vlaue (Cr)'!$C:$FB,64)</f>
        <v>2</v>
      </c>
      <c r="O177" s="51">
        <f>VLOOKUP($A177,'Data Vlaue (Cr)'!$C:$FB,66)*100</f>
        <v>67.739999999999995</v>
      </c>
    </row>
    <row r="178" spans="1:15" x14ac:dyDescent="0.25">
      <c r="A178" s="101" t="str">
        <f>'Data Vlaue (Cr)'!C173</f>
        <v>SAMMAANCAP</v>
      </c>
      <c r="B178" s="50">
        <f>VLOOKUP($A178,'Data Vlaue (Cr)'!$C:$FB,8)</f>
        <v>142.41999999999999</v>
      </c>
      <c r="C178" s="50">
        <f>VLOOKUP($A178,'Data Vlaue (Cr)'!$C:$FB,11)*100</f>
        <v>-2.2599999999999998</v>
      </c>
      <c r="D178" s="50">
        <f>VLOOKUP($A178,'Data Vlaue (Cr)'!$C:$FB,143)</f>
        <v>11.71</v>
      </c>
      <c r="E178" s="50">
        <f>VLOOKUP($A178,'Data Vlaue (Cr)'!$C:$FB,144)</f>
        <v>7.95</v>
      </c>
      <c r="F178" s="50">
        <f>VLOOKUP($A178,'Data Vlaue (Cr)'!$C:$FB,146)*100</f>
        <v>47.260000000000005</v>
      </c>
      <c r="G178" s="49">
        <f>VLOOKUP($A178,'Data Vlaue (Cr)'!$C:$FB,43)</f>
        <v>10</v>
      </c>
      <c r="H178" s="49">
        <f>VLOOKUP($A178,'Data Vlaue (Cr)'!$C:$FB,44)</f>
        <v>7</v>
      </c>
      <c r="I178" s="49">
        <f>VLOOKUP($A178,'Data Vlaue (Cr)'!$C:$FB,46)*100</f>
        <v>37.61</v>
      </c>
      <c r="J178" s="51">
        <f>VLOOKUP($A178,'Data Vlaue (Cr)'!$C:$FB,59)</f>
        <v>1</v>
      </c>
      <c r="K178" s="51">
        <f>VLOOKUP($A178,'Data Vlaue (Cr)'!$C:$FB,60)</f>
        <v>0</v>
      </c>
      <c r="L178" s="51">
        <f>VLOOKUP($A178,'Data Vlaue (Cr)'!$C:$FB,62)*100</f>
        <v>380</v>
      </c>
      <c r="M178" s="51">
        <f>VLOOKUP($A178,'Data Vlaue (Cr)'!$C:$FB,63)</f>
        <v>0</v>
      </c>
      <c r="N178" s="51">
        <f>VLOOKUP($A178,'Data Vlaue (Cr)'!$C:$FB,64)</f>
        <v>0</v>
      </c>
      <c r="O178" s="51">
        <f>VLOOKUP($A178,'Data Vlaue (Cr)'!$C:$FB,66)*100</f>
        <v>-33.33</v>
      </c>
    </row>
    <row r="179" spans="1:15" x14ac:dyDescent="0.25">
      <c r="A179" s="101" t="str">
        <f>'Data Vlaue (Cr)'!C174</f>
        <v>SBICARD</v>
      </c>
      <c r="B179" s="50">
        <f>VLOOKUP($A179,'Data Vlaue (Cr)'!$C:$FB,8)</f>
        <v>710.25</v>
      </c>
      <c r="C179" s="50">
        <f>VLOOKUP($A179,'Data Vlaue (Cr)'!$C:$FB,11)*100</f>
        <v>-0.66</v>
      </c>
      <c r="D179" s="50">
        <f>VLOOKUP($A179,'Data Vlaue (Cr)'!$C:$FB,143)</f>
        <v>573.05999999999995</v>
      </c>
      <c r="E179" s="50">
        <f>VLOOKUP($A179,'Data Vlaue (Cr)'!$C:$FB,144)</f>
        <v>630.59</v>
      </c>
      <c r="F179" s="50">
        <f>VLOOKUP($A179,'Data Vlaue (Cr)'!$C:$FB,146)*100</f>
        <v>-9.120000000000001</v>
      </c>
      <c r="G179" s="49">
        <f>VLOOKUP($A179,'Data Vlaue (Cr)'!$C:$FB,43)</f>
        <v>228</v>
      </c>
      <c r="H179" s="49">
        <f>VLOOKUP($A179,'Data Vlaue (Cr)'!$C:$FB,44)</f>
        <v>227</v>
      </c>
      <c r="I179" s="49">
        <f>VLOOKUP($A179,'Data Vlaue (Cr)'!$C:$FB,46)*100</f>
        <v>0.41000000000000003</v>
      </c>
      <c r="J179" s="51">
        <f>VLOOKUP($A179,'Data Vlaue (Cr)'!$C:$FB,59)</f>
        <v>220</v>
      </c>
      <c r="K179" s="51">
        <f>VLOOKUP($A179,'Data Vlaue (Cr)'!$C:$FB,60)</f>
        <v>252</v>
      </c>
      <c r="L179" s="51">
        <f>VLOOKUP($A179,'Data Vlaue (Cr)'!$C:$FB,62)*100</f>
        <v>-12.86</v>
      </c>
      <c r="M179" s="51">
        <f>VLOOKUP($A179,'Data Vlaue (Cr)'!$C:$FB,63)</f>
        <v>102</v>
      </c>
      <c r="N179" s="51">
        <f>VLOOKUP($A179,'Data Vlaue (Cr)'!$C:$FB,64)</f>
        <v>120</v>
      </c>
      <c r="O179" s="51">
        <f>VLOOKUP($A179,'Data Vlaue (Cr)'!$C:$FB,66)*100</f>
        <v>-15.15</v>
      </c>
    </row>
    <row r="180" spans="1:15" x14ac:dyDescent="0.25">
      <c r="A180" s="101" t="str">
        <f>'Data Vlaue (Cr)'!C175</f>
        <v>SBILIFE</v>
      </c>
      <c r="B180" s="50">
        <f>VLOOKUP($A180,'Data Vlaue (Cr)'!$C:$FB,8)</f>
        <v>1939.4</v>
      </c>
      <c r="C180" s="50">
        <f>VLOOKUP($A180,'Data Vlaue (Cr)'!$C:$FB,11)*100</f>
        <v>0.04</v>
      </c>
      <c r="D180" s="50">
        <f>VLOOKUP($A180,'Data Vlaue (Cr)'!$C:$FB,143)</f>
        <v>707.93</v>
      </c>
      <c r="E180" s="50">
        <f>VLOOKUP($A180,'Data Vlaue (Cr)'!$C:$FB,144)</f>
        <v>1117.8699999999999</v>
      </c>
      <c r="F180" s="50">
        <f>VLOOKUP($A180,'Data Vlaue (Cr)'!$C:$FB,146)*100</f>
        <v>-36.67</v>
      </c>
      <c r="G180" s="49">
        <f>VLOOKUP($A180,'Data Vlaue (Cr)'!$C:$FB,43)</f>
        <v>184</v>
      </c>
      <c r="H180" s="49">
        <f>VLOOKUP($A180,'Data Vlaue (Cr)'!$C:$FB,44)</f>
        <v>205</v>
      </c>
      <c r="I180" s="49">
        <f>VLOOKUP($A180,'Data Vlaue (Cr)'!$C:$FB,46)*100</f>
        <v>-10.38</v>
      </c>
      <c r="J180" s="51">
        <f>VLOOKUP($A180,'Data Vlaue (Cr)'!$C:$FB,59)</f>
        <v>344</v>
      </c>
      <c r="K180" s="51">
        <f>VLOOKUP($A180,'Data Vlaue (Cr)'!$C:$FB,60)</f>
        <v>561</v>
      </c>
      <c r="L180" s="51">
        <f>VLOOKUP($A180,'Data Vlaue (Cr)'!$C:$FB,62)*100</f>
        <v>-38.769999999999996</v>
      </c>
      <c r="M180" s="51">
        <f>VLOOKUP($A180,'Data Vlaue (Cr)'!$C:$FB,63)</f>
        <v>169</v>
      </c>
      <c r="N180" s="51">
        <f>VLOOKUP($A180,'Data Vlaue (Cr)'!$C:$FB,64)</f>
        <v>326</v>
      </c>
      <c r="O180" s="51">
        <f>VLOOKUP($A180,'Data Vlaue (Cr)'!$C:$FB,66)*100</f>
        <v>-48.339999999999996</v>
      </c>
    </row>
    <row r="181" spans="1:15" x14ac:dyDescent="0.25">
      <c r="A181" s="101" t="str">
        <f>'Data Vlaue (Cr)'!C176</f>
        <v>SBIN</v>
      </c>
      <c r="B181" s="50">
        <f>VLOOKUP($A181,'Data Vlaue (Cr)'!$C:$FB,8)</f>
        <v>1085.2</v>
      </c>
      <c r="C181" s="50">
        <f>VLOOKUP($A181,'Data Vlaue (Cr)'!$C:$FB,11)*100</f>
        <v>-0.54</v>
      </c>
      <c r="D181" s="50">
        <f>VLOOKUP($A181,'Data Vlaue (Cr)'!$C:$FB,143)</f>
        <v>15885.16</v>
      </c>
      <c r="E181" s="50">
        <f>VLOOKUP($A181,'Data Vlaue (Cr)'!$C:$FB,144)</f>
        <v>13170.82</v>
      </c>
      <c r="F181" s="50">
        <f>VLOOKUP($A181,'Data Vlaue (Cr)'!$C:$FB,146)*100</f>
        <v>20.61</v>
      </c>
      <c r="G181" s="49">
        <f>VLOOKUP($A181,'Data Vlaue (Cr)'!$C:$FB,43)</f>
        <v>1897</v>
      </c>
      <c r="H181" s="49">
        <f>VLOOKUP($A181,'Data Vlaue (Cr)'!$C:$FB,44)</f>
        <v>1350</v>
      </c>
      <c r="I181" s="49">
        <f>VLOOKUP($A181,'Data Vlaue (Cr)'!$C:$FB,46)*100</f>
        <v>40.510000000000005</v>
      </c>
      <c r="J181" s="51">
        <f>VLOOKUP($A181,'Data Vlaue (Cr)'!$C:$FB,59)</f>
        <v>8020</v>
      </c>
      <c r="K181" s="51">
        <f>VLOOKUP($A181,'Data Vlaue (Cr)'!$C:$FB,60)</f>
        <v>6094</v>
      </c>
      <c r="L181" s="51">
        <f>VLOOKUP($A181,'Data Vlaue (Cr)'!$C:$FB,62)*100</f>
        <v>31.619999999999997</v>
      </c>
      <c r="M181" s="51">
        <f>VLOOKUP($A181,'Data Vlaue (Cr)'!$C:$FB,63)</f>
        <v>5529</v>
      </c>
      <c r="N181" s="51">
        <f>VLOOKUP($A181,'Data Vlaue (Cr)'!$C:$FB,64)</f>
        <v>5238</v>
      </c>
      <c r="O181" s="51">
        <f>VLOOKUP($A181,'Data Vlaue (Cr)'!$C:$FB,66)*100</f>
        <v>5.55</v>
      </c>
    </row>
    <row r="182" spans="1:15" x14ac:dyDescent="0.25">
      <c r="A182" s="101" t="str">
        <f>'Data Vlaue (Cr)'!C177</f>
        <v>SHREECEM</v>
      </c>
      <c r="B182" s="50">
        <f>VLOOKUP($A182,'Data Vlaue (Cr)'!$C:$FB,8)</f>
        <v>23500</v>
      </c>
      <c r="C182" s="50">
        <f>VLOOKUP($A182,'Data Vlaue (Cr)'!$C:$FB,11)*100</f>
        <v>-1.01</v>
      </c>
      <c r="D182" s="50">
        <f>VLOOKUP($A182,'Data Vlaue (Cr)'!$C:$FB,143)</f>
        <v>256.38</v>
      </c>
      <c r="E182" s="50">
        <f>VLOOKUP($A182,'Data Vlaue (Cr)'!$C:$FB,144)</f>
        <v>318.22000000000003</v>
      </c>
      <c r="F182" s="50">
        <f>VLOOKUP($A182,'Data Vlaue (Cr)'!$C:$FB,146)*100</f>
        <v>-19.43</v>
      </c>
      <c r="G182" s="49">
        <f>VLOOKUP($A182,'Data Vlaue (Cr)'!$C:$FB,43)</f>
        <v>135</v>
      </c>
      <c r="H182" s="49">
        <f>VLOOKUP($A182,'Data Vlaue (Cr)'!$C:$FB,44)</f>
        <v>155</v>
      </c>
      <c r="I182" s="49">
        <f>VLOOKUP($A182,'Data Vlaue (Cr)'!$C:$FB,46)*100</f>
        <v>-13</v>
      </c>
      <c r="J182" s="51">
        <f>VLOOKUP($A182,'Data Vlaue (Cr)'!$C:$FB,59)</f>
        <v>66</v>
      </c>
      <c r="K182" s="51">
        <f>VLOOKUP($A182,'Data Vlaue (Cr)'!$C:$FB,60)</f>
        <v>72</v>
      </c>
      <c r="L182" s="51">
        <f>VLOOKUP($A182,'Data Vlaue (Cr)'!$C:$FB,62)*100</f>
        <v>-7.9600000000000009</v>
      </c>
      <c r="M182" s="51">
        <f>VLOOKUP($A182,'Data Vlaue (Cr)'!$C:$FB,63)</f>
        <v>51</v>
      </c>
      <c r="N182" s="51">
        <f>VLOOKUP($A182,'Data Vlaue (Cr)'!$C:$FB,64)</f>
        <v>83</v>
      </c>
      <c r="O182" s="51">
        <f>VLOOKUP($A182,'Data Vlaue (Cr)'!$C:$FB,66)*100</f>
        <v>-39.18</v>
      </c>
    </row>
    <row r="183" spans="1:15" x14ac:dyDescent="0.25">
      <c r="A183" s="101" t="str">
        <f>'Data Vlaue (Cr)'!C178</f>
        <v>SHRIRAMFIN</v>
      </c>
      <c r="B183" s="50">
        <f>VLOOKUP($A183,'Data Vlaue (Cr)'!$C:$FB,8)</f>
        <v>1031.7</v>
      </c>
      <c r="C183" s="50">
        <f>VLOOKUP($A183,'Data Vlaue (Cr)'!$C:$FB,11)*100</f>
        <v>0</v>
      </c>
      <c r="D183" s="50">
        <f>VLOOKUP($A183,'Data Vlaue (Cr)'!$C:$FB,143)</f>
        <v>4511.79</v>
      </c>
      <c r="E183" s="50">
        <f>VLOOKUP($A183,'Data Vlaue (Cr)'!$C:$FB,144)</f>
        <v>5658.11</v>
      </c>
      <c r="F183" s="50">
        <f>VLOOKUP($A183,'Data Vlaue (Cr)'!$C:$FB,146)*100</f>
        <v>-20.260000000000002</v>
      </c>
      <c r="G183" s="49">
        <f>VLOOKUP($A183,'Data Vlaue (Cr)'!$C:$FB,43)</f>
        <v>893</v>
      </c>
      <c r="H183" s="49">
        <f>VLOOKUP($A183,'Data Vlaue (Cr)'!$C:$FB,44)</f>
        <v>1019</v>
      </c>
      <c r="I183" s="49">
        <f>VLOOKUP($A183,'Data Vlaue (Cr)'!$C:$FB,46)*100</f>
        <v>-12.35</v>
      </c>
      <c r="J183" s="51">
        <f>VLOOKUP($A183,'Data Vlaue (Cr)'!$C:$FB,59)</f>
        <v>2097</v>
      </c>
      <c r="K183" s="51">
        <f>VLOOKUP($A183,'Data Vlaue (Cr)'!$C:$FB,60)</f>
        <v>2462</v>
      </c>
      <c r="L183" s="51">
        <f>VLOOKUP($A183,'Data Vlaue (Cr)'!$C:$FB,62)*100</f>
        <v>-14.81</v>
      </c>
      <c r="M183" s="51">
        <f>VLOOKUP($A183,'Data Vlaue (Cr)'!$C:$FB,63)</f>
        <v>1421</v>
      </c>
      <c r="N183" s="51">
        <f>VLOOKUP($A183,'Data Vlaue (Cr)'!$C:$FB,64)</f>
        <v>1959</v>
      </c>
      <c r="O183" s="51">
        <f>VLOOKUP($A183,'Data Vlaue (Cr)'!$C:$FB,66)*100</f>
        <v>-27.47</v>
      </c>
    </row>
    <row r="184" spans="1:15" x14ac:dyDescent="0.25">
      <c r="A184" s="101" t="str">
        <f>'Data Vlaue (Cr)'!C179</f>
        <v>SIEMENS</v>
      </c>
      <c r="B184" s="50">
        <f>VLOOKUP($A184,'Data Vlaue (Cr)'!$C:$FB,8)</f>
        <v>3324.7</v>
      </c>
      <c r="C184" s="50">
        <f>VLOOKUP($A184,'Data Vlaue (Cr)'!$C:$FB,11)*100</f>
        <v>1.6</v>
      </c>
      <c r="D184" s="50">
        <f>VLOOKUP($A184,'Data Vlaue (Cr)'!$C:$FB,143)</f>
        <v>1775.73</v>
      </c>
      <c r="E184" s="50">
        <f>VLOOKUP($A184,'Data Vlaue (Cr)'!$C:$FB,144)</f>
        <v>1465.99</v>
      </c>
      <c r="F184" s="50">
        <f>VLOOKUP($A184,'Data Vlaue (Cr)'!$C:$FB,146)*100</f>
        <v>21.13</v>
      </c>
      <c r="G184" s="49">
        <f>VLOOKUP($A184,'Data Vlaue (Cr)'!$C:$FB,43)</f>
        <v>194</v>
      </c>
      <c r="H184" s="49">
        <f>VLOOKUP($A184,'Data Vlaue (Cr)'!$C:$FB,44)</f>
        <v>164</v>
      </c>
      <c r="I184" s="49">
        <f>VLOOKUP($A184,'Data Vlaue (Cr)'!$C:$FB,46)*100</f>
        <v>18.399999999999999</v>
      </c>
      <c r="J184" s="51">
        <f>VLOOKUP($A184,'Data Vlaue (Cr)'!$C:$FB,59)</f>
        <v>1154</v>
      </c>
      <c r="K184" s="51">
        <f>VLOOKUP($A184,'Data Vlaue (Cr)'!$C:$FB,60)</f>
        <v>906</v>
      </c>
      <c r="L184" s="51">
        <f>VLOOKUP($A184,'Data Vlaue (Cr)'!$C:$FB,62)*100</f>
        <v>27.35</v>
      </c>
      <c r="M184" s="51">
        <f>VLOOKUP($A184,'Data Vlaue (Cr)'!$C:$FB,63)</f>
        <v>373</v>
      </c>
      <c r="N184" s="51">
        <f>VLOOKUP($A184,'Data Vlaue (Cr)'!$C:$FB,64)</f>
        <v>361</v>
      </c>
      <c r="O184" s="51">
        <f>VLOOKUP($A184,'Data Vlaue (Cr)'!$C:$FB,66)*100</f>
        <v>3.46</v>
      </c>
    </row>
    <row r="185" spans="1:15" x14ac:dyDescent="0.25">
      <c r="A185" s="101" t="str">
        <f>'Data Vlaue (Cr)'!C180</f>
        <v>SOLARINDS</v>
      </c>
      <c r="B185" s="50">
        <f>VLOOKUP($A185,'Data Vlaue (Cr)'!$C:$FB,8)</f>
        <v>14525</v>
      </c>
      <c r="C185" s="50">
        <f>VLOOKUP($A185,'Data Vlaue (Cr)'!$C:$FB,11)*100</f>
        <v>6.9999999999999993E-2</v>
      </c>
      <c r="D185" s="50">
        <f>VLOOKUP($A185,'Data Vlaue (Cr)'!$C:$FB,143)</f>
        <v>1025.72</v>
      </c>
      <c r="E185" s="50">
        <f>VLOOKUP($A185,'Data Vlaue (Cr)'!$C:$FB,144)</f>
        <v>1522.68</v>
      </c>
      <c r="F185" s="50">
        <f>VLOOKUP($A185,'Data Vlaue (Cr)'!$C:$FB,146)*100</f>
        <v>-32.64</v>
      </c>
      <c r="G185" s="49">
        <f>VLOOKUP($A185,'Data Vlaue (Cr)'!$C:$FB,43)</f>
        <v>196</v>
      </c>
      <c r="H185" s="49">
        <f>VLOOKUP($A185,'Data Vlaue (Cr)'!$C:$FB,44)</f>
        <v>265</v>
      </c>
      <c r="I185" s="49">
        <f>VLOOKUP($A185,'Data Vlaue (Cr)'!$C:$FB,46)*100</f>
        <v>-26.21</v>
      </c>
      <c r="J185" s="51">
        <f>VLOOKUP($A185,'Data Vlaue (Cr)'!$C:$FB,59)</f>
        <v>563</v>
      </c>
      <c r="K185" s="51">
        <f>VLOOKUP($A185,'Data Vlaue (Cr)'!$C:$FB,60)</f>
        <v>654</v>
      </c>
      <c r="L185" s="51">
        <f>VLOOKUP($A185,'Data Vlaue (Cr)'!$C:$FB,62)*100</f>
        <v>-13.99</v>
      </c>
      <c r="M185" s="51">
        <f>VLOOKUP($A185,'Data Vlaue (Cr)'!$C:$FB,63)</f>
        <v>236</v>
      </c>
      <c r="N185" s="51">
        <f>VLOOKUP($A185,'Data Vlaue (Cr)'!$C:$FB,64)</f>
        <v>566</v>
      </c>
      <c r="O185" s="51">
        <f>VLOOKUP($A185,'Data Vlaue (Cr)'!$C:$FB,66)*100</f>
        <v>-58.25</v>
      </c>
    </row>
    <row r="186" spans="1:15" x14ac:dyDescent="0.25">
      <c r="A186" s="101" t="str">
        <f>'Data Vlaue (Cr)'!C181</f>
        <v>SONACOMS</v>
      </c>
      <c r="B186" s="50">
        <f>VLOOKUP($A186,'Data Vlaue (Cr)'!$C:$FB,8)</f>
        <v>510.3</v>
      </c>
      <c r="C186" s="50">
        <f>VLOOKUP($A186,'Data Vlaue (Cr)'!$C:$FB,11)*100</f>
        <v>-1.17</v>
      </c>
      <c r="D186" s="50">
        <f>VLOOKUP($A186,'Data Vlaue (Cr)'!$C:$FB,143)</f>
        <v>428.43</v>
      </c>
      <c r="E186" s="50">
        <f>VLOOKUP($A186,'Data Vlaue (Cr)'!$C:$FB,144)</f>
        <v>1808.38</v>
      </c>
      <c r="F186" s="50">
        <f>VLOOKUP($A186,'Data Vlaue (Cr)'!$C:$FB,146)*100</f>
        <v>-76.31</v>
      </c>
      <c r="G186" s="49">
        <f>VLOOKUP($A186,'Data Vlaue (Cr)'!$C:$FB,43)</f>
        <v>98</v>
      </c>
      <c r="H186" s="49">
        <f>VLOOKUP($A186,'Data Vlaue (Cr)'!$C:$FB,44)</f>
        <v>238</v>
      </c>
      <c r="I186" s="49">
        <f>VLOOKUP($A186,'Data Vlaue (Cr)'!$C:$FB,46)*100</f>
        <v>-58.589999999999996</v>
      </c>
      <c r="J186" s="51">
        <f>VLOOKUP($A186,'Data Vlaue (Cr)'!$C:$FB,59)</f>
        <v>189</v>
      </c>
      <c r="K186" s="51">
        <f>VLOOKUP($A186,'Data Vlaue (Cr)'!$C:$FB,60)</f>
        <v>1165</v>
      </c>
      <c r="L186" s="51">
        <f>VLOOKUP($A186,'Data Vlaue (Cr)'!$C:$FB,62)*100</f>
        <v>-83.76</v>
      </c>
      <c r="M186" s="51">
        <f>VLOOKUP($A186,'Data Vlaue (Cr)'!$C:$FB,63)</f>
        <v>127</v>
      </c>
      <c r="N186" s="51">
        <f>VLOOKUP($A186,'Data Vlaue (Cr)'!$C:$FB,64)</f>
        <v>278</v>
      </c>
      <c r="O186" s="51">
        <f>VLOOKUP($A186,'Data Vlaue (Cr)'!$C:$FB,66)*100</f>
        <v>-54.52</v>
      </c>
    </row>
    <row r="187" spans="1:15" x14ac:dyDescent="0.25">
      <c r="A187" s="101" t="str">
        <f>'Data Vlaue (Cr)'!C182</f>
        <v>SRF</v>
      </c>
      <c r="B187" s="50">
        <f>VLOOKUP($A187,'Data Vlaue (Cr)'!$C:$FB,8)</f>
        <v>2626.3</v>
      </c>
      <c r="C187" s="50">
        <f>VLOOKUP($A187,'Data Vlaue (Cr)'!$C:$FB,11)*100</f>
        <v>5.53</v>
      </c>
      <c r="D187" s="50">
        <f>VLOOKUP($A187,'Data Vlaue (Cr)'!$C:$FB,143)</f>
        <v>3314.78</v>
      </c>
      <c r="E187" s="50">
        <f>VLOOKUP($A187,'Data Vlaue (Cr)'!$C:$FB,144)</f>
        <v>1314.02</v>
      </c>
      <c r="F187" s="50">
        <f>VLOOKUP($A187,'Data Vlaue (Cr)'!$C:$FB,146)*100</f>
        <v>152.26</v>
      </c>
      <c r="G187" s="49">
        <f>VLOOKUP($A187,'Data Vlaue (Cr)'!$C:$FB,43)</f>
        <v>461</v>
      </c>
      <c r="H187" s="49">
        <f>VLOOKUP($A187,'Data Vlaue (Cr)'!$C:$FB,44)</f>
        <v>296</v>
      </c>
      <c r="I187" s="49">
        <f>VLOOKUP($A187,'Data Vlaue (Cr)'!$C:$FB,46)*100</f>
        <v>55.66</v>
      </c>
      <c r="J187" s="51">
        <f>VLOOKUP($A187,'Data Vlaue (Cr)'!$C:$FB,59)</f>
        <v>1921</v>
      </c>
      <c r="K187" s="51">
        <f>VLOOKUP($A187,'Data Vlaue (Cr)'!$C:$FB,60)</f>
        <v>433</v>
      </c>
      <c r="L187" s="51">
        <f>VLOOKUP($A187,'Data Vlaue (Cr)'!$C:$FB,62)*100</f>
        <v>343.77</v>
      </c>
      <c r="M187" s="51">
        <f>VLOOKUP($A187,'Data Vlaue (Cr)'!$C:$FB,63)</f>
        <v>906</v>
      </c>
      <c r="N187" s="51">
        <f>VLOOKUP($A187,'Data Vlaue (Cr)'!$C:$FB,64)</f>
        <v>603</v>
      </c>
      <c r="O187" s="51">
        <f>VLOOKUP($A187,'Data Vlaue (Cr)'!$C:$FB,66)*100</f>
        <v>50.22</v>
      </c>
    </row>
    <row r="188" spans="1:15" x14ac:dyDescent="0.25">
      <c r="A188" s="101" t="str">
        <f>'Data Vlaue (Cr)'!C183</f>
        <v>SUNPHARMA</v>
      </c>
      <c r="B188" s="50">
        <f>VLOOKUP($A188,'Data Vlaue (Cr)'!$C:$FB,8)</f>
        <v>1825.3</v>
      </c>
      <c r="C188" s="50">
        <f>VLOOKUP($A188,'Data Vlaue (Cr)'!$C:$FB,11)*100</f>
        <v>-0.03</v>
      </c>
      <c r="D188" s="50">
        <f>VLOOKUP($A188,'Data Vlaue (Cr)'!$C:$FB,143)</f>
        <v>3656.33</v>
      </c>
      <c r="E188" s="50">
        <f>VLOOKUP($A188,'Data Vlaue (Cr)'!$C:$FB,144)</f>
        <v>4963.4399999999996</v>
      </c>
      <c r="F188" s="50">
        <f>VLOOKUP($A188,'Data Vlaue (Cr)'!$C:$FB,146)*100</f>
        <v>-26.33</v>
      </c>
      <c r="G188" s="49">
        <f>VLOOKUP($A188,'Data Vlaue (Cr)'!$C:$FB,43)</f>
        <v>470</v>
      </c>
      <c r="H188" s="49">
        <f>VLOOKUP($A188,'Data Vlaue (Cr)'!$C:$FB,44)</f>
        <v>532</v>
      </c>
      <c r="I188" s="49">
        <f>VLOOKUP($A188,'Data Vlaue (Cr)'!$C:$FB,46)*100</f>
        <v>-11.59</v>
      </c>
      <c r="J188" s="51">
        <f>VLOOKUP($A188,'Data Vlaue (Cr)'!$C:$FB,59)</f>
        <v>1906</v>
      </c>
      <c r="K188" s="51">
        <f>VLOOKUP($A188,'Data Vlaue (Cr)'!$C:$FB,60)</f>
        <v>2950</v>
      </c>
      <c r="L188" s="51">
        <f>VLOOKUP($A188,'Data Vlaue (Cr)'!$C:$FB,62)*100</f>
        <v>-35.39</v>
      </c>
      <c r="M188" s="51">
        <f>VLOOKUP($A188,'Data Vlaue (Cr)'!$C:$FB,63)</f>
        <v>1259</v>
      </c>
      <c r="N188" s="51">
        <f>VLOOKUP($A188,'Data Vlaue (Cr)'!$C:$FB,64)</f>
        <v>1415</v>
      </c>
      <c r="O188" s="51">
        <f>VLOOKUP($A188,'Data Vlaue (Cr)'!$C:$FB,66)*100</f>
        <v>-11.03</v>
      </c>
    </row>
    <row r="189" spans="1:15" x14ac:dyDescent="0.25">
      <c r="A189" s="101" t="str">
        <f>'Data Vlaue (Cr)'!C184</f>
        <v>SUPREMEIND</v>
      </c>
      <c r="B189" s="50">
        <f>VLOOKUP($A189,'Data Vlaue (Cr)'!$C:$FB,8)</f>
        <v>4043.7</v>
      </c>
      <c r="C189" s="50">
        <f>VLOOKUP($A189,'Data Vlaue (Cr)'!$C:$FB,11)*100</f>
        <v>0.13999999999999999</v>
      </c>
      <c r="D189" s="50">
        <f>VLOOKUP($A189,'Data Vlaue (Cr)'!$C:$FB,143)</f>
        <v>907.58</v>
      </c>
      <c r="E189" s="50">
        <f>VLOOKUP($A189,'Data Vlaue (Cr)'!$C:$FB,144)</f>
        <v>1920.14</v>
      </c>
      <c r="F189" s="50">
        <f>VLOOKUP($A189,'Data Vlaue (Cr)'!$C:$FB,146)*100</f>
        <v>-52.73</v>
      </c>
      <c r="G189" s="49">
        <f>VLOOKUP($A189,'Data Vlaue (Cr)'!$C:$FB,43)</f>
        <v>256</v>
      </c>
      <c r="H189" s="49">
        <f>VLOOKUP($A189,'Data Vlaue (Cr)'!$C:$FB,44)</f>
        <v>297</v>
      </c>
      <c r="I189" s="49">
        <f>VLOOKUP($A189,'Data Vlaue (Cr)'!$C:$FB,46)*100</f>
        <v>-13.77</v>
      </c>
      <c r="J189" s="51">
        <f>VLOOKUP($A189,'Data Vlaue (Cr)'!$C:$FB,59)</f>
        <v>457</v>
      </c>
      <c r="K189" s="51">
        <f>VLOOKUP($A189,'Data Vlaue (Cr)'!$C:$FB,60)</f>
        <v>1300</v>
      </c>
      <c r="L189" s="51">
        <f>VLOOKUP($A189,'Data Vlaue (Cr)'!$C:$FB,62)*100</f>
        <v>-64.83</v>
      </c>
      <c r="M189" s="51">
        <f>VLOOKUP($A189,'Data Vlaue (Cr)'!$C:$FB,63)</f>
        <v>184</v>
      </c>
      <c r="N189" s="51">
        <f>VLOOKUP($A189,'Data Vlaue (Cr)'!$C:$FB,64)</f>
        <v>269</v>
      </c>
      <c r="O189" s="51">
        <f>VLOOKUP($A189,'Data Vlaue (Cr)'!$C:$FB,66)*100</f>
        <v>-31.61</v>
      </c>
    </row>
    <row r="190" spans="1:15" x14ac:dyDescent="0.25">
      <c r="A190" s="101" t="str">
        <f>'Data Vlaue (Cr)'!C185</f>
        <v>SUZLON</v>
      </c>
      <c r="B190" s="50">
        <f>VLOOKUP($A190,'Data Vlaue (Cr)'!$C:$FB,8)</f>
        <v>42.43</v>
      </c>
      <c r="C190" s="50">
        <f>VLOOKUP($A190,'Data Vlaue (Cr)'!$C:$FB,11)*100</f>
        <v>1.95</v>
      </c>
      <c r="D190" s="50">
        <f>VLOOKUP($A190,'Data Vlaue (Cr)'!$C:$FB,143)</f>
        <v>2048.16</v>
      </c>
      <c r="E190" s="50">
        <f>VLOOKUP($A190,'Data Vlaue (Cr)'!$C:$FB,144)</f>
        <v>1424.54</v>
      </c>
      <c r="F190" s="50">
        <f>VLOOKUP($A190,'Data Vlaue (Cr)'!$C:$FB,146)*100</f>
        <v>43.78</v>
      </c>
      <c r="G190" s="49">
        <f>VLOOKUP($A190,'Data Vlaue (Cr)'!$C:$FB,43)</f>
        <v>305</v>
      </c>
      <c r="H190" s="49">
        <f>VLOOKUP($A190,'Data Vlaue (Cr)'!$C:$FB,44)</f>
        <v>262</v>
      </c>
      <c r="I190" s="49">
        <f>VLOOKUP($A190,'Data Vlaue (Cr)'!$C:$FB,46)*100</f>
        <v>16.21</v>
      </c>
      <c r="J190" s="51">
        <f>VLOOKUP($A190,'Data Vlaue (Cr)'!$C:$FB,59)</f>
        <v>1319</v>
      </c>
      <c r="K190" s="51">
        <f>VLOOKUP($A190,'Data Vlaue (Cr)'!$C:$FB,60)</f>
        <v>916</v>
      </c>
      <c r="L190" s="51">
        <f>VLOOKUP($A190,'Data Vlaue (Cr)'!$C:$FB,62)*100</f>
        <v>43.94</v>
      </c>
      <c r="M190" s="51">
        <f>VLOOKUP($A190,'Data Vlaue (Cr)'!$C:$FB,63)</f>
        <v>309</v>
      </c>
      <c r="N190" s="51">
        <f>VLOOKUP($A190,'Data Vlaue (Cr)'!$C:$FB,64)</f>
        <v>182</v>
      </c>
      <c r="O190" s="51">
        <f>VLOOKUP($A190,'Data Vlaue (Cr)'!$C:$FB,66)*100</f>
        <v>70</v>
      </c>
    </row>
    <row r="191" spans="1:15" x14ac:dyDescent="0.25">
      <c r="A191" s="101" t="str">
        <f>'Data Vlaue (Cr)'!C186</f>
        <v>SWIGGY</v>
      </c>
      <c r="B191" s="50">
        <f>VLOOKUP($A191,'Data Vlaue (Cr)'!$C:$FB,8)</f>
        <v>280.89999999999998</v>
      </c>
      <c r="C191" s="50">
        <f>VLOOKUP($A191,'Data Vlaue (Cr)'!$C:$FB,11)*100</f>
        <v>-1.3</v>
      </c>
      <c r="D191" s="50">
        <f>VLOOKUP($A191,'Data Vlaue (Cr)'!$C:$FB,143)</f>
        <v>1196.72</v>
      </c>
      <c r="E191" s="50">
        <f>VLOOKUP($A191,'Data Vlaue (Cr)'!$C:$FB,144)</f>
        <v>598.14</v>
      </c>
      <c r="F191" s="50">
        <f>VLOOKUP($A191,'Data Vlaue (Cr)'!$C:$FB,146)*100</f>
        <v>100.07999999999998</v>
      </c>
      <c r="G191" s="49">
        <f>VLOOKUP($A191,'Data Vlaue (Cr)'!$C:$FB,43)</f>
        <v>411</v>
      </c>
      <c r="H191" s="49">
        <f>VLOOKUP($A191,'Data Vlaue (Cr)'!$C:$FB,44)</f>
        <v>230</v>
      </c>
      <c r="I191" s="49">
        <f>VLOOKUP($A191,'Data Vlaue (Cr)'!$C:$FB,46)*100</f>
        <v>78.349999999999994</v>
      </c>
      <c r="J191" s="51">
        <f>VLOOKUP($A191,'Data Vlaue (Cr)'!$C:$FB,59)</f>
        <v>271</v>
      </c>
      <c r="K191" s="51">
        <f>VLOOKUP($A191,'Data Vlaue (Cr)'!$C:$FB,60)</f>
        <v>150</v>
      </c>
      <c r="L191" s="51">
        <f>VLOOKUP($A191,'Data Vlaue (Cr)'!$C:$FB,62)*100</f>
        <v>79.89</v>
      </c>
      <c r="M191" s="51">
        <f>VLOOKUP($A191,'Data Vlaue (Cr)'!$C:$FB,63)</f>
        <v>505</v>
      </c>
      <c r="N191" s="51">
        <f>VLOOKUP($A191,'Data Vlaue (Cr)'!$C:$FB,64)</f>
        <v>187</v>
      </c>
      <c r="O191" s="51">
        <f>VLOOKUP($A191,'Data Vlaue (Cr)'!$C:$FB,66)*100</f>
        <v>170.07000000000002</v>
      </c>
    </row>
    <row r="192" spans="1:15" x14ac:dyDescent="0.25">
      <c r="A192" s="101" t="str">
        <f>'Data Vlaue (Cr)'!C187</f>
        <v>SYNGENE</v>
      </c>
      <c r="B192" s="50">
        <f>VLOOKUP($A192,'Data Vlaue (Cr)'!$C:$FB,8)</f>
        <v>404.1</v>
      </c>
      <c r="C192" s="50">
        <f>VLOOKUP($A192,'Data Vlaue (Cr)'!$C:$FB,11)*100</f>
        <v>-0.9900000000000001</v>
      </c>
      <c r="D192" s="50">
        <f>VLOOKUP($A192,'Data Vlaue (Cr)'!$C:$FB,143)</f>
        <v>255.68</v>
      </c>
      <c r="E192" s="50">
        <f>VLOOKUP($A192,'Data Vlaue (Cr)'!$C:$FB,144)</f>
        <v>252.08</v>
      </c>
      <c r="F192" s="50">
        <f>VLOOKUP($A192,'Data Vlaue (Cr)'!$C:$FB,146)*100</f>
        <v>1.43</v>
      </c>
      <c r="G192" s="49">
        <f>VLOOKUP($A192,'Data Vlaue (Cr)'!$C:$FB,43)</f>
        <v>58</v>
      </c>
      <c r="H192" s="49">
        <f>VLOOKUP($A192,'Data Vlaue (Cr)'!$C:$FB,44)</f>
        <v>52</v>
      </c>
      <c r="I192" s="49">
        <f>VLOOKUP($A192,'Data Vlaue (Cr)'!$C:$FB,46)*100</f>
        <v>11.690000000000001</v>
      </c>
      <c r="J192" s="51">
        <f>VLOOKUP($A192,'Data Vlaue (Cr)'!$C:$FB,59)</f>
        <v>112</v>
      </c>
      <c r="K192" s="51">
        <f>VLOOKUP($A192,'Data Vlaue (Cr)'!$C:$FB,60)</f>
        <v>144</v>
      </c>
      <c r="L192" s="51">
        <f>VLOOKUP($A192,'Data Vlaue (Cr)'!$C:$FB,62)*100</f>
        <v>-22.720000000000002</v>
      </c>
      <c r="M192" s="51">
        <f>VLOOKUP($A192,'Data Vlaue (Cr)'!$C:$FB,63)</f>
        <v>78</v>
      </c>
      <c r="N192" s="51">
        <f>VLOOKUP($A192,'Data Vlaue (Cr)'!$C:$FB,64)</f>
        <v>38</v>
      </c>
      <c r="O192" s="51">
        <f>VLOOKUP($A192,'Data Vlaue (Cr)'!$C:$FB,66)*100</f>
        <v>103.18</v>
      </c>
    </row>
    <row r="193" spans="1:15" x14ac:dyDescent="0.25">
      <c r="A193" s="101" t="str">
        <f>'Data Vlaue (Cr)'!C188</f>
        <v>TATACONSUM</v>
      </c>
      <c r="B193" s="50">
        <f>VLOOKUP($A193,'Data Vlaue (Cr)'!$C:$FB,8)</f>
        <v>1057.8</v>
      </c>
      <c r="C193" s="50">
        <f>VLOOKUP($A193,'Data Vlaue (Cr)'!$C:$FB,11)*100</f>
        <v>-1.4500000000000002</v>
      </c>
      <c r="D193" s="50">
        <f>VLOOKUP($A193,'Data Vlaue (Cr)'!$C:$FB,143)</f>
        <v>446.25</v>
      </c>
      <c r="E193" s="50">
        <f>VLOOKUP($A193,'Data Vlaue (Cr)'!$C:$FB,144)</f>
        <v>810.95</v>
      </c>
      <c r="F193" s="50">
        <f>VLOOKUP($A193,'Data Vlaue (Cr)'!$C:$FB,146)*100</f>
        <v>-44.97</v>
      </c>
      <c r="G193" s="49">
        <f>VLOOKUP($A193,'Data Vlaue (Cr)'!$C:$FB,43)</f>
        <v>134</v>
      </c>
      <c r="H193" s="49">
        <f>VLOOKUP($A193,'Data Vlaue (Cr)'!$C:$FB,44)</f>
        <v>143</v>
      </c>
      <c r="I193" s="49">
        <f>VLOOKUP($A193,'Data Vlaue (Cr)'!$C:$FB,46)*100</f>
        <v>-6.3100000000000005</v>
      </c>
      <c r="J193" s="51">
        <f>VLOOKUP($A193,'Data Vlaue (Cr)'!$C:$FB,59)</f>
        <v>160</v>
      </c>
      <c r="K193" s="51">
        <f>VLOOKUP($A193,'Data Vlaue (Cr)'!$C:$FB,60)</f>
        <v>249</v>
      </c>
      <c r="L193" s="51">
        <f>VLOOKUP($A193,'Data Vlaue (Cr)'!$C:$FB,62)*100</f>
        <v>-35.730000000000004</v>
      </c>
      <c r="M193" s="51">
        <f>VLOOKUP($A193,'Data Vlaue (Cr)'!$C:$FB,63)</f>
        <v>140</v>
      </c>
      <c r="N193" s="51">
        <f>VLOOKUP($A193,'Data Vlaue (Cr)'!$C:$FB,64)</f>
        <v>391</v>
      </c>
      <c r="O193" s="51">
        <f>VLOOKUP($A193,'Data Vlaue (Cr)'!$C:$FB,66)*100</f>
        <v>-64.099999999999994</v>
      </c>
    </row>
    <row r="194" spans="1:15" x14ac:dyDescent="0.25">
      <c r="A194" s="101" t="str">
        <f>'Data Vlaue (Cr)'!C189</f>
        <v>TATAELXSI</v>
      </c>
      <c r="B194" s="50">
        <f>VLOOKUP($A194,'Data Vlaue (Cr)'!$C:$FB,8)</f>
        <v>4330</v>
      </c>
      <c r="C194" s="50">
        <f>VLOOKUP($A194,'Data Vlaue (Cr)'!$C:$FB,11)*100</f>
        <v>-0.31</v>
      </c>
      <c r="D194" s="50">
        <f>VLOOKUP($A194,'Data Vlaue (Cr)'!$C:$FB,143)</f>
        <v>1290.72</v>
      </c>
      <c r="E194" s="50">
        <f>VLOOKUP($A194,'Data Vlaue (Cr)'!$C:$FB,144)</f>
        <v>1520.01</v>
      </c>
      <c r="F194" s="50">
        <f>VLOOKUP($A194,'Data Vlaue (Cr)'!$C:$FB,146)*100</f>
        <v>-15.079999999999998</v>
      </c>
      <c r="G194" s="49">
        <f>VLOOKUP($A194,'Data Vlaue (Cr)'!$C:$FB,43)</f>
        <v>157</v>
      </c>
      <c r="H194" s="49">
        <f>VLOOKUP($A194,'Data Vlaue (Cr)'!$C:$FB,44)</f>
        <v>186</v>
      </c>
      <c r="I194" s="49">
        <f>VLOOKUP($A194,'Data Vlaue (Cr)'!$C:$FB,46)*100</f>
        <v>-15.64</v>
      </c>
      <c r="J194" s="51">
        <f>VLOOKUP($A194,'Data Vlaue (Cr)'!$C:$FB,59)</f>
        <v>748</v>
      </c>
      <c r="K194" s="51">
        <f>VLOOKUP($A194,'Data Vlaue (Cr)'!$C:$FB,60)</f>
        <v>955</v>
      </c>
      <c r="L194" s="51">
        <f>VLOOKUP($A194,'Data Vlaue (Cr)'!$C:$FB,62)*100</f>
        <v>-21.67</v>
      </c>
      <c r="M194" s="51">
        <f>VLOOKUP($A194,'Data Vlaue (Cr)'!$C:$FB,63)</f>
        <v>228</v>
      </c>
      <c r="N194" s="51">
        <f>VLOOKUP($A194,'Data Vlaue (Cr)'!$C:$FB,64)</f>
        <v>199</v>
      </c>
      <c r="O194" s="51">
        <f>VLOOKUP($A194,'Data Vlaue (Cr)'!$C:$FB,66)*100</f>
        <v>14.829999999999998</v>
      </c>
    </row>
    <row r="195" spans="1:15" x14ac:dyDescent="0.25">
      <c r="A195" s="101" t="str">
        <f>'Data Vlaue (Cr)'!C190</f>
        <v>TATAPOWER</v>
      </c>
      <c r="B195" s="50">
        <f>VLOOKUP($A195,'Data Vlaue (Cr)'!$C:$FB,8)</f>
        <v>402.15</v>
      </c>
      <c r="C195" s="50">
        <f>VLOOKUP($A195,'Data Vlaue (Cr)'!$C:$FB,11)*100</f>
        <v>4.25</v>
      </c>
      <c r="D195" s="50">
        <f>VLOOKUP($A195,'Data Vlaue (Cr)'!$C:$FB,143)</f>
        <v>13089.23</v>
      </c>
      <c r="E195" s="50">
        <f>VLOOKUP($A195,'Data Vlaue (Cr)'!$C:$FB,144)</f>
        <v>5675.23</v>
      </c>
      <c r="F195" s="50">
        <f>VLOOKUP($A195,'Data Vlaue (Cr)'!$C:$FB,146)*100</f>
        <v>130.63999999999999</v>
      </c>
      <c r="G195" s="49">
        <f>VLOOKUP($A195,'Data Vlaue (Cr)'!$C:$FB,43)</f>
        <v>1273</v>
      </c>
      <c r="H195" s="49">
        <f>VLOOKUP($A195,'Data Vlaue (Cr)'!$C:$FB,44)</f>
        <v>693</v>
      </c>
      <c r="I195" s="49">
        <f>VLOOKUP($A195,'Data Vlaue (Cr)'!$C:$FB,46)*100</f>
        <v>83.740000000000009</v>
      </c>
      <c r="J195" s="51">
        <f>VLOOKUP($A195,'Data Vlaue (Cr)'!$C:$FB,59)</f>
        <v>8509</v>
      </c>
      <c r="K195" s="51">
        <f>VLOOKUP($A195,'Data Vlaue (Cr)'!$C:$FB,60)</f>
        <v>3802</v>
      </c>
      <c r="L195" s="51">
        <f>VLOOKUP($A195,'Data Vlaue (Cr)'!$C:$FB,62)*100</f>
        <v>123.83999999999999</v>
      </c>
      <c r="M195" s="51">
        <f>VLOOKUP($A195,'Data Vlaue (Cr)'!$C:$FB,63)</f>
        <v>3109</v>
      </c>
      <c r="N195" s="51">
        <f>VLOOKUP($A195,'Data Vlaue (Cr)'!$C:$FB,64)</f>
        <v>1232</v>
      </c>
      <c r="O195" s="51">
        <f>VLOOKUP($A195,'Data Vlaue (Cr)'!$C:$FB,66)*100</f>
        <v>152.28</v>
      </c>
    </row>
    <row r="196" spans="1:15" x14ac:dyDescent="0.25">
      <c r="A196" s="101" t="str">
        <f>'Data Vlaue (Cr)'!C191</f>
        <v>TATASTEEL</v>
      </c>
      <c r="B196" s="50">
        <f>VLOOKUP($A196,'Data Vlaue (Cr)'!$C:$FB,8)</f>
        <v>193.47</v>
      </c>
      <c r="C196" s="50">
        <f>VLOOKUP($A196,'Data Vlaue (Cr)'!$C:$FB,11)*100</f>
        <v>-0.65</v>
      </c>
      <c r="D196" s="50">
        <f>VLOOKUP($A196,'Data Vlaue (Cr)'!$C:$FB,143)</f>
        <v>3560.97</v>
      </c>
      <c r="E196" s="50">
        <f>VLOOKUP($A196,'Data Vlaue (Cr)'!$C:$FB,144)</f>
        <v>5000.95</v>
      </c>
      <c r="F196" s="50">
        <f>VLOOKUP($A196,'Data Vlaue (Cr)'!$C:$FB,146)*100</f>
        <v>-28.79</v>
      </c>
      <c r="G196" s="49">
        <f>VLOOKUP($A196,'Data Vlaue (Cr)'!$C:$FB,43)</f>
        <v>721</v>
      </c>
      <c r="H196" s="49">
        <f>VLOOKUP($A196,'Data Vlaue (Cr)'!$C:$FB,44)</f>
        <v>952</v>
      </c>
      <c r="I196" s="49">
        <f>VLOOKUP($A196,'Data Vlaue (Cr)'!$C:$FB,46)*100</f>
        <v>-24.34</v>
      </c>
      <c r="J196" s="51">
        <f>VLOOKUP($A196,'Data Vlaue (Cr)'!$C:$FB,59)</f>
        <v>1761</v>
      </c>
      <c r="K196" s="51">
        <f>VLOOKUP($A196,'Data Vlaue (Cr)'!$C:$FB,60)</f>
        <v>2510</v>
      </c>
      <c r="L196" s="51">
        <f>VLOOKUP($A196,'Data Vlaue (Cr)'!$C:$FB,62)*100</f>
        <v>-29.86</v>
      </c>
      <c r="M196" s="51">
        <f>VLOOKUP($A196,'Data Vlaue (Cr)'!$C:$FB,63)</f>
        <v>976</v>
      </c>
      <c r="N196" s="51">
        <f>VLOOKUP($A196,'Data Vlaue (Cr)'!$C:$FB,64)</f>
        <v>1336</v>
      </c>
      <c r="O196" s="51">
        <f>VLOOKUP($A196,'Data Vlaue (Cr)'!$C:$FB,66)*100</f>
        <v>-26.91</v>
      </c>
    </row>
    <row r="197" spans="1:15" x14ac:dyDescent="0.25">
      <c r="A197" s="101" t="str">
        <f>'Data Vlaue (Cr)'!C192</f>
        <v>TATATECH</v>
      </c>
      <c r="B197" s="50">
        <f>VLOOKUP($A197,'Data Vlaue (Cr)'!$C:$FB,8)</f>
        <v>551.85</v>
      </c>
      <c r="C197" s="50">
        <f>VLOOKUP($A197,'Data Vlaue (Cr)'!$C:$FB,11)*100</f>
        <v>-0.91</v>
      </c>
      <c r="D197" s="50">
        <f>VLOOKUP($A197,'Data Vlaue (Cr)'!$C:$FB,143)</f>
        <v>232.4</v>
      </c>
      <c r="E197" s="50">
        <f>VLOOKUP($A197,'Data Vlaue (Cr)'!$C:$FB,144)</f>
        <v>155.5</v>
      </c>
      <c r="F197" s="50">
        <f>VLOOKUP($A197,'Data Vlaue (Cr)'!$C:$FB,146)*100</f>
        <v>49.46</v>
      </c>
      <c r="G197" s="49">
        <f>VLOOKUP($A197,'Data Vlaue (Cr)'!$C:$FB,43)</f>
        <v>59</v>
      </c>
      <c r="H197" s="49">
        <f>VLOOKUP($A197,'Data Vlaue (Cr)'!$C:$FB,44)</f>
        <v>56</v>
      </c>
      <c r="I197" s="49">
        <f>VLOOKUP($A197,'Data Vlaue (Cr)'!$C:$FB,46)*100</f>
        <v>5.84</v>
      </c>
      <c r="J197" s="51">
        <f>VLOOKUP($A197,'Data Vlaue (Cr)'!$C:$FB,59)</f>
        <v>122</v>
      </c>
      <c r="K197" s="51">
        <f>VLOOKUP($A197,'Data Vlaue (Cr)'!$C:$FB,60)</f>
        <v>66</v>
      </c>
      <c r="L197" s="51">
        <f>VLOOKUP($A197,'Data Vlaue (Cr)'!$C:$FB,62)*100</f>
        <v>85.63</v>
      </c>
      <c r="M197" s="51">
        <f>VLOOKUP($A197,'Data Vlaue (Cr)'!$C:$FB,63)</f>
        <v>39</v>
      </c>
      <c r="N197" s="51">
        <f>VLOOKUP($A197,'Data Vlaue (Cr)'!$C:$FB,64)</f>
        <v>26</v>
      </c>
      <c r="O197" s="51">
        <f>VLOOKUP($A197,'Data Vlaue (Cr)'!$C:$FB,66)*100</f>
        <v>53.449999999999996</v>
      </c>
    </row>
    <row r="198" spans="1:15" x14ac:dyDescent="0.25">
      <c r="A198" s="101" t="str">
        <f>'Data Vlaue (Cr)'!C193</f>
        <v>TCS</v>
      </c>
      <c r="B198" s="50">
        <f>VLOOKUP($A198,'Data Vlaue (Cr)'!$C:$FB,8)</f>
        <v>2442.4</v>
      </c>
      <c r="C198" s="50">
        <f>VLOOKUP($A198,'Data Vlaue (Cr)'!$C:$FB,11)*100</f>
        <v>-0.91</v>
      </c>
      <c r="D198" s="50">
        <f>VLOOKUP($A198,'Data Vlaue (Cr)'!$C:$FB,143)</f>
        <v>6056.05</v>
      </c>
      <c r="E198" s="50">
        <f>VLOOKUP($A198,'Data Vlaue (Cr)'!$C:$FB,144)</f>
        <v>6261.56</v>
      </c>
      <c r="F198" s="50">
        <f>VLOOKUP($A198,'Data Vlaue (Cr)'!$C:$FB,146)*100</f>
        <v>-3.2800000000000002</v>
      </c>
      <c r="G198" s="49">
        <f>VLOOKUP($A198,'Data Vlaue (Cr)'!$C:$FB,43)</f>
        <v>790</v>
      </c>
      <c r="H198" s="49">
        <f>VLOOKUP($A198,'Data Vlaue (Cr)'!$C:$FB,44)</f>
        <v>1185</v>
      </c>
      <c r="I198" s="49">
        <f>VLOOKUP($A198,'Data Vlaue (Cr)'!$C:$FB,46)*100</f>
        <v>-33.33</v>
      </c>
      <c r="J198" s="51">
        <f>VLOOKUP($A198,'Data Vlaue (Cr)'!$C:$FB,59)</f>
        <v>3231</v>
      </c>
      <c r="K198" s="51">
        <f>VLOOKUP($A198,'Data Vlaue (Cr)'!$C:$FB,60)</f>
        <v>3016</v>
      </c>
      <c r="L198" s="51">
        <f>VLOOKUP($A198,'Data Vlaue (Cr)'!$C:$FB,62)*100</f>
        <v>7.12</v>
      </c>
      <c r="M198" s="51">
        <f>VLOOKUP($A198,'Data Vlaue (Cr)'!$C:$FB,63)</f>
        <v>1786</v>
      </c>
      <c r="N198" s="51">
        <f>VLOOKUP($A198,'Data Vlaue (Cr)'!$C:$FB,64)</f>
        <v>1741</v>
      </c>
      <c r="O198" s="51">
        <f>VLOOKUP($A198,'Data Vlaue (Cr)'!$C:$FB,66)*100</f>
        <v>2.6100000000000003</v>
      </c>
    </row>
    <row r="199" spans="1:15" x14ac:dyDescent="0.25">
      <c r="A199" s="101" t="str">
        <f>'Data Vlaue (Cr)'!C194</f>
        <v>TECHM</v>
      </c>
      <c r="B199" s="50">
        <f>VLOOKUP($A199,'Data Vlaue (Cr)'!$C:$FB,8)</f>
        <v>1349.8</v>
      </c>
      <c r="C199" s="50">
        <f>VLOOKUP($A199,'Data Vlaue (Cr)'!$C:$FB,11)*100</f>
        <v>1.1499999999999999</v>
      </c>
      <c r="D199" s="50">
        <f>VLOOKUP($A199,'Data Vlaue (Cr)'!$C:$FB,143)</f>
        <v>2493.98</v>
      </c>
      <c r="E199" s="50">
        <f>VLOOKUP($A199,'Data Vlaue (Cr)'!$C:$FB,144)</f>
        <v>1951.76</v>
      </c>
      <c r="F199" s="50">
        <f>VLOOKUP($A199,'Data Vlaue (Cr)'!$C:$FB,146)*100</f>
        <v>27.779999999999998</v>
      </c>
      <c r="G199" s="49">
        <f>VLOOKUP($A199,'Data Vlaue (Cr)'!$C:$FB,43)</f>
        <v>440</v>
      </c>
      <c r="H199" s="49">
        <f>VLOOKUP($A199,'Data Vlaue (Cr)'!$C:$FB,44)</f>
        <v>377</v>
      </c>
      <c r="I199" s="49">
        <f>VLOOKUP($A199,'Data Vlaue (Cr)'!$C:$FB,46)*100</f>
        <v>16.77</v>
      </c>
      <c r="J199" s="51">
        <f>VLOOKUP($A199,'Data Vlaue (Cr)'!$C:$FB,59)</f>
        <v>1474</v>
      </c>
      <c r="K199" s="51">
        <f>VLOOKUP($A199,'Data Vlaue (Cr)'!$C:$FB,60)</f>
        <v>1014</v>
      </c>
      <c r="L199" s="51">
        <f>VLOOKUP($A199,'Data Vlaue (Cr)'!$C:$FB,62)*100</f>
        <v>45.35</v>
      </c>
      <c r="M199" s="51">
        <f>VLOOKUP($A199,'Data Vlaue (Cr)'!$C:$FB,63)</f>
        <v>513</v>
      </c>
      <c r="N199" s="51">
        <f>VLOOKUP($A199,'Data Vlaue (Cr)'!$C:$FB,64)</f>
        <v>515</v>
      </c>
      <c r="O199" s="51">
        <f>VLOOKUP($A199,'Data Vlaue (Cr)'!$C:$FB,66)*100</f>
        <v>-0.27</v>
      </c>
    </row>
    <row r="200" spans="1:15" x14ac:dyDescent="0.25">
      <c r="A200" s="101" t="str">
        <f>'Data Vlaue (Cr)'!C195</f>
        <v>TIINDIA</v>
      </c>
      <c r="B200" s="50">
        <f>VLOOKUP($A200,'Data Vlaue (Cr)'!$C:$FB,8)</f>
        <v>2549.6999999999998</v>
      </c>
      <c r="C200" s="50">
        <f>VLOOKUP($A200,'Data Vlaue (Cr)'!$C:$FB,11)*100</f>
        <v>-0.64</v>
      </c>
      <c r="D200" s="50">
        <f>VLOOKUP($A200,'Data Vlaue (Cr)'!$C:$FB,143)</f>
        <v>295.77</v>
      </c>
      <c r="E200" s="50">
        <f>VLOOKUP($A200,'Data Vlaue (Cr)'!$C:$FB,144)</f>
        <v>375.73</v>
      </c>
      <c r="F200" s="50">
        <f>VLOOKUP($A200,'Data Vlaue (Cr)'!$C:$FB,146)*100</f>
        <v>-21.279999999999998</v>
      </c>
      <c r="G200" s="49">
        <f>VLOOKUP($A200,'Data Vlaue (Cr)'!$C:$FB,43)</f>
        <v>107</v>
      </c>
      <c r="H200" s="49">
        <f>VLOOKUP($A200,'Data Vlaue (Cr)'!$C:$FB,44)</f>
        <v>101</v>
      </c>
      <c r="I200" s="49">
        <f>VLOOKUP($A200,'Data Vlaue (Cr)'!$C:$FB,46)*100</f>
        <v>5.8500000000000005</v>
      </c>
      <c r="J200" s="51">
        <f>VLOOKUP($A200,'Data Vlaue (Cr)'!$C:$FB,59)</f>
        <v>78</v>
      </c>
      <c r="K200" s="51">
        <f>VLOOKUP($A200,'Data Vlaue (Cr)'!$C:$FB,60)</f>
        <v>170</v>
      </c>
      <c r="L200" s="51">
        <f>VLOOKUP($A200,'Data Vlaue (Cr)'!$C:$FB,62)*100</f>
        <v>-54.279999999999994</v>
      </c>
      <c r="M200" s="51">
        <f>VLOOKUP($A200,'Data Vlaue (Cr)'!$C:$FB,63)</f>
        <v>104</v>
      </c>
      <c r="N200" s="51">
        <f>VLOOKUP($A200,'Data Vlaue (Cr)'!$C:$FB,64)</f>
        <v>82</v>
      </c>
      <c r="O200" s="51">
        <f>VLOOKUP($A200,'Data Vlaue (Cr)'!$C:$FB,66)*100</f>
        <v>27.35</v>
      </c>
    </row>
    <row r="201" spans="1:15" x14ac:dyDescent="0.25">
      <c r="A201" s="101" t="str">
        <f>'Data Vlaue (Cr)'!C196</f>
        <v>TITAN</v>
      </c>
      <c r="B201" s="50">
        <f>VLOOKUP($A201,'Data Vlaue (Cr)'!$C:$FB,8)</f>
        <v>4129.6000000000004</v>
      </c>
      <c r="C201" s="50">
        <f>VLOOKUP($A201,'Data Vlaue (Cr)'!$C:$FB,11)*100</f>
        <v>-0.26</v>
      </c>
      <c r="D201" s="50">
        <f>VLOOKUP($A201,'Data Vlaue (Cr)'!$C:$FB,143)</f>
        <v>3225.87</v>
      </c>
      <c r="E201" s="50">
        <f>VLOOKUP($A201,'Data Vlaue (Cr)'!$C:$FB,144)</f>
        <v>1656.31</v>
      </c>
      <c r="F201" s="50">
        <f>VLOOKUP($A201,'Data Vlaue (Cr)'!$C:$FB,146)*100</f>
        <v>94.76</v>
      </c>
      <c r="G201" s="49">
        <f>VLOOKUP($A201,'Data Vlaue (Cr)'!$C:$FB,43)</f>
        <v>514</v>
      </c>
      <c r="H201" s="49">
        <f>VLOOKUP($A201,'Data Vlaue (Cr)'!$C:$FB,44)</f>
        <v>301</v>
      </c>
      <c r="I201" s="49">
        <f>VLOOKUP($A201,'Data Vlaue (Cr)'!$C:$FB,46)*100</f>
        <v>71.069999999999993</v>
      </c>
      <c r="J201" s="51">
        <f>VLOOKUP($A201,'Data Vlaue (Cr)'!$C:$FB,59)</f>
        <v>1626</v>
      </c>
      <c r="K201" s="51">
        <f>VLOOKUP($A201,'Data Vlaue (Cr)'!$C:$FB,60)</f>
        <v>683</v>
      </c>
      <c r="L201" s="51">
        <f>VLOOKUP($A201,'Data Vlaue (Cr)'!$C:$FB,62)*100</f>
        <v>138.04000000000002</v>
      </c>
      <c r="M201" s="51">
        <f>VLOOKUP($A201,'Data Vlaue (Cr)'!$C:$FB,63)</f>
        <v>1031</v>
      </c>
      <c r="N201" s="51">
        <f>VLOOKUP($A201,'Data Vlaue (Cr)'!$C:$FB,64)</f>
        <v>633</v>
      </c>
      <c r="O201" s="51">
        <f>VLOOKUP($A201,'Data Vlaue (Cr)'!$C:$FB,66)*100</f>
        <v>62.73</v>
      </c>
    </row>
    <row r="202" spans="1:15" x14ac:dyDescent="0.25">
      <c r="A202" s="101" t="str">
        <f>'Data Vlaue (Cr)'!C197</f>
        <v>TMPV</v>
      </c>
      <c r="B202" s="50">
        <f>VLOOKUP($A202,'Data Vlaue (Cr)'!$C:$FB,8)</f>
        <v>324.55</v>
      </c>
      <c r="C202" s="50">
        <f>VLOOKUP($A202,'Data Vlaue (Cr)'!$C:$FB,11)*100</f>
        <v>-3.2199999999999998</v>
      </c>
      <c r="D202" s="50">
        <f>VLOOKUP($A202,'Data Vlaue (Cr)'!$C:$FB,143)</f>
        <v>2869.42</v>
      </c>
      <c r="E202" s="50">
        <f>VLOOKUP($A202,'Data Vlaue (Cr)'!$C:$FB,144)</f>
        <v>1896.15</v>
      </c>
      <c r="F202" s="50">
        <f>VLOOKUP($A202,'Data Vlaue (Cr)'!$C:$FB,146)*100</f>
        <v>51.33</v>
      </c>
      <c r="G202" s="49">
        <f>VLOOKUP($A202,'Data Vlaue (Cr)'!$C:$FB,43)</f>
        <v>473</v>
      </c>
      <c r="H202" s="49">
        <f>VLOOKUP($A202,'Data Vlaue (Cr)'!$C:$FB,44)</f>
        <v>276</v>
      </c>
      <c r="I202" s="49">
        <f>VLOOKUP($A202,'Data Vlaue (Cr)'!$C:$FB,46)*100</f>
        <v>71.11</v>
      </c>
      <c r="J202" s="51">
        <f>VLOOKUP($A202,'Data Vlaue (Cr)'!$C:$FB,59)</f>
        <v>1328</v>
      </c>
      <c r="K202" s="51">
        <f>VLOOKUP($A202,'Data Vlaue (Cr)'!$C:$FB,60)</f>
        <v>917</v>
      </c>
      <c r="L202" s="51">
        <f>VLOOKUP($A202,'Data Vlaue (Cr)'!$C:$FB,62)*100</f>
        <v>44.81</v>
      </c>
      <c r="M202" s="51">
        <f>VLOOKUP($A202,'Data Vlaue (Cr)'!$C:$FB,63)</f>
        <v>927</v>
      </c>
      <c r="N202" s="51">
        <f>VLOOKUP($A202,'Data Vlaue (Cr)'!$C:$FB,64)</f>
        <v>539</v>
      </c>
      <c r="O202" s="51">
        <f>VLOOKUP($A202,'Data Vlaue (Cr)'!$C:$FB,66)*100</f>
        <v>71.98</v>
      </c>
    </row>
    <row r="203" spans="1:15" x14ac:dyDescent="0.25">
      <c r="A203" s="101" t="str">
        <f>'Data Vlaue (Cr)'!C198</f>
        <v>TORNTPHARM</v>
      </c>
      <c r="B203" s="50">
        <f>VLOOKUP($A203,'Data Vlaue (Cr)'!$C:$FB,8)</f>
        <v>4446</v>
      </c>
      <c r="C203" s="50">
        <f>VLOOKUP($A203,'Data Vlaue (Cr)'!$C:$FB,11)*100</f>
        <v>0.33</v>
      </c>
      <c r="D203" s="50">
        <f>VLOOKUP($A203,'Data Vlaue (Cr)'!$C:$FB,143)</f>
        <v>723.22</v>
      </c>
      <c r="E203" s="50">
        <f>VLOOKUP($A203,'Data Vlaue (Cr)'!$C:$FB,144)</f>
        <v>708.96</v>
      </c>
      <c r="F203" s="50">
        <f>VLOOKUP($A203,'Data Vlaue (Cr)'!$C:$FB,146)*100</f>
        <v>2.0099999999999998</v>
      </c>
      <c r="G203" s="49">
        <f>VLOOKUP($A203,'Data Vlaue (Cr)'!$C:$FB,43)</f>
        <v>168</v>
      </c>
      <c r="H203" s="49">
        <f>VLOOKUP($A203,'Data Vlaue (Cr)'!$C:$FB,44)</f>
        <v>192</v>
      </c>
      <c r="I203" s="49">
        <f>VLOOKUP($A203,'Data Vlaue (Cr)'!$C:$FB,46)*100</f>
        <v>-12.34</v>
      </c>
      <c r="J203" s="51">
        <f>VLOOKUP($A203,'Data Vlaue (Cr)'!$C:$FB,59)</f>
        <v>396</v>
      </c>
      <c r="K203" s="51">
        <f>VLOOKUP($A203,'Data Vlaue (Cr)'!$C:$FB,60)</f>
        <v>368</v>
      </c>
      <c r="L203" s="51">
        <f>VLOOKUP($A203,'Data Vlaue (Cr)'!$C:$FB,62)*100</f>
        <v>7.6</v>
      </c>
      <c r="M203" s="51">
        <f>VLOOKUP($A203,'Data Vlaue (Cr)'!$C:$FB,63)</f>
        <v>147</v>
      </c>
      <c r="N203" s="51">
        <f>VLOOKUP($A203,'Data Vlaue (Cr)'!$C:$FB,64)</f>
        <v>140</v>
      </c>
      <c r="O203" s="51">
        <f>VLOOKUP($A203,'Data Vlaue (Cr)'!$C:$FB,66)*100</f>
        <v>5.0999999999999996</v>
      </c>
    </row>
    <row r="204" spans="1:15" x14ac:dyDescent="0.25">
      <c r="A204" s="101" t="str">
        <f>'Data Vlaue (Cr)'!C199</f>
        <v>TORNTPOWER</v>
      </c>
      <c r="B204" s="50">
        <f>VLOOKUP($A204,'Data Vlaue (Cr)'!$C:$FB,8)</f>
        <v>1506</v>
      </c>
      <c r="C204" s="50">
        <f>VLOOKUP($A204,'Data Vlaue (Cr)'!$C:$FB,11)*100</f>
        <v>4.66</v>
      </c>
      <c r="D204" s="50">
        <f>VLOOKUP($A204,'Data Vlaue (Cr)'!$C:$FB,143)</f>
        <v>1667</v>
      </c>
      <c r="E204" s="50">
        <f>VLOOKUP($A204,'Data Vlaue (Cr)'!$C:$FB,144)</f>
        <v>283.04000000000002</v>
      </c>
      <c r="F204" s="50">
        <f>VLOOKUP($A204,'Data Vlaue (Cr)'!$C:$FB,146)*100</f>
        <v>488.97</v>
      </c>
      <c r="G204" s="49">
        <f>VLOOKUP($A204,'Data Vlaue (Cr)'!$C:$FB,43)</f>
        <v>196</v>
      </c>
      <c r="H204" s="49">
        <f>VLOOKUP($A204,'Data Vlaue (Cr)'!$C:$FB,44)</f>
        <v>92</v>
      </c>
      <c r="I204" s="49">
        <f>VLOOKUP($A204,'Data Vlaue (Cr)'!$C:$FB,46)*100</f>
        <v>112.92</v>
      </c>
      <c r="J204" s="51">
        <f>VLOOKUP($A204,'Data Vlaue (Cr)'!$C:$FB,59)</f>
        <v>1149</v>
      </c>
      <c r="K204" s="51">
        <f>VLOOKUP($A204,'Data Vlaue (Cr)'!$C:$FB,60)</f>
        <v>149</v>
      </c>
      <c r="L204" s="51">
        <f>VLOOKUP($A204,'Data Vlaue (Cr)'!$C:$FB,62)*100</f>
        <v>673.59</v>
      </c>
      <c r="M204" s="51">
        <f>VLOOKUP($A204,'Data Vlaue (Cr)'!$C:$FB,63)</f>
        <v>268</v>
      </c>
      <c r="N204" s="51">
        <f>VLOOKUP($A204,'Data Vlaue (Cr)'!$C:$FB,64)</f>
        <v>39</v>
      </c>
      <c r="O204" s="51">
        <f>VLOOKUP($A204,'Data Vlaue (Cr)'!$C:$FB,66)*100</f>
        <v>578.92999999999995</v>
      </c>
    </row>
    <row r="205" spans="1:15" x14ac:dyDescent="0.25">
      <c r="A205" s="101" t="str">
        <f>'Data Vlaue (Cr)'!C200</f>
        <v>TRENT</v>
      </c>
      <c r="B205" s="50">
        <f>VLOOKUP($A205,'Data Vlaue (Cr)'!$C:$FB,8)</f>
        <v>3533.6</v>
      </c>
      <c r="C205" s="50">
        <f>VLOOKUP($A205,'Data Vlaue (Cr)'!$C:$FB,11)*100</f>
        <v>-2.59</v>
      </c>
      <c r="D205" s="50">
        <f>VLOOKUP($A205,'Data Vlaue (Cr)'!$C:$FB,143)</f>
        <v>2362.2800000000002</v>
      </c>
      <c r="E205" s="50">
        <f>VLOOKUP($A205,'Data Vlaue (Cr)'!$C:$FB,144)</f>
        <v>1536.42</v>
      </c>
      <c r="F205" s="50">
        <f>VLOOKUP($A205,'Data Vlaue (Cr)'!$C:$FB,146)*100</f>
        <v>53.75</v>
      </c>
      <c r="G205" s="49">
        <f>VLOOKUP($A205,'Data Vlaue (Cr)'!$C:$FB,43)</f>
        <v>281</v>
      </c>
      <c r="H205" s="49">
        <f>VLOOKUP($A205,'Data Vlaue (Cr)'!$C:$FB,44)</f>
        <v>229</v>
      </c>
      <c r="I205" s="49">
        <f>VLOOKUP($A205,'Data Vlaue (Cr)'!$C:$FB,46)*100</f>
        <v>22.759999999999998</v>
      </c>
      <c r="J205" s="51">
        <f>VLOOKUP($A205,'Data Vlaue (Cr)'!$C:$FB,59)</f>
        <v>1244</v>
      </c>
      <c r="K205" s="51">
        <f>VLOOKUP($A205,'Data Vlaue (Cr)'!$C:$FB,60)</f>
        <v>789</v>
      </c>
      <c r="L205" s="51">
        <f>VLOOKUP($A205,'Data Vlaue (Cr)'!$C:$FB,62)*100</f>
        <v>57.550000000000004</v>
      </c>
      <c r="M205" s="51">
        <f>VLOOKUP($A205,'Data Vlaue (Cr)'!$C:$FB,63)</f>
        <v>720</v>
      </c>
      <c r="N205" s="51">
        <f>VLOOKUP($A205,'Data Vlaue (Cr)'!$C:$FB,64)</f>
        <v>402</v>
      </c>
      <c r="O205" s="51">
        <f>VLOOKUP($A205,'Data Vlaue (Cr)'!$C:$FB,66)*100</f>
        <v>78.959999999999994</v>
      </c>
    </row>
    <row r="206" spans="1:15" x14ac:dyDescent="0.25">
      <c r="A206" s="101" t="str">
        <f>'Data Vlaue (Cr)'!C201</f>
        <v>TVSMOTOR</v>
      </c>
      <c r="B206" s="50">
        <f>VLOOKUP($A206,'Data Vlaue (Cr)'!$C:$FB,8)</f>
        <v>3422.6</v>
      </c>
      <c r="C206" s="50">
        <f>VLOOKUP($A206,'Data Vlaue (Cr)'!$C:$FB,11)*100</f>
        <v>-4.95</v>
      </c>
      <c r="D206" s="50">
        <f>VLOOKUP($A206,'Data Vlaue (Cr)'!$C:$FB,143)</f>
        <v>3879.6</v>
      </c>
      <c r="E206" s="50">
        <f>VLOOKUP($A206,'Data Vlaue (Cr)'!$C:$FB,144)</f>
        <v>3524.2</v>
      </c>
      <c r="F206" s="50">
        <f>VLOOKUP($A206,'Data Vlaue (Cr)'!$C:$FB,146)*100</f>
        <v>10.08</v>
      </c>
      <c r="G206" s="49">
        <f>VLOOKUP($A206,'Data Vlaue (Cr)'!$C:$FB,43)</f>
        <v>750</v>
      </c>
      <c r="H206" s="49">
        <f>VLOOKUP($A206,'Data Vlaue (Cr)'!$C:$FB,44)</f>
        <v>532</v>
      </c>
      <c r="I206" s="49">
        <f>VLOOKUP($A206,'Data Vlaue (Cr)'!$C:$FB,46)*100</f>
        <v>40.9</v>
      </c>
      <c r="J206" s="51">
        <f>VLOOKUP($A206,'Data Vlaue (Cr)'!$C:$FB,59)</f>
        <v>1513</v>
      </c>
      <c r="K206" s="51">
        <f>VLOOKUP($A206,'Data Vlaue (Cr)'!$C:$FB,60)</f>
        <v>1325</v>
      </c>
      <c r="L206" s="51">
        <f>VLOOKUP($A206,'Data Vlaue (Cr)'!$C:$FB,62)*100</f>
        <v>14.14</v>
      </c>
      <c r="M206" s="51">
        <f>VLOOKUP($A206,'Data Vlaue (Cr)'!$C:$FB,63)</f>
        <v>1418</v>
      </c>
      <c r="N206" s="51">
        <f>VLOOKUP($A206,'Data Vlaue (Cr)'!$C:$FB,64)</f>
        <v>1356</v>
      </c>
      <c r="O206" s="51">
        <f>VLOOKUP($A206,'Data Vlaue (Cr)'!$C:$FB,66)*100</f>
        <v>4.54</v>
      </c>
    </row>
    <row r="207" spans="1:15" x14ac:dyDescent="0.25">
      <c r="A207" s="101" t="str">
        <f>'Data Vlaue (Cr)'!C202</f>
        <v>ULTRACEMCO</v>
      </c>
      <c r="B207" s="50">
        <f>VLOOKUP($A207,'Data Vlaue (Cr)'!$C:$FB,8)</f>
        <v>11089</v>
      </c>
      <c r="C207" s="50">
        <f>VLOOKUP($A207,'Data Vlaue (Cr)'!$C:$FB,11)*100</f>
        <v>-3.25</v>
      </c>
      <c r="D207" s="50">
        <f>VLOOKUP($A207,'Data Vlaue (Cr)'!$C:$FB,143)</f>
        <v>1957.72</v>
      </c>
      <c r="E207" s="50">
        <f>VLOOKUP($A207,'Data Vlaue (Cr)'!$C:$FB,144)</f>
        <v>1307.95</v>
      </c>
      <c r="F207" s="50">
        <f>VLOOKUP($A207,'Data Vlaue (Cr)'!$C:$FB,146)*100</f>
        <v>49.68</v>
      </c>
      <c r="G207" s="49">
        <f>VLOOKUP($A207,'Data Vlaue (Cr)'!$C:$FB,43)</f>
        <v>394</v>
      </c>
      <c r="H207" s="49">
        <f>VLOOKUP($A207,'Data Vlaue (Cr)'!$C:$FB,44)</f>
        <v>210</v>
      </c>
      <c r="I207" s="49">
        <f>VLOOKUP($A207,'Data Vlaue (Cr)'!$C:$FB,46)*100</f>
        <v>88.02</v>
      </c>
      <c r="J207" s="51">
        <f>VLOOKUP($A207,'Data Vlaue (Cr)'!$C:$FB,59)</f>
        <v>1018</v>
      </c>
      <c r="K207" s="51">
        <f>VLOOKUP($A207,'Data Vlaue (Cr)'!$C:$FB,60)</f>
        <v>685</v>
      </c>
      <c r="L207" s="51">
        <f>VLOOKUP($A207,'Data Vlaue (Cr)'!$C:$FB,62)*100</f>
        <v>48.71</v>
      </c>
      <c r="M207" s="51">
        <f>VLOOKUP($A207,'Data Vlaue (Cr)'!$C:$FB,63)</f>
        <v>426</v>
      </c>
      <c r="N207" s="51">
        <f>VLOOKUP($A207,'Data Vlaue (Cr)'!$C:$FB,64)</f>
        <v>301</v>
      </c>
      <c r="O207" s="51">
        <f>VLOOKUP($A207,'Data Vlaue (Cr)'!$C:$FB,66)*100</f>
        <v>41.339999999999996</v>
      </c>
    </row>
    <row r="208" spans="1:15" x14ac:dyDescent="0.25">
      <c r="A208" s="101" t="str">
        <f>'Data Vlaue (Cr)'!C203</f>
        <v>UNIONBANK</v>
      </c>
      <c r="B208" s="50">
        <f>VLOOKUP($A208,'Data Vlaue (Cr)'!$C:$FB,8)</f>
        <v>182.1</v>
      </c>
      <c r="C208" s="50">
        <f>VLOOKUP($A208,'Data Vlaue (Cr)'!$C:$FB,11)*100</f>
        <v>0.65</v>
      </c>
      <c r="D208" s="50">
        <f>VLOOKUP($A208,'Data Vlaue (Cr)'!$C:$FB,143)</f>
        <v>1517.98</v>
      </c>
      <c r="E208" s="50">
        <f>VLOOKUP($A208,'Data Vlaue (Cr)'!$C:$FB,144)</f>
        <v>1252.8399999999999</v>
      </c>
      <c r="F208" s="50">
        <f>VLOOKUP($A208,'Data Vlaue (Cr)'!$C:$FB,146)*100</f>
        <v>21.16</v>
      </c>
      <c r="G208" s="49">
        <f>VLOOKUP($A208,'Data Vlaue (Cr)'!$C:$FB,43)</f>
        <v>446</v>
      </c>
      <c r="H208" s="49">
        <f>VLOOKUP($A208,'Data Vlaue (Cr)'!$C:$FB,44)</f>
        <v>368</v>
      </c>
      <c r="I208" s="49">
        <f>VLOOKUP($A208,'Data Vlaue (Cr)'!$C:$FB,46)*100</f>
        <v>21.33</v>
      </c>
      <c r="J208" s="51">
        <f>VLOOKUP($A208,'Data Vlaue (Cr)'!$C:$FB,59)</f>
        <v>739</v>
      </c>
      <c r="K208" s="51">
        <f>VLOOKUP($A208,'Data Vlaue (Cr)'!$C:$FB,60)</f>
        <v>593</v>
      </c>
      <c r="L208" s="51">
        <f>VLOOKUP($A208,'Data Vlaue (Cr)'!$C:$FB,62)*100</f>
        <v>24.63</v>
      </c>
      <c r="M208" s="51">
        <f>VLOOKUP($A208,'Data Vlaue (Cr)'!$C:$FB,63)</f>
        <v>302</v>
      </c>
      <c r="N208" s="51">
        <f>VLOOKUP($A208,'Data Vlaue (Cr)'!$C:$FB,64)</f>
        <v>245</v>
      </c>
      <c r="O208" s="51">
        <f>VLOOKUP($A208,'Data Vlaue (Cr)'!$C:$FB,66)*100</f>
        <v>22.86</v>
      </c>
    </row>
    <row r="209" spans="1:15" x14ac:dyDescent="0.25">
      <c r="A209" s="101" t="str">
        <f>'Data Vlaue (Cr)'!C204</f>
        <v>UNITDSPR</v>
      </c>
      <c r="B209" s="50">
        <f>VLOOKUP($A209,'Data Vlaue (Cr)'!$C:$FB,8)</f>
        <v>1363.5</v>
      </c>
      <c r="C209" s="50">
        <f>VLOOKUP($A209,'Data Vlaue (Cr)'!$C:$FB,11)*100</f>
        <v>-1.35</v>
      </c>
      <c r="D209" s="50">
        <f>VLOOKUP($A209,'Data Vlaue (Cr)'!$C:$FB,143)</f>
        <v>801.4</v>
      </c>
      <c r="E209" s="50">
        <f>VLOOKUP($A209,'Data Vlaue (Cr)'!$C:$FB,144)</f>
        <v>697.46</v>
      </c>
      <c r="F209" s="50">
        <f>VLOOKUP($A209,'Data Vlaue (Cr)'!$C:$FB,146)*100</f>
        <v>14.899999999999999</v>
      </c>
      <c r="G209" s="49">
        <f>VLOOKUP($A209,'Data Vlaue (Cr)'!$C:$FB,43)</f>
        <v>214</v>
      </c>
      <c r="H209" s="49">
        <f>VLOOKUP($A209,'Data Vlaue (Cr)'!$C:$FB,44)</f>
        <v>134</v>
      </c>
      <c r="I209" s="49">
        <f>VLOOKUP($A209,'Data Vlaue (Cr)'!$C:$FB,46)*100</f>
        <v>59.97</v>
      </c>
      <c r="J209" s="51">
        <f>VLOOKUP($A209,'Data Vlaue (Cr)'!$C:$FB,59)</f>
        <v>350</v>
      </c>
      <c r="K209" s="51">
        <f>VLOOKUP($A209,'Data Vlaue (Cr)'!$C:$FB,60)</f>
        <v>311</v>
      </c>
      <c r="L209" s="51">
        <f>VLOOKUP($A209,'Data Vlaue (Cr)'!$C:$FB,62)*100</f>
        <v>12.770000000000001</v>
      </c>
      <c r="M209" s="51">
        <f>VLOOKUP($A209,'Data Vlaue (Cr)'!$C:$FB,63)</f>
        <v>218</v>
      </c>
      <c r="N209" s="51">
        <f>VLOOKUP($A209,'Data Vlaue (Cr)'!$C:$FB,64)</f>
        <v>224</v>
      </c>
      <c r="O209" s="51">
        <f>VLOOKUP($A209,'Data Vlaue (Cr)'!$C:$FB,66)*100</f>
        <v>-2.92</v>
      </c>
    </row>
    <row r="210" spans="1:15" x14ac:dyDescent="0.25">
      <c r="A210" s="101" t="str">
        <f>'Data Vlaue (Cr)'!C205</f>
        <v>UNOMINDA</v>
      </c>
      <c r="B210" s="50">
        <f>VLOOKUP($A210,'Data Vlaue (Cr)'!$C:$FB,8)</f>
        <v>1068.5</v>
      </c>
      <c r="C210" s="50">
        <f>VLOOKUP($A210,'Data Vlaue (Cr)'!$C:$FB,11)*100</f>
        <v>-1.22</v>
      </c>
      <c r="D210" s="50">
        <f>VLOOKUP($A210,'Data Vlaue (Cr)'!$C:$FB,143)</f>
        <v>458.77</v>
      </c>
      <c r="E210" s="50">
        <f>VLOOKUP($A210,'Data Vlaue (Cr)'!$C:$FB,144)</f>
        <v>353.57</v>
      </c>
      <c r="F210" s="50">
        <f>VLOOKUP($A210,'Data Vlaue (Cr)'!$C:$FB,146)*100</f>
        <v>29.75</v>
      </c>
      <c r="G210" s="49">
        <f>VLOOKUP($A210,'Data Vlaue (Cr)'!$C:$FB,43)</f>
        <v>112</v>
      </c>
      <c r="H210" s="49">
        <f>VLOOKUP($A210,'Data Vlaue (Cr)'!$C:$FB,44)</f>
        <v>108</v>
      </c>
      <c r="I210" s="49">
        <f>VLOOKUP($A210,'Data Vlaue (Cr)'!$C:$FB,46)*100</f>
        <v>3.25</v>
      </c>
      <c r="J210" s="51">
        <f>VLOOKUP($A210,'Data Vlaue (Cr)'!$C:$FB,59)</f>
        <v>191</v>
      </c>
      <c r="K210" s="51">
        <f>VLOOKUP($A210,'Data Vlaue (Cr)'!$C:$FB,60)</f>
        <v>134</v>
      </c>
      <c r="L210" s="51">
        <f>VLOOKUP($A210,'Data Vlaue (Cr)'!$C:$FB,62)*100</f>
        <v>43.269999999999996</v>
      </c>
      <c r="M210" s="51">
        <f>VLOOKUP($A210,'Data Vlaue (Cr)'!$C:$FB,63)</f>
        <v>141</v>
      </c>
      <c r="N210" s="51">
        <f>VLOOKUP($A210,'Data Vlaue (Cr)'!$C:$FB,64)</f>
        <v>92</v>
      </c>
      <c r="O210" s="51">
        <f>VLOOKUP($A210,'Data Vlaue (Cr)'!$C:$FB,66)*100</f>
        <v>53.059999999999995</v>
      </c>
    </row>
    <row r="211" spans="1:15" x14ac:dyDescent="0.25">
      <c r="A211" s="101" t="str">
        <f>'Data Vlaue (Cr)'!C206</f>
        <v>UPL</v>
      </c>
      <c r="B211" s="50">
        <f>VLOOKUP($A211,'Data Vlaue (Cr)'!$C:$FB,8)</f>
        <v>629.04999999999995</v>
      </c>
      <c r="C211" s="50">
        <f>VLOOKUP($A211,'Data Vlaue (Cr)'!$C:$FB,11)*100</f>
        <v>0.51</v>
      </c>
      <c r="D211" s="50">
        <f>VLOOKUP($A211,'Data Vlaue (Cr)'!$C:$FB,143)</f>
        <v>921.66</v>
      </c>
      <c r="E211" s="50">
        <f>VLOOKUP($A211,'Data Vlaue (Cr)'!$C:$FB,144)</f>
        <v>913.53</v>
      </c>
      <c r="F211" s="50">
        <f>VLOOKUP($A211,'Data Vlaue (Cr)'!$C:$FB,146)*100</f>
        <v>0.89</v>
      </c>
      <c r="G211" s="49">
        <f>VLOOKUP($A211,'Data Vlaue (Cr)'!$C:$FB,43)</f>
        <v>183</v>
      </c>
      <c r="H211" s="49">
        <f>VLOOKUP($A211,'Data Vlaue (Cr)'!$C:$FB,44)</f>
        <v>197</v>
      </c>
      <c r="I211" s="49">
        <f>VLOOKUP($A211,'Data Vlaue (Cr)'!$C:$FB,46)*100</f>
        <v>-6.81</v>
      </c>
      <c r="J211" s="51">
        <f>VLOOKUP($A211,'Data Vlaue (Cr)'!$C:$FB,59)</f>
        <v>462</v>
      </c>
      <c r="K211" s="51">
        <f>VLOOKUP($A211,'Data Vlaue (Cr)'!$C:$FB,60)</f>
        <v>452</v>
      </c>
      <c r="L211" s="51">
        <f>VLOOKUP($A211,'Data Vlaue (Cr)'!$C:$FB,62)*100</f>
        <v>2.0699999999999998</v>
      </c>
      <c r="M211" s="51">
        <f>VLOOKUP($A211,'Data Vlaue (Cr)'!$C:$FB,63)</f>
        <v>249</v>
      </c>
      <c r="N211" s="51">
        <f>VLOOKUP($A211,'Data Vlaue (Cr)'!$C:$FB,64)</f>
        <v>235</v>
      </c>
      <c r="O211" s="51">
        <f>VLOOKUP($A211,'Data Vlaue (Cr)'!$C:$FB,66)*100</f>
        <v>5.87</v>
      </c>
    </row>
    <row r="212" spans="1:15" x14ac:dyDescent="0.25">
      <c r="A212" s="101" t="str">
        <f>'Data Vlaue (Cr)'!C207</f>
        <v>VBL</v>
      </c>
      <c r="B212" s="50">
        <f>VLOOKUP($A212,'Data Vlaue (Cr)'!$C:$FB,8)</f>
        <v>411.05</v>
      </c>
      <c r="C212" s="50">
        <f>VLOOKUP($A212,'Data Vlaue (Cr)'!$C:$FB,11)*100</f>
        <v>-4.68</v>
      </c>
      <c r="D212" s="50">
        <f>VLOOKUP($A212,'Data Vlaue (Cr)'!$C:$FB,143)</f>
        <v>2163.7199999999998</v>
      </c>
      <c r="E212" s="50">
        <f>VLOOKUP($A212,'Data Vlaue (Cr)'!$C:$FB,144)</f>
        <v>970.97</v>
      </c>
      <c r="F212" s="50">
        <f>VLOOKUP($A212,'Data Vlaue (Cr)'!$C:$FB,146)*100</f>
        <v>122.83999999999999</v>
      </c>
      <c r="G212" s="49">
        <f>VLOOKUP($A212,'Data Vlaue (Cr)'!$C:$FB,43)</f>
        <v>526</v>
      </c>
      <c r="H212" s="49">
        <f>VLOOKUP($A212,'Data Vlaue (Cr)'!$C:$FB,44)</f>
        <v>262</v>
      </c>
      <c r="I212" s="49">
        <f>VLOOKUP($A212,'Data Vlaue (Cr)'!$C:$FB,46)*100</f>
        <v>100.32000000000001</v>
      </c>
      <c r="J212" s="51">
        <f>VLOOKUP($A212,'Data Vlaue (Cr)'!$C:$FB,59)</f>
        <v>897</v>
      </c>
      <c r="K212" s="51">
        <f>VLOOKUP($A212,'Data Vlaue (Cr)'!$C:$FB,60)</f>
        <v>479</v>
      </c>
      <c r="L212" s="51">
        <f>VLOOKUP($A212,'Data Vlaue (Cr)'!$C:$FB,62)*100</f>
        <v>87.47</v>
      </c>
      <c r="M212" s="51">
        <f>VLOOKUP($A212,'Data Vlaue (Cr)'!$C:$FB,63)</f>
        <v>644</v>
      </c>
      <c r="N212" s="51">
        <f>VLOOKUP($A212,'Data Vlaue (Cr)'!$C:$FB,64)</f>
        <v>145</v>
      </c>
      <c r="O212" s="51">
        <f>VLOOKUP($A212,'Data Vlaue (Cr)'!$C:$FB,66)*100</f>
        <v>345.48</v>
      </c>
    </row>
    <row r="213" spans="1:15" x14ac:dyDescent="0.25">
      <c r="A213" s="101" t="str">
        <f>'Data Vlaue (Cr)'!C208</f>
        <v>VEDL</v>
      </c>
      <c r="B213" s="50">
        <f>VLOOKUP($A213,'Data Vlaue (Cr)'!$C:$FB,8)</f>
        <v>719.6</v>
      </c>
      <c r="C213" s="50">
        <f>VLOOKUP($A213,'Data Vlaue (Cr)'!$C:$FB,11)*100</f>
        <v>-0.27</v>
      </c>
      <c r="D213" s="50">
        <f>VLOOKUP($A213,'Data Vlaue (Cr)'!$C:$FB,143)</f>
        <v>5800.07</v>
      </c>
      <c r="E213" s="50">
        <f>VLOOKUP($A213,'Data Vlaue (Cr)'!$C:$FB,144)</f>
        <v>9007.77</v>
      </c>
      <c r="F213" s="50">
        <f>VLOOKUP($A213,'Data Vlaue (Cr)'!$C:$FB,146)*100</f>
        <v>-35.61</v>
      </c>
      <c r="G213" s="49">
        <f>VLOOKUP($A213,'Data Vlaue (Cr)'!$C:$FB,43)</f>
        <v>907</v>
      </c>
      <c r="H213" s="49">
        <f>VLOOKUP($A213,'Data Vlaue (Cr)'!$C:$FB,44)</f>
        <v>1313</v>
      </c>
      <c r="I213" s="49">
        <f>VLOOKUP($A213,'Data Vlaue (Cr)'!$C:$FB,46)*100</f>
        <v>-30.919999999999998</v>
      </c>
      <c r="J213" s="51">
        <f>VLOOKUP($A213,'Data Vlaue (Cr)'!$C:$FB,59)</f>
        <v>3158</v>
      </c>
      <c r="K213" s="51">
        <f>VLOOKUP($A213,'Data Vlaue (Cr)'!$C:$FB,60)</f>
        <v>5126</v>
      </c>
      <c r="L213" s="51">
        <f>VLOOKUP($A213,'Data Vlaue (Cr)'!$C:$FB,62)*100</f>
        <v>-38.39</v>
      </c>
      <c r="M213" s="51">
        <f>VLOOKUP($A213,'Data Vlaue (Cr)'!$C:$FB,63)</f>
        <v>1591</v>
      </c>
      <c r="N213" s="51">
        <f>VLOOKUP($A213,'Data Vlaue (Cr)'!$C:$FB,64)</f>
        <v>2168</v>
      </c>
      <c r="O213" s="51">
        <f>VLOOKUP($A213,'Data Vlaue (Cr)'!$C:$FB,66)*100</f>
        <v>-26.61</v>
      </c>
    </row>
    <row r="214" spans="1:15" x14ac:dyDescent="0.25">
      <c r="A214" s="101" t="str">
        <f>'Data Vlaue (Cr)'!C209</f>
        <v>VOLTAS</v>
      </c>
      <c r="B214" s="50">
        <f>VLOOKUP($A214,'Data Vlaue (Cr)'!$C:$FB,8)</f>
        <v>1449.4</v>
      </c>
      <c r="C214" s="50">
        <f>VLOOKUP($A214,'Data Vlaue (Cr)'!$C:$FB,11)*100</f>
        <v>-1.5</v>
      </c>
      <c r="D214" s="50">
        <f>VLOOKUP($A214,'Data Vlaue (Cr)'!$C:$FB,143)</f>
        <v>1961.22</v>
      </c>
      <c r="E214" s="50">
        <f>VLOOKUP($A214,'Data Vlaue (Cr)'!$C:$FB,144)</f>
        <v>3716.82</v>
      </c>
      <c r="F214" s="50">
        <f>VLOOKUP($A214,'Data Vlaue (Cr)'!$C:$FB,146)*100</f>
        <v>-47.23</v>
      </c>
      <c r="G214" s="49">
        <f>VLOOKUP($A214,'Data Vlaue (Cr)'!$C:$FB,43)</f>
        <v>390</v>
      </c>
      <c r="H214" s="49">
        <f>VLOOKUP($A214,'Data Vlaue (Cr)'!$C:$FB,44)</f>
        <v>553</v>
      </c>
      <c r="I214" s="49">
        <f>VLOOKUP($A214,'Data Vlaue (Cr)'!$C:$FB,46)*100</f>
        <v>-29.4</v>
      </c>
      <c r="J214" s="51">
        <f>VLOOKUP($A214,'Data Vlaue (Cr)'!$C:$FB,59)</f>
        <v>1111</v>
      </c>
      <c r="K214" s="51">
        <f>VLOOKUP($A214,'Data Vlaue (Cr)'!$C:$FB,60)</f>
        <v>2251</v>
      </c>
      <c r="L214" s="51">
        <f>VLOOKUP($A214,'Data Vlaue (Cr)'!$C:$FB,62)*100</f>
        <v>-50.67</v>
      </c>
      <c r="M214" s="51">
        <f>VLOOKUP($A214,'Data Vlaue (Cr)'!$C:$FB,63)</f>
        <v>380</v>
      </c>
      <c r="N214" s="51">
        <f>VLOOKUP($A214,'Data Vlaue (Cr)'!$C:$FB,64)</f>
        <v>684</v>
      </c>
      <c r="O214" s="51">
        <f>VLOOKUP($A214,'Data Vlaue (Cr)'!$C:$FB,66)*100</f>
        <v>-44.47</v>
      </c>
    </row>
    <row r="215" spans="1:15" x14ac:dyDescent="0.25">
      <c r="A215" s="101" t="str">
        <f>'Data Vlaue (Cr)'!C210</f>
        <v>WAAREEENER</v>
      </c>
      <c r="B215" s="50">
        <f>VLOOKUP($A215,'Data Vlaue (Cr)'!$C:$FB,8)</f>
        <v>2739.4</v>
      </c>
      <c r="C215" s="50">
        <f>VLOOKUP($A215,'Data Vlaue (Cr)'!$C:$FB,11)*100</f>
        <v>2.11</v>
      </c>
      <c r="D215" s="50">
        <f>VLOOKUP($A215,'Data Vlaue (Cr)'!$C:$FB,143)</f>
        <v>1694.09</v>
      </c>
      <c r="E215" s="50">
        <f>VLOOKUP($A215,'Data Vlaue (Cr)'!$C:$FB,144)</f>
        <v>2001.52</v>
      </c>
      <c r="F215" s="50">
        <f>VLOOKUP($A215,'Data Vlaue (Cr)'!$C:$FB,146)*100</f>
        <v>-15.36</v>
      </c>
      <c r="G215" s="49">
        <f>VLOOKUP($A215,'Data Vlaue (Cr)'!$C:$FB,43)</f>
        <v>298</v>
      </c>
      <c r="H215" s="49">
        <f>VLOOKUP($A215,'Data Vlaue (Cr)'!$C:$FB,44)</f>
        <v>316</v>
      </c>
      <c r="I215" s="49">
        <f>VLOOKUP($A215,'Data Vlaue (Cr)'!$C:$FB,46)*100</f>
        <v>-5.7700000000000005</v>
      </c>
      <c r="J215" s="51">
        <f>VLOOKUP($A215,'Data Vlaue (Cr)'!$C:$FB,59)</f>
        <v>943</v>
      </c>
      <c r="K215" s="51">
        <f>VLOOKUP($A215,'Data Vlaue (Cr)'!$C:$FB,60)</f>
        <v>1272</v>
      </c>
      <c r="L215" s="51">
        <f>VLOOKUP($A215,'Data Vlaue (Cr)'!$C:$FB,62)*100</f>
        <v>-25.89</v>
      </c>
      <c r="M215" s="51">
        <f>VLOOKUP($A215,'Data Vlaue (Cr)'!$C:$FB,63)</f>
        <v>419</v>
      </c>
      <c r="N215" s="51">
        <f>VLOOKUP($A215,'Data Vlaue (Cr)'!$C:$FB,64)</f>
        <v>357</v>
      </c>
      <c r="O215" s="51">
        <f>VLOOKUP($A215,'Data Vlaue (Cr)'!$C:$FB,66)*100</f>
        <v>17.380000000000003</v>
      </c>
    </row>
    <row r="216" spans="1:15" x14ac:dyDescent="0.25">
      <c r="A216" s="101" t="str">
        <f>'Data Vlaue (Cr)'!C211</f>
        <v>WIPRO</v>
      </c>
      <c r="B216" s="50">
        <f>VLOOKUP($A216,'Data Vlaue (Cr)'!$C:$FB,8)</f>
        <v>202.51</v>
      </c>
      <c r="C216" s="50">
        <f>VLOOKUP($A216,'Data Vlaue (Cr)'!$C:$FB,11)*100</f>
        <v>0.13999999999999999</v>
      </c>
      <c r="D216" s="50">
        <f>VLOOKUP($A216,'Data Vlaue (Cr)'!$C:$FB,143)</f>
        <v>2508.94</v>
      </c>
      <c r="E216" s="50">
        <f>VLOOKUP($A216,'Data Vlaue (Cr)'!$C:$FB,144)</f>
        <v>3787.8</v>
      </c>
      <c r="F216" s="50">
        <f>VLOOKUP($A216,'Data Vlaue (Cr)'!$C:$FB,146)*100</f>
        <v>-33.76</v>
      </c>
      <c r="G216" s="49">
        <f>VLOOKUP($A216,'Data Vlaue (Cr)'!$C:$FB,43)</f>
        <v>768</v>
      </c>
      <c r="H216" s="49">
        <f>VLOOKUP($A216,'Data Vlaue (Cr)'!$C:$FB,44)</f>
        <v>1042</v>
      </c>
      <c r="I216" s="49">
        <f>VLOOKUP($A216,'Data Vlaue (Cr)'!$C:$FB,46)*100</f>
        <v>-26.279999999999998</v>
      </c>
      <c r="J216" s="51">
        <f>VLOOKUP($A216,'Data Vlaue (Cr)'!$C:$FB,59)</f>
        <v>1166</v>
      </c>
      <c r="K216" s="51">
        <f>VLOOKUP($A216,'Data Vlaue (Cr)'!$C:$FB,60)</f>
        <v>2012</v>
      </c>
      <c r="L216" s="51">
        <f>VLOOKUP($A216,'Data Vlaue (Cr)'!$C:$FB,62)*100</f>
        <v>-42.059999999999995</v>
      </c>
      <c r="M216" s="51">
        <f>VLOOKUP($A216,'Data Vlaue (Cr)'!$C:$FB,63)</f>
        <v>518</v>
      </c>
      <c r="N216" s="51">
        <f>VLOOKUP($A216,'Data Vlaue (Cr)'!$C:$FB,64)</f>
        <v>611</v>
      </c>
      <c r="O216" s="51">
        <f>VLOOKUP($A216,'Data Vlaue (Cr)'!$C:$FB,66)*100</f>
        <v>-15.190000000000001</v>
      </c>
    </row>
    <row r="217" spans="1:15" x14ac:dyDescent="0.25">
      <c r="A217" s="101" t="str">
        <f>'Data Vlaue (Cr)'!C213</f>
        <v>ZYDUSLIFE</v>
      </c>
      <c r="B217" s="50">
        <f>VLOOKUP($A217,'Data Vlaue (Cr)'!$C:$FB,8)</f>
        <v>916.9</v>
      </c>
      <c r="C217" s="50">
        <f>VLOOKUP($A217,'Data Vlaue (Cr)'!$C:$FB,11)*100</f>
        <v>-0.53</v>
      </c>
      <c r="D217" s="50">
        <f>VLOOKUP($A217,'Data Vlaue (Cr)'!$C:$FB,143)</f>
        <v>412.07</v>
      </c>
      <c r="E217" s="50">
        <f>VLOOKUP($A217,'Data Vlaue (Cr)'!$C:$FB,144)</f>
        <v>627.91999999999996</v>
      </c>
      <c r="F217" s="50">
        <f>VLOOKUP($A217,'Data Vlaue (Cr)'!$C:$FB,146)*100</f>
        <v>-34.380000000000003</v>
      </c>
      <c r="G217" s="49">
        <f>VLOOKUP($A217,'Data Vlaue (Cr)'!$C:$FB,43)</f>
        <v>107</v>
      </c>
      <c r="H217" s="49">
        <f>VLOOKUP($A217,'Data Vlaue (Cr)'!$C:$FB,44)</f>
        <v>116</v>
      </c>
      <c r="I217" s="49">
        <f>VLOOKUP($A217,'Data Vlaue (Cr)'!$C:$FB,46)*100</f>
        <v>-7.89</v>
      </c>
      <c r="J217" s="51">
        <f>VLOOKUP($A217,'Data Vlaue (Cr)'!$C:$FB,59)</f>
        <v>217</v>
      </c>
      <c r="K217" s="51">
        <f>VLOOKUP($A217,'Data Vlaue (Cr)'!$C:$FB,60)</f>
        <v>362</v>
      </c>
      <c r="L217" s="51">
        <f>VLOOKUP($A217,'Data Vlaue (Cr)'!$C:$FB,62)*100</f>
        <v>-39.94</v>
      </c>
      <c r="M217" s="51">
        <f>VLOOKUP($A217,'Data Vlaue (Cr)'!$C:$FB,63)</f>
        <v>78</v>
      </c>
      <c r="N217" s="51">
        <f>VLOOKUP($A217,'Data Vlaue (Cr)'!$C:$FB,64)</f>
        <v>129</v>
      </c>
      <c r="O217" s="51">
        <f>VLOOKUP($A217,'Data Vlaue (Cr)'!$C:$FB,66)*100</f>
        <v>-39.42</v>
      </c>
    </row>
    <row r="218" spans="1:15" x14ac:dyDescent="0.25">
      <c r="A218" s="101"/>
      <c r="B218" s="50"/>
      <c r="C218" s="50"/>
      <c r="D218" s="50"/>
      <c r="E218" s="50"/>
      <c r="F218" s="50"/>
      <c r="G218" s="49"/>
      <c r="H218" s="49"/>
      <c r="I218" s="49"/>
      <c r="J218" s="51"/>
      <c r="K218" s="51"/>
      <c r="L218" s="51"/>
      <c r="M218" s="51"/>
      <c r="N218" s="51"/>
      <c r="O218" s="51"/>
    </row>
    <row r="219" spans="1:15" x14ac:dyDescent="0.25">
      <c r="A219" s="101"/>
      <c r="B219" s="50"/>
      <c r="C219" s="50"/>
      <c r="D219" s="50"/>
      <c r="E219" s="50"/>
      <c r="F219" s="50"/>
      <c r="G219" s="49"/>
      <c r="H219" s="49"/>
      <c r="I219" s="49"/>
      <c r="J219" s="51"/>
      <c r="K219" s="51"/>
      <c r="L219" s="51"/>
      <c r="M219" s="51"/>
      <c r="N219" s="51"/>
      <c r="O219" s="51"/>
    </row>
    <row r="220" spans="1:15" x14ac:dyDescent="0.25">
      <c r="A220" s="101"/>
      <c r="B220" s="50"/>
      <c r="C220" s="50"/>
      <c r="D220" s="50"/>
      <c r="E220" s="50"/>
      <c r="F220" s="50"/>
      <c r="G220" s="49"/>
      <c r="H220" s="49"/>
      <c r="I220" s="49"/>
      <c r="J220" s="51"/>
      <c r="K220" s="51"/>
      <c r="L220" s="51"/>
      <c r="M220" s="51"/>
      <c r="N220" s="51"/>
      <c r="O220" s="51"/>
    </row>
    <row r="221" spans="1:15" x14ac:dyDescent="0.25">
      <c r="A221" s="101"/>
      <c r="B221" s="50"/>
      <c r="C221" s="50"/>
      <c r="D221" s="50"/>
      <c r="E221" s="50"/>
      <c r="F221" s="50"/>
      <c r="G221" s="49"/>
      <c r="H221" s="49"/>
      <c r="I221" s="49"/>
      <c r="J221" s="51"/>
      <c r="K221" s="51"/>
      <c r="L221" s="51"/>
      <c r="M221" s="51"/>
      <c r="N221" s="51"/>
      <c r="O221" s="51"/>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8705131.9900000077</v>
      </c>
      <c r="E232" s="131">
        <f>SUM(E7:E231)</f>
        <v>8767885.7899999954</v>
      </c>
      <c r="F232" s="132">
        <f>(D232-E232)/E232</f>
        <v>-7.1572328270470935E-3</v>
      </c>
      <c r="G232" s="131">
        <f>SUM(G7:G231)</f>
        <v>125582</v>
      </c>
      <c r="H232" s="131">
        <f>SUM(H7:H231)</f>
        <v>114698</v>
      </c>
      <c r="I232" s="132">
        <f>(G232-H232)/H232</f>
        <v>9.4892674676105945E-2</v>
      </c>
      <c r="J232" s="131">
        <f>SUM(J7:J231)</f>
        <v>4655652</v>
      </c>
      <c r="K232" s="131">
        <f>SUM(K7:K231)</f>
        <v>4069004</v>
      </c>
      <c r="L232" s="132">
        <f>(J232-K232)/K232</f>
        <v>0.14417483983795543</v>
      </c>
      <c r="M232" s="131">
        <f>SUM(M7:M231)</f>
        <v>3796558</v>
      </c>
      <c r="N232" s="131">
        <f>SUM(N7:N231)</f>
        <v>4373345</v>
      </c>
      <c r="O232" s="132">
        <f>(M232-N232)/N232</f>
        <v>-0.13188691950897996</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9"/>
  <sheetViews>
    <sheetView workbookViewId="0">
      <pane ySplit="6" topLeftCell="A207" activePane="bottomLeft" state="frozen"/>
      <selection pane="bottomLeft" activeCell="N220" sqref="N220"/>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3" t="s">
        <v>315</v>
      </c>
      <c r="B3" s="300"/>
      <c r="C3" s="300"/>
      <c r="D3" s="300"/>
      <c r="E3" s="300"/>
      <c r="F3" s="300"/>
      <c r="G3" s="300"/>
      <c r="H3" s="300"/>
      <c r="I3" s="300"/>
      <c r="J3" s="300"/>
      <c r="K3" s="300"/>
      <c r="L3" s="300"/>
      <c r="M3" s="300"/>
      <c r="N3" s="300"/>
      <c r="O3" s="301"/>
    </row>
    <row r="4" spans="1:15" x14ac:dyDescent="0.25">
      <c r="A4" s="304" t="s">
        <v>330</v>
      </c>
      <c r="B4" s="304" t="s">
        <v>308</v>
      </c>
      <c r="C4" s="304"/>
      <c r="D4" s="304" t="s">
        <v>361</v>
      </c>
      <c r="E4" s="304"/>
      <c r="F4" s="304"/>
      <c r="G4" s="304"/>
      <c r="H4" s="304"/>
      <c r="I4" s="304"/>
      <c r="J4" s="304"/>
      <c r="K4" s="304"/>
      <c r="L4" s="304"/>
      <c r="M4" s="304"/>
      <c r="N4" s="304"/>
      <c r="O4" s="304"/>
    </row>
    <row r="5" spans="1:15" x14ac:dyDescent="0.25">
      <c r="A5" s="305"/>
      <c r="B5" s="305" t="s">
        <v>312</v>
      </c>
      <c r="C5" s="305"/>
      <c r="D5" s="305" t="s">
        <v>315</v>
      </c>
      <c r="E5" s="305"/>
      <c r="F5" s="305"/>
      <c r="G5" s="305" t="s">
        <v>362</v>
      </c>
      <c r="H5" s="305"/>
      <c r="I5" s="305"/>
      <c r="J5" s="305" t="s">
        <v>363</v>
      </c>
      <c r="K5" s="305"/>
      <c r="L5" s="305"/>
      <c r="M5" s="305" t="s">
        <v>364</v>
      </c>
      <c r="N5" s="305"/>
      <c r="O5" s="305"/>
    </row>
    <row r="6" spans="1:15" x14ac:dyDescent="0.25">
      <c r="A6" s="34" t="s">
        <v>318</v>
      </c>
      <c r="B6" s="21">
        <f>'Total Value'!B6</f>
        <v>46093</v>
      </c>
      <c r="C6" s="34" t="s">
        <v>328</v>
      </c>
      <c r="D6" s="21">
        <f>B6</f>
        <v>46093</v>
      </c>
      <c r="E6" s="34" t="s">
        <v>322</v>
      </c>
      <c r="F6" s="34" t="s">
        <v>328</v>
      </c>
      <c r="G6" s="21">
        <f>D6</f>
        <v>46093</v>
      </c>
      <c r="H6" s="34" t="s">
        <v>322</v>
      </c>
      <c r="I6" s="34" t="s">
        <v>328</v>
      </c>
      <c r="J6" s="21">
        <f>D6</f>
        <v>46093</v>
      </c>
      <c r="K6" s="34" t="s">
        <v>322</v>
      </c>
      <c r="L6" s="34" t="s">
        <v>328</v>
      </c>
      <c r="M6" s="21">
        <f>D6</f>
        <v>46093</v>
      </c>
      <c r="N6" s="34" t="s">
        <v>322</v>
      </c>
      <c r="O6" s="34" t="s">
        <v>328</v>
      </c>
    </row>
    <row r="7" spans="1:15" x14ac:dyDescent="0.25">
      <c r="A7" s="101" t="str">
        <f>'Data Vlaue (Cr)'!C2</f>
        <v>360ONE</v>
      </c>
      <c r="B7" s="50">
        <f>VLOOKUP($A7,'Data shares'!$C:$FB,7)</f>
        <v>1043.4000000000001</v>
      </c>
      <c r="C7" s="50">
        <f>VLOOKUP($A7,'Data shares'!$C:$FB,10)*100</f>
        <v>-0.44999999999999996</v>
      </c>
      <c r="D7" s="49">
        <f>VLOOKUP($A7,'Data shares'!$C:$FB,66)</f>
        <v>2218500</v>
      </c>
      <c r="E7" s="49">
        <f>VLOOKUP($A7,'Data shares'!$C:$FB,67)</f>
        <v>1582000</v>
      </c>
      <c r="F7" s="50">
        <f>VLOOKUP($A7,'Data shares'!$C:$FB,69)*100</f>
        <v>40.229999999999997</v>
      </c>
      <c r="G7" s="49">
        <f>VLOOKUP($A7,'Data shares'!$C:$FB,42)</f>
        <v>791000</v>
      </c>
      <c r="H7" s="49">
        <f>VLOOKUP($A7,'Data shares'!$C:$FB,43)</f>
        <v>718000</v>
      </c>
      <c r="I7" s="50">
        <f>VLOOKUP($A7,'Data shares'!$C:$FB,45)*100</f>
        <v>10.17</v>
      </c>
      <c r="J7" s="49">
        <f>VLOOKUP($A7,'Data shares'!$C:$FB,58)</f>
        <v>984500</v>
      </c>
      <c r="K7" s="49">
        <f>VLOOKUP($A7,'Data shares'!$C:$FB,59)</f>
        <v>650500</v>
      </c>
      <c r="L7" s="50">
        <f>VLOOKUP($A7,'Data shares'!$C:$FB,61)*100</f>
        <v>51.349999999999994</v>
      </c>
      <c r="M7" s="49">
        <f>VLOOKUP($A7,'Data shares'!$C:$FB,62)</f>
        <v>443000</v>
      </c>
      <c r="N7" s="49">
        <f>VLOOKUP($A7,'Data shares'!$C:$FB,63)</f>
        <v>213500</v>
      </c>
      <c r="O7" s="140">
        <f>VLOOKUP($A7,'Data shares'!$C:$FB,65)*100</f>
        <v>107.49</v>
      </c>
    </row>
    <row r="8" spans="1:15" x14ac:dyDescent="0.25">
      <c r="A8" s="101" t="str">
        <f>'Data Vlaue (Cr)'!C3</f>
        <v>ABB</v>
      </c>
      <c r="B8" s="50">
        <f>VLOOKUP($A8,'Data shares'!$C:$FB,7)</f>
        <v>6409</v>
      </c>
      <c r="C8" s="50">
        <f>VLOOKUP($A8,'Data shares'!$C:$FB,10)*100</f>
        <v>2.0500000000000003</v>
      </c>
      <c r="D8" s="49">
        <f>VLOOKUP($A8,'Data shares'!$C:$FB,66)</f>
        <v>7681875</v>
      </c>
      <c r="E8" s="49">
        <f>VLOOKUP($A8,'Data shares'!$C:$FB,67)</f>
        <v>7519125</v>
      </c>
      <c r="F8" s="50">
        <f>VLOOKUP($A8,'Data shares'!$C:$FB,69)*100</f>
        <v>2.16</v>
      </c>
      <c r="G8" s="49">
        <f>VLOOKUP($A8,'Data shares'!$C:$FB,42)</f>
        <v>852250</v>
      </c>
      <c r="H8" s="49">
        <f>VLOOKUP($A8,'Data shares'!$C:$FB,43)</f>
        <v>739000</v>
      </c>
      <c r="I8" s="50">
        <f>VLOOKUP($A8,'Data shares'!$C:$FB,45)*100</f>
        <v>15.32</v>
      </c>
      <c r="J8" s="49">
        <f>VLOOKUP($A8,'Data shares'!$C:$FB,58)</f>
        <v>4760500</v>
      </c>
      <c r="K8" s="49">
        <f>VLOOKUP($A8,'Data shares'!$C:$FB,59)</f>
        <v>5219000</v>
      </c>
      <c r="L8" s="50">
        <f>VLOOKUP($A8,'Data shares'!$C:$FB,61)*100</f>
        <v>-8.7900000000000009</v>
      </c>
      <c r="M8" s="49">
        <f>VLOOKUP($A8,'Data shares'!$C:$FB,62)</f>
        <v>2069125</v>
      </c>
      <c r="N8" s="49">
        <f>VLOOKUP($A8,'Data shares'!$C:$FB,63)</f>
        <v>1561125</v>
      </c>
      <c r="O8" s="140">
        <f>VLOOKUP($A8,'Data shares'!$C:$FB,65)*100</f>
        <v>32.54</v>
      </c>
    </row>
    <row r="9" spans="1:15" x14ac:dyDescent="0.25">
      <c r="A9" s="101" t="str">
        <f>'Data Vlaue (Cr)'!C4</f>
        <v>ABCAPITAL</v>
      </c>
      <c r="B9" s="50">
        <f>VLOOKUP($A9,'Data shares'!$C:$FB,7)</f>
        <v>319.95</v>
      </c>
      <c r="C9" s="50">
        <f>VLOOKUP($A9,'Data shares'!$C:$FB,10)*100</f>
        <v>-1.1900000000000002</v>
      </c>
      <c r="D9" s="49">
        <f>VLOOKUP($A9,'Data shares'!$C:$FB,66)</f>
        <v>30944200</v>
      </c>
      <c r="E9" s="49">
        <f>VLOOKUP($A9,'Data shares'!$C:$FB,67)</f>
        <v>33455200</v>
      </c>
      <c r="F9" s="50">
        <f>VLOOKUP($A9,'Data shares'!$C:$FB,69)*100</f>
        <v>-7.51</v>
      </c>
      <c r="G9" s="49">
        <f>VLOOKUP($A9,'Data shares'!$C:$FB,42)</f>
        <v>7864700</v>
      </c>
      <c r="H9" s="49">
        <f>VLOOKUP($A9,'Data shares'!$C:$FB,43)</f>
        <v>8190200</v>
      </c>
      <c r="I9" s="50">
        <f>VLOOKUP($A9,'Data shares'!$C:$FB,45)*100</f>
        <v>-3.9699999999999998</v>
      </c>
      <c r="J9" s="49">
        <f>VLOOKUP($A9,'Data shares'!$C:$FB,58)</f>
        <v>15230300</v>
      </c>
      <c r="K9" s="49">
        <f>VLOOKUP($A9,'Data shares'!$C:$FB,59)</f>
        <v>14167000</v>
      </c>
      <c r="L9" s="50">
        <f>VLOOKUP($A9,'Data shares'!$C:$FB,61)*100</f>
        <v>7.51</v>
      </c>
      <c r="M9" s="49">
        <f>VLOOKUP($A9,'Data shares'!$C:$FB,62)</f>
        <v>7849200</v>
      </c>
      <c r="N9" s="49">
        <f>VLOOKUP($A9,'Data shares'!$C:$FB,63)</f>
        <v>11098000</v>
      </c>
      <c r="O9" s="140">
        <f>VLOOKUP($A9,'Data shares'!$C:$FB,65)*100</f>
        <v>-29.270000000000003</v>
      </c>
    </row>
    <row r="10" spans="1:15" x14ac:dyDescent="0.25">
      <c r="A10" s="101" t="str">
        <f>'Data Vlaue (Cr)'!C5</f>
        <v>ADANIENSOL</v>
      </c>
      <c r="B10" s="50">
        <f>VLOOKUP($A10,'Data shares'!$C:$FB,7)</f>
        <v>1004.4</v>
      </c>
      <c r="C10" s="50">
        <f>VLOOKUP($A10,'Data shares'!$C:$FB,10)*100</f>
        <v>1.25</v>
      </c>
      <c r="D10" s="49">
        <f>VLOOKUP($A10,'Data shares'!$C:$FB,66)</f>
        <v>8206650</v>
      </c>
      <c r="E10" s="49">
        <f>VLOOKUP($A10,'Data shares'!$C:$FB,67)</f>
        <v>13345425</v>
      </c>
      <c r="F10" s="50">
        <f>VLOOKUP($A10,'Data shares'!$C:$FB,69)*100</f>
        <v>-38.51</v>
      </c>
      <c r="G10" s="49">
        <f>VLOOKUP($A10,'Data shares'!$C:$FB,42)</f>
        <v>1723275</v>
      </c>
      <c r="H10" s="49">
        <f>VLOOKUP($A10,'Data shares'!$C:$FB,43)</f>
        <v>1571400</v>
      </c>
      <c r="I10" s="50">
        <f>VLOOKUP($A10,'Data shares'!$C:$FB,45)*100</f>
        <v>9.66</v>
      </c>
      <c r="J10" s="49">
        <f>VLOOKUP($A10,'Data shares'!$C:$FB,58)</f>
        <v>5153625</v>
      </c>
      <c r="K10" s="49">
        <f>VLOOKUP($A10,'Data shares'!$C:$FB,59)</f>
        <v>9272475</v>
      </c>
      <c r="L10" s="50">
        <f>VLOOKUP($A10,'Data shares'!$C:$FB,61)*100</f>
        <v>-44.42</v>
      </c>
      <c r="M10" s="49">
        <f>VLOOKUP($A10,'Data shares'!$C:$FB,62)</f>
        <v>1329750</v>
      </c>
      <c r="N10" s="49">
        <f>VLOOKUP($A10,'Data shares'!$C:$FB,63)</f>
        <v>2501550</v>
      </c>
      <c r="O10" s="140">
        <f>VLOOKUP($A10,'Data shares'!$C:$FB,65)*100</f>
        <v>-46.839999999999996</v>
      </c>
    </row>
    <row r="11" spans="1:15" x14ac:dyDescent="0.25">
      <c r="A11" s="101" t="str">
        <f>'Data Vlaue (Cr)'!C6</f>
        <v>ADANIENT</v>
      </c>
      <c r="B11" s="50">
        <f>VLOOKUP($A11,'Data shares'!$C:$FB,7)</f>
        <v>2002</v>
      </c>
      <c r="C11" s="50">
        <f>VLOOKUP($A11,'Data shares'!$C:$FB,10)*100</f>
        <v>1.38</v>
      </c>
      <c r="D11" s="49">
        <f>VLOOKUP($A11,'Data shares'!$C:$FB,66)</f>
        <v>17252397</v>
      </c>
      <c r="E11" s="49">
        <f>VLOOKUP($A11,'Data shares'!$C:$FB,67)</f>
        <v>9413376</v>
      </c>
      <c r="F11" s="50">
        <f>VLOOKUP($A11,'Data shares'!$C:$FB,69)*100</f>
        <v>83.28</v>
      </c>
      <c r="G11" s="49">
        <f>VLOOKUP($A11,'Data shares'!$C:$FB,42)</f>
        <v>4142145</v>
      </c>
      <c r="H11" s="49">
        <f>VLOOKUP($A11,'Data shares'!$C:$FB,43)</f>
        <v>1723602</v>
      </c>
      <c r="I11" s="50">
        <f>VLOOKUP($A11,'Data shares'!$C:$FB,45)*100</f>
        <v>140.32</v>
      </c>
      <c r="J11" s="49">
        <f>VLOOKUP($A11,'Data shares'!$C:$FB,58)</f>
        <v>8727705</v>
      </c>
      <c r="K11" s="49">
        <f>VLOOKUP($A11,'Data shares'!$C:$FB,59)</f>
        <v>4911555</v>
      </c>
      <c r="L11" s="50">
        <f>VLOOKUP($A11,'Data shares'!$C:$FB,61)*100</f>
        <v>77.7</v>
      </c>
      <c r="M11" s="49">
        <f>VLOOKUP($A11,'Data shares'!$C:$FB,62)</f>
        <v>4382547</v>
      </c>
      <c r="N11" s="49">
        <f>VLOOKUP($A11,'Data shares'!$C:$FB,63)</f>
        <v>2778219</v>
      </c>
      <c r="O11" s="140">
        <f>VLOOKUP($A11,'Data shares'!$C:$FB,65)*100</f>
        <v>57.75</v>
      </c>
    </row>
    <row r="12" spans="1:15" x14ac:dyDescent="0.25">
      <c r="A12" s="101" t="str">
        <f>'Data Vlaue (Cr)'!C7</f>
        <v>ADANIGREEN</v>
      </c>
      <c r="B12" s="50">
        <f>VLOOKUP($A12,'Data shares'!$C:$FB,7)</f>
        <v>866.55</v>
      </c>
      <c r="C12" s="50">
        <f>VLOOKUP($A12,'Data shares'!$C:$FB,10)*100</f>
        <v>1.9900000000000002</v>
      </c>
      <c r="D12" s="49">
        <f>VLOOKUP($A12,'Data shares'!$C:$FB,66)</f>
        <v>22939200</v>
      </c>
      <c r="E12" s="49">
        <f>VLOOKUP($A12,'Data shares'!$C:$FB,67)</f>
        <v>11122800</v>
      </c>
      <c r="F12" s="50">
        <f>VLOOKUP($A12,'Data shares'!$C:$FB,69)*100</f>
        <v>106.24</v>
      </c>
      <c r="G12" s="49">
        <f>VLOOKUP($A12,'Data shares'!$C:$FB,42)</f>
        <v>5473200</v>
      </c>
      <c r="H12" s="49">
        <f>VLOOKUP($A12,'Data shares'!$C:$FB,43)</f>
        <v>2493600</v>
      </c>
      <c r="I12" s="50">
        <f>VLOOKUP($A12,'Data shares'!$C:$FB,45)*100</f>
        <v>119.49000000000001</v>
      </c>
      <c r="J12" s="49">
        <f>VLOOKUP($A12,'Data shares'!$C:$FB,58)</f>
        <v>13639200</v>
      </c>
      <c r="K12" s="49">
        <f>VLOOKUP($A12,'Data shares'!$C:$FB,59)</f>
        <v>6345600</v>
      </c>
      <c r="L12" s="50">
        <f>VLOOKUP($A12,'Data shares'!$C:$FB,61)*100</f>
        <v>114.94</v>
      </c>
      <c r="M12" s="49">
        <f>VLOOKUP($A12,'Data shares'!$C:$FB,62)</f>
        <v>3826800</v>
      </c>
      <c r="N12" s="49">
        <f>VLOOKUP($A12,'Data shares'!$C:$FB,63)</f>
        <v>2283600</v>
      </c>
      <c r="O12" s="140">
        <f>VLOOKUP($A12,'Data shares'!$C:$FB,65)*100</f>
        <v>67.58</v>
      </c>
    </row>
    <row r="13" spans="1:15" x14ac:dyDescent="0.25">
      <c r="A13" s="101" t="str">
        <f>'Data Vlaue (Cr)'!C8</f>
        <v>ADANIPORTS</v>
      </c>
      <c r="B13" s="50">
        <f>VLOOKUP($A13,'Data shares'!$C:$FB,7)</f>
        <v>1391.5</v>
      </c>
      <c r="C13" s="50">
        <f>VLOOKUP($A13,'Data shares'!$C:$FB,10)*100</f>
        <v>-1.37</v>
      </c>
      <c r="D13" s="49">
        <f>VLOOKUP($A13,'Data shares'!$C:$FB,66)</f>
        <v>20834450</v>
      </c>
      <c r="E13" s="49">
        <f>VLOOKUP($A13,'Data shares'!$C:$FB,67)</f>
        <v>21374525</v>
      </c>
      <c r="F13" s="50">
        <f>VLOOKUP($A13,'Data shares'!$C:$FB,69)*100</f>
        <v>-2.5299999999999998</v>
      </c>
      <c r="G13" s="49">
        <f>VLOOKUP($A13,'Data shares'!$C:$FB,42)</f>
        <v>2815325</v>
      </c>
      <c r="H13" s="49">
        <f>VLOOKUP($A13,'Data shares'!$C:$FB,43)</f>
        <v>3469400</v>
      </c>
      <c r="I13" s="50">
        <f>VLOOKUP($A13,'Data shares'!$C:$FB,45)*100</f>
        <v>-18.850000000000001</v>
      </c>
      <c r="J13" s="49">
        <f>VLOOKUP($A13,'Data shares'!$C:$FB,58)</f>
        <v>9295275</v>
      </c>
      <c r="K13" s="49">
        <f>VLOOKUP($A13,'Data shares'!$C:$FB,59)</f>
        <v>9397875</v>
      </c>
      <c r="L13" s="50">
        <f>VLOOKUP($A13,'Data shares'!$C:$FB,61)*100</f>
        <v>-1.0900000000000001</v>
      </c>
      <c r="M13" s="49">
        <f>VLOOKUP($A13,'Data shares'!$C:$FB,62)</f>
        <v>8723850</v>
      </c>
      <c r="N13" s="49">
        <f>VLOOKUP($A13,'Data shares'!$C:$FB,63)</f>
        <v>8507250</v>
      </c>
      <c r="O13" s="140">
        <f>VLOOKUP($A13,'Data shares'!$C:$FB,65)*100</f>
        <v>2.5499999999999998</v>
      </c>
    </row>
    <row r="14" spans="1:15" x14ac:dyDescent="0.25">
      <c r="A14" s="101" t="str">
        <f>'Data Vlaue (Cr)'!C9</f>
        <v>ALKEM</v>
      </c>
      <c r="B14" s="50">
        <f>VLOOKUP($A14,'Data shares'!$C:$FB,7)</f>
        <v>5444</v>
      </c>
      <c r="C14" s="50">
        <f>VLOOKUP($A14,'Data shares'!$C:$FB,10)*100</f>
        <v>-1.81</v>
      </c>
      <c r="D14" s="49">
        <f>VLOOKUP($A14,'Data shares'!$C:$FB,66)</f>
        <v>468125</v>
      </c>
      <c r="E14" s="49">
        <f>VLOOKUP($A14,'Data shares'!$C:$FB,67)</f>
        <v>512750</v>
      </c>
      <c r="F14" s="50">
        <f>VLOOKUP($A14,'Data shares'!$C:$FB,69)*100</f>
        <v>-8.6999999999999993</v>
      </c>
      <c r="G14" s="49">
        <f>VLOOKUP($A14,'Data shares'!$C:$FB,42)</f>
        <v>159250</v>
      </c>
      <c r="H14" s="49">
        <f>VLOOKUP($A14,'Data shares'!$C:$FB,43)</f>
        <v>114500</v>
      </c>
      <c r="I14" s="50">
        <f>VLOOKUP($A14,'Data shares'!$C:$FB,45)*100</f>
        <v>39.08</v>
      </c>
      <c r="J14" s="49">
        <f>VLOOKUP($A14,'Data shares'!$C:$FB,58)</f>
        <v>210250</v>
      </c>
      <c r="K14" s="49">
        <f>VLOOKUP($A14,'Data shares'!$C:$FB,59)</f>
        <v>318125</v>
      </c>
      <c r="L14" s="50">
        <f>VLOOKUP($A14,'Data shares'!$C:$FB,61)*100</f>
        <v>-33.910000000000004</v>
      </c>
      <c r="M14" s="49">
        <f>VLOOKUP($A14,'Data shares'!$C:$FB,62)</f>
        <v>98625</v>
      </c>
      <c r="N14" s="49">
        <f>VLOOKUP($A14,'Data shares'!$C:$FB,63)</f>
        <v>80125</v>
      </c>
      <c r="O14" s="140">
        <f>VLOOKUP($A14,'Data shares'!$C:$FB,65)*100</f>
        <v>23.09</v>
      </c>
    </row>
    <row r="15" spans="1:15" x14ac:dyDescent="0.25">
      <c r="A15" s="101" t="str">
        <f>'Data Vlaue (Cr)'!C10</f>
        <v>AMBER</v>
      </c>
      <c r="B15" s="50">
        <f>VLOOKUP($A15,'Data shares'!$C:$FB,7)</f>
        <v>6929.5</v>
      </c>
      <c r="C15" s="50">
        <f>VLOOKUP($A15,'Data shares'!$C:$FB,10)*100</f>
        <v>-5.18</v>
      </c>
      <c r="D15" s="49">
        <f>VLOOKUP($A15,'Data shares'!$C:$FB,66)</f>
        <v>4754900</v>
      </c>
      <c r="E15" s="49">
        <f>VLOOKUP($A15,'Data shares'!$C:$FB,67)</f>
        <v>2312500</v>
      </c>
      <c r="F15" s="50">
        <f>VLOOKUP($A15,'Data shares'!$C:$FB,69)*100</f>
        <v>105.62</v>
      </c>
      <c r="G15" s="49">
        <f>VLOOKUP($A15,'Data shares'!$C:$FB,42)</f>
        <v>798800</v>
      </c>
      <c r="H15" s="49">
        <f>VLOOKUP($A15,'Data shares'!$C:$FB,43)</f>
        <v>349200</v>
      </c>
      <c r="I15" s="50">
        <f>VLOOKUP($A15,'Data shares'!$C:$FB,45)*100</f>
        <v>128.75</v>
      </c>
      <c r="J15" s="49">
        <f>VLOOKUP($A15,'Data shares'!$C:$FB,58)</f>
        <v>2191500</v>
      </c>
      <c r="K15" s="49">
        <f>VLOOKUP($A15,'Data shares'!$C:$FB,59)</f>
        <v>1414200</v>
      </c>
      <c r="L15" s="50">
        <f>VLOOKUP($A15,'Data shares'!$C:$FB,61)*100</f>
        <v>54.96</v>
      </c>
      <c r="M15" s="49">
        <f>VLOOKUP($A15,'Data shares'!$C:$FB,62)</f>
        <v>1764600</v>
      </c>
      <c r="N15" s="49">
        <f>VLOOKUP($A15,'Data shares'!$C:$FB,63)</f>
        <v>549100</v>
      </c>
      <c r="O15" s="140">
        <f>VLOOKUP($A15,'Data shares'!$C:$FB,65)*100</f>
        <v>221.36</v>
      </c>
    </row>
    <row r="16" spans="1:15" x14ac:dyDescent="0.25">
      <c r="A16" s="101" t="str">
        <f>'Data Vlaue (Cr)'!C11</f>
        <v>AMBUJACEM</v>
      </c>
      <c r="B16" s="50">
        <f>VLOOKUP($A16,'Data shares'!$C:$FB,7)</f>
        <v>446.45</v>
      </c>
      <c r="C16" s="50">
        <f>VLOOKUP($A16,'Data shares'!$C:$FB,10)*100</f>
        <v>-2.48</v>
      </c>
      <c r="D16" s="49">
        <f>VLOOKUP($A16,'Data shares'!$C:$FB,66)</f>
        <v>17267250</v>
      </c>
      <c r="E16" s="49">
        <f>VLOOKUP($A16,'Data shares'!$C:$FB,67)</f>
        <v>14601300</v>
      </c>
      <c r="F16" s="50">
        <f>VLOOKUP($A16,'Data shares'!$C:$FB,69)*100</f>
        <v>18.260000000000002</v>
      </c>
      <c r="G16" s="49">
        <f>VLOOKUP($A16,'Data shares'!$C:$FB,42)</f>
        <v>7364700</v>
      </c>
      <c r="H16" s="49">
        <f>VLOOKUP($A16,'Data shares'!$C:$FB,43)</f>
        <v>4057200</v>
      </c>
      <c r="I16" s="50">
        <f>VLOOKUP($A16,'Data shares'!$C:$FB,45)*100</f>
        <v>81.52000000000001</v>
      </c>
      <c r="J16" s="49">
        <f>VLOOKUP($A16,'Data shares'!$C:$FB,58)</f>
        <v>6773550</v>
      </c>
      <c r="K16" s="49">
        <f>VLOOKUP($A16,'Data shares'!$C:$FB,59)</f>
        <v>7237650</v>
      </c>
      <c r="L16" s="50">
        <f>VLOOKUP($A16,'Data shares'!$C:$FB,61)*100</f>
        <v>-6.41</v>
      </c>
      <c r="M16" s="49">
        <f>VLOOKUP($A16,'Data shares'!$C:$FB,62)</f>
        <v>3129000</v>
      </c>
      <c r="N16" s="49">
        <f>VLOOKUP($A16,'Data shares'!$C:$FB,63)</f>
        <v>3306450</v>
      </c>
      <c r="O16" s="140">
        <f>VLOOKUP($A16,'Data shares'!$C:$FB,65)*100</f>
        <v>-5.37</v>
      </c>
    </row>
    <row r="17" spans="1:15" x14ac:dyDescent="0.25">
      <c r="A17" s="101" t="str">
        <f>'Data Vlaue (Cr)'!C12</f>
        <v>ANGELONE</v>
      </c>
      <c r="B17" s="50">
        <f>VLOOKUP($A17,'Data shares'!$C:$FB,7)</f>
        <v>213.07</v>
      </c>
      <c r="C17" s="50">
        <f>VLOOKUP($A17,'Data shares'!$C:$FB,10)*100</f>
        <v>-2.5</v>
      </c>
      <c r="D17" s="49">
        <f>VLOOKUP($A17,'Data shares'!$C:$FB,66)</f>
        <v>34780000</v>
      </c>
      <c r="E17" s="49">
        <f>VLOOKUP($A17,'Data shares'!$C:$FB,67)</f>
        <v>28085000</v>
      </c>
      <c r="F17" s="50">
        <f>VLOOKUP($A17,'Data shares'!$C:$FB,69)*100</f>
        <v>23.84</v>
      </c>
      <c r="G17" s="49">
        <f>VLOOKUP($A17,'Data shares'!$C:$FB,42)</f>
        <v>11237500</v>
      </c>
      <c r="H17" s="49">
        <f>VLOOKUP($A17,'Data shares'!$C:$FB,43)</f>
        <v>7175000</v>
      </c>
      <c r="I17" s="50">
        <f>VLOOKUP($A17,'Data shares'!$C:$FB,45)*100</f>
        <v>56.620000000000005</v>
      </c>
      <c r="J17" s="49">
        <f>VLOOKUP($A17,'Data shares'!$C:$FB,58)</f>
        <v>15145000</v>
      </c>
      <c r="K17" s="49">
        <f>VLOOKUP($A17,'Data shares'!$C:$FB,59)</f>
        <v>14047500</v>
      </c>
      <c r="L17" s="50">
        <f>VLOOKUP($A17,'Data shares'!$C:$FB,61)*100</f>
        <v>7.8100000000000005</v>
      </c>
      <c r="M17" s="49">
        <f>VLOOKUP($A17,'Data shares'!$C:$FB,62)</f>
        <v>8397500</v>
      </c>
      <c r="N17" s="49">
        <f>VLOOKUP($A17,'Data shares'!$C:$FB,63)</f>
        <v>6862500</v>
      </c>
      <c r="O17" s="140">
        <f>VLOOKUP($A17,'Data shares'!$C:$FB,65)*100</f>
        <v>22.37</v>
      </c>
    </row>
    <row r="18" spans="1:15" x14ac:dyDescent="0.25">
      <c r="A18" s="101" t="str">
        <f>'Data Vlaue (Cr)'!C13</f>
        <v>APLAPOLLO</v>
      </c>
      <c r="B18" s="50">
        <f>VLOOKUP($A18,'Data shares'!$C:$FB,7)</f>
        <v>2009.2</v>
      </c>
      <c r="C18" s="50">
        <f>VLOOKUP($A18,'Data shares'!$C:$FB,10)*100</f>
        <v>-0.35000000000000003</v>
      </c>
      <c r="D18" s="49">
        <f>VLOOKUP($A18,'Data shares'!$C:$FB,66)</f>
        <v>5890150</v>
      </c>
      <c r="E18" s="49">
        <f>VLOOKUP($A18,'Data shares'!$C:$FB,67)</f>
        <v>11613700</v>
      </c>
      <c r="F18" s="50">
        <f>VLOOKUP($A18,'Data shares'!$C:$FB,69)*100</f>
        <v>-49.28</v>
      </c>
      <c r="G18" s="49">
        <f>VLOOKUP($A18,'Data shares'!$C:$FB,42)</f>
        <v>1283100</v>
      </c>
      <c r="H18" s="49">
        <f>VLOOKUP($A18,'Data shares'!$C:$FB,43)</f>
        <v>1869000</v>
      </c>
      <c r="I18" s="50">
        <f>VLOOKUP($A18,'Data shares'!$C:$FB,45)*100</f>
        <v>-31.35</v>
      </c>
      <c r="J18" s="49">
        <f>VLOOKUP($A18,'Data shares'!$C:$FB,58)</f>
        <v>2785300</v>
      </c>
      <c r="K18" s="49">
        <f>VLOOKUP($A18,'Data shares'!$C:$FB,59)</f>
        <v>4841900</v>
      </c>
      <c r="L18" s="50">
        <f>VLOOKUP($A18,'Data shares'!$C:$FB,61)*100</f>
        <v>-42.480000000000004</v>
      </c>
      <c r="M18" s="49">
        <f>VLOOKUP($A18,'Data shares'!$C:$FB,62)</f>
        <v>1821750</v>
      </c>
      <c r="N18" s="49">
        <f>VLOOKUP($A18,'Data shares'!$C:$FB,63)</f>
        <v>4902800</v>
      </c>
      <c r="O18" s="140">
        <f>VLOOKUP($A18,'Data shares'!$C:$FB,65)*100</f>
        <v>-62.839999999999996</v>
      </c>
    </row>
    <row r="19" spans="1:15" x14ac:dyDescent="0.25">
      <c r="A19" s="101" t="str">
        <f>'Data Vlaue (Cr)'!C14</f>
        <v>APOLLOHOSP</v>
      </c>
      <c r="B19" s="50">
        <f>VLOOKUP($A19,'Data shares'!$C:$FB,7)</f>
        <v>7574.5</v>
      </c>
      <c r="C19" s="50">
        <f>VLOOKUP($A19,'Data shares'!$C:$FB,10)*100</f>
        <v>-1.43</v>
      </c>
      <c r="D19" s="49">
        <f>VLOOKUP($A19,'Data shares'!$C:$FB,66)</f>
        <v>2550375</v>
      </c>
      <c r="E19" s="49">
        <f>VLOOKUP($A19,'Data shares'!$C:$FB,67)</f>
        <v>2276250</v>
      </c>
      <c r="F19" s="50">
        <f>VLOOKUP($A19,'Data shares'!$C:$FB,69)*100</f>
        <v>12.04</v>
      </c>
      <c r="G19" s="49">
        <f>VLOOKUP($A19,'Data shares'!$C:$FB,42)</f>
        <v>483875</v>
      </c>
      <c r="H19" s="49">
        <f>VLOOKUP($A19,'Data shares'!$C:$FB,43)</f>
        <v>253000</v>
      </c>
      <c r="I19" s="50">
        <f>VLOOKUP($A19,'Data shares'!$C:$FB,45)*100</f>
        <v>91.25</v>
      </c>
      <c r="J19" s="49">
        <f>VLOOKUP($A19,'Data shares'!$C:$FB,58)</f>
        <v>1329500</v>
      </c>
      <c r="K19" s="49">
        <f>VLOOKUP($A19,'Data shares'!$C:$FB,59)</f>
        <v>1089750</v>
      </c>
      <c r="L19" s="50">
        <f>VLOOKUP($A19,'Data shares'!$C:$FB,61)*100</f>
        <v>22</v>
      </c>
      <c r="M19" s="49">
        <f>VLOOKUP($A19,'Data shares'!$C:$FB,62)</f>
        <v>737000</v>
      </c>
      <c r="N19" s="49">
        <f>VLOOKUP($A19,'Data shares'!$C:$FB,63)</f>
        <v>933500</v>
      </c>
      <c r="O19" s="140">
        <f>VLOOKUP($A19,'Data shares'!$C:$FB,65)*100</f>
        <v>-21.05</v>
      </c>
    </row>
    <row r="20" spans="1:15" x14ac:dyDescent="0.25">
      <c r="A20" s="101" t="str">
        <f>'Data Vlaue (Cr)'!C15</f>
        <v>ASHOKLEY</v>
      </c>
      <c r="B20" s="50">
        <f>VLOOKUP($A20,'Data shares'!$C:$FB,7)</f>
        <v>178.47</v>
      </c>
      <c r="C20" s="50">
        <f>VLOOKUP($A20,'Data shares'!$C:$FB,10)*100</f>
        <v>-3.35</v>
      </c>
      <c r="D20" s="49">
        <f>VLOOKUP($A20,'Data shares'!$C:$FB,66)</f>
        <v>281845000</v>
      </c>
      <c r="E20" s="49">
        <f>VLOOKUP($A20,'Data shares'!$C:$FB,67)</f>
        <v>170045000</v>
      </c>
      <c r="F20" s="50">
        <f>VLOOKUP($A20,'Data shares'!$C:$FB,69)*100</f>
        <v>65.75</v>
      </c>
      <c r="G20" s="49">
        <f>VLOOKUP($A20,'Data shares'!$C:$FB,42)</f>
        <v>59940000</v>
      </c>
      <c r="H20" s="49">
        <f>VLOOKUP($A20,'Data shares'!$C:$FB,43)</f>
        <v>39320000</v>
      </c>
      <c r="I20" s="50">
        <f>VLOOKUP($A20,'Data shares'!$C:$FB,45)*100</f>
        <v>52.44</v>
      </c>
      <c r="J20" s="49">
        <f>VLOOKUP($A20,'Data shares'!$C:$FB,58)</f>
        <v>132160000</v>
      </c>
      <c r="K20" s="49">
        <f>VLOOKUP($A20,'Data shares'!$C:$FB,59)</f>
        <v>80520000</v>
      </c>
      <c r="L20" s="50">
        <f>VLOOKUP($A20,'Data shares'!$C:$FB,61)*100</f>
        <v>64.13</v>
      </c>
      <c r="M20" s="49">
        <f>VLOOKUP($A20,'Data shares'!$C:$FB,62)</f>
        <v>89745000</v>
      </c>
      <c r="N20" s="49">
        <f>VLOOKUP($A20,'Data shares'!$C:$FB,63)</f>
        <v>50205000</v>
      </c>
      <c r="O20" s="140">
        <f>VLOOKUP($A20,'Data shares'!$C:$FB,65)*100</f>
        <v>78.759999999999991</v>
      </c>
    </row>
    <row r="21" spans="1:15" x14ac:dyDescent="0.25">
      <c r="A21" s="101" t="str">
        <f>'Data Vlaue (Cr)'!C16</f>
        <v>ASIANPAINT</v>
      </c>
      <c r="B21" s="50">
        <f>VLOOKUP($A21,'Data shares'!$C:$FB,7)</f>
        <v>2221.1999999999998</v>
      </c>
      <c r="C21" s="50">
        <f>VLOOKUP($A21,'Data shares'!$C:$FB,10)*100</f>
        <v>-0.48</v>
      </c>
      <c r="D21" s="49">
        <f>VLOOKUP($A21,'Data shares'!$C:$FB,66)</f>
        <v>10992750</v>
      </c>
      <c r="E21" s="49">
        <f>VLOOKUP($A21,'Data shares'!$C:$FB,67)</f>
        <v>10332500</v>
      </c>
      <c r="F21" s="50">
        <f>VLOOKUP($A21,'Data shares'!$C:$FB,69)*100</f>
        <v>6.39</v>
      </c>
      <c r="G21" s="49">
        <f>VLOOKUP($A21,'Data shares'!$C:$FB,42)</f>
        <v>1235000</v>
      </c>
      <c r="H21" s="49">
        <f>VLOOKUP($A21,'Data shares'!$C:$FB,43)</f>
        <v>1157250</v>
      </c>
      <c r="I21" s="50">
        <f>VLOOKUP($A21,'Data shares'!$C:$FB,45)*100</f>
        <v>6.72</v>
      </c>
      <c r="J21" s="49">
        <f>VLOOKUP($A21,'Data shares'!$C:$FB,58)</f>
        <v>4753750</v>
      </c>
      <c r="K21" s="49">
        <f>VLOOKUP($A21,'Data shares'!$C:$FB,59)</f>
        <v>4683000</v>
      </c>
      <c r="L21" s="50">
        <f>VLOOKUP($A21,'Data shares'!$C:$FB,61)*100</f>
        <v>1.51</v>
      </c>
      <c r="M21" s="49">
        <f>VLOOKUP($A21,'Data shares'!$C:$FB,62)</f>
        <v>5004000</v>
      </c>
      <c r="N21" s="49">
        <f>VLOOKUP($A21,'Data shares'!$C:$FB,63)</f>
        <v>4492250</v>
      </c>
      <c r="O21" s="140">
        <f>VLOOKUP($A21,'Data shares'!$C:$FB,65)*100</f>
        <v>11.39</v>
      </c>
    </row>
    <row r="22" spans="1:15" x14ac:dyDescent="0.25">
      <c r="A22" s="101" t="str">
        <f>'Data Vlaue (Cr)'!C17</f>
        <v>ASTRAL</v>
      </c>
      <c r="B22" s="50">
        <f>VLOOKUP($A22,'Data shares'!$C:$FB,7)</f>
        <v>1696</v>
      </c>
      <c r="C22" s="50">
        <f>VLOOKUP($A22,'Data shares'!$C:$FB,10)*100</f>
        <v>-2.88</v>
      </c>
      <c r="D22" s="49">
        <f>VLOOKUP($A22,'Data shares'!$C:$FB,66)</f>
        <v>23211800</v>
      </c>
      <c r="E22" s="49">
        <f>VLOOKUP($A22,'Data shares'!$C:$FB,67)</f>
        <v>37074450</v>
      </c>
      <c r="F22" s="50">
        <f>VLOOKUP($A22,'Data shares'!$C:$FB,69)*100</f>
        <v>-37.39</v>
      </c>
      <c r="G22" s="49">
        <f>VLOOKUP($A22,'Data shares'!$C:$FB,42)</f>
        <v>2857275</v>
      </c>
      <c r="H22" s="49">
        <f>VLOOKUP($A22,'Data shares'!$C:$FB,43)</f>
        <v>5341825</v>
      </c>
      <c r="I22" s="50">
        <f>VLOOKUP($A22,'Data shares'!$C:$FB,45)*100</f>
        <v>-46.51</v>
      </c>
      <c r="J22" s="49">
        <f>VLOOKUP($A22,'Data shares'!$C:$FB,58)</f>
        <v>11889375</v>
      </c>
      <c r="K22" s="49">
        <f>VLOOKUP($A22,'Data shares'!$C:$FB,59)</f>
        <v>25873150</v>
      </c>
      <c r="L22" s="50">
        <f>VLOOKUP($A22,'Data shares'!$C:$FB,61)*100</f>
        <v>-54.05</v>
      </c>
      <c r="M22" s="49">
        <f>VLOOKUP($A22,'Data shares'!$C:$FB,62)</f>
        <v>8465150</v>
      </c>
      <c r="N22" s="49">
        <f>VLOOKUP($A22,'Data shares'!$C:$FB,63)</f>
        <v>5859475</v>
      </c>
      <c r="O22" s="140">
        <f>VLOOKUP($A22,'Data shares'!$C:$FB,65)*100</f>
        <v>44.47</v>
      </c>
    </row>
    <row r="23" spans="1:15" x14ac:dyDescent="0.25">
      <c r="A23" s="101" t="str">
        <f>'Data Vlaue (Cr)'!C18</f>
        <v>AUBANK</v>
      </c>
      <c r="B23" s="50">
        <f>VLOOKUP($A23,'Data shares'!$C:$FB,7)</f>
        <v>902.2</v>
      </c>
      <c r="C23" s="50">
        <f>VLOOKUP($A23,'Data shares'!$C:$FB,10)*100</f>
        <v>-1.76</v>
      </c>
      <c r="D23" s="49">
        <f>VLOOKUP($A23,'Data shares'!$C:$FB,66)</f>
        <v>18837000</v>
      </c>
      <c r="E23" s="49">
        <f>VLOOKUP($A23,'Data shares'!$C:$FB,67)</f>
        <v>18857000</v>
      </c>
      <c r="F23" s="50">
        <f>VLOOKUP($A23,'Data shares'!$C:$FB,69)*100</f>
        <v>-0.11</v>
      </c>
      <c r="G23" s="49">
        <f>VLOOKUP($A23,'Data shares'!$C:$FB,42)</f>
        <v>4204000</v>
      </c>
      <c r="H23" s="49">
        <f>VLOOKUP($A23,'Data shares'!$C:$FB,43)</f>
        <v>3698000</v>
      </c>
      <c r="I23" s="50">
        <f>VLOOKUP($A23,'Data shares'!$C:$FB,45)*100</f>
        <v>13.68</v>
      </c>
      <c r="J23" s="49">
        <f>VLOOKUP($A23,'Data shares'!$C:$FB,58)</f>
        <v>8406000</v>
      </c>
      <c r="K23" s="49">
        <f>VLOOKUP($A23,'Data shares'!$C:$FB,59)</f>
        <v>8198000</v>
      </c>
      <c r="L23" s="50">
        <f>VLOOKUP($A23,'Data shares'!$C:$FB,61)*100</f>
        <v>2.54</v>
      </c>
      <c r="M23" s="49">
        <f>VLOOKUP($A23,'Data shares'!$C:$FB,62)</f>
        <v>6227000</v>
      </c>
      <c r="N23" s="49">
        <f>VLOOKUP($A23,'Data shares'!$C:$FB,63)</f>
        <v>6961000</v>
      </c>
      <c r="O23" s="140">
        <f>VLOOKUP($A23,'Data shares'!$C:$FB,65)*100</f>
        <v>-10.54</v>
      </c>
    </row>
    <row r="24" spans="1:15" x14ac:dyDescent="0.25">
      <c r="A24" s="101" t="str">
        <f>'Data Vlaue (Cr)'!C19</f>
        <v>AUROPHARMA</v>
      </c>
      <c r="B24" s="50">
        <f>VLOOKUP($A24,'Data shares'!$C:$FB,7)</f>
        <v>1311.9</v>
      </c>
      <c r="C24" s="50">
        <f>VLOOKUP($A24,'Data shares'!$C:$FB,10)*100</f>
        <v>0.54</v>
      </c>
      <c r="D24" s="49">
        <f>VLOOKUP($A24,'Data shares'!$C:$FB,66)</f>
        <v>23818300</v>
      </c>
      <c r="E24" s="49">
        <f>VLOOKUP($A24,'Data shares'!$C:$FB,67)</f>
        <v>25229600</v>
      </c>
      <c r="F24" s="50">
        <f>VLOOKUP($A24,'Data shares'!$C:$FB,69)*100</f>
        <v>-5.59</v>
      </c>
      <c r="G24" s="49">
        <f>VLOOKUP($A24,'Data shares'!$C:$FB,42)</f>
        <v>3731200</v>
      </c>
      <c r="H24" s="49">
        <f>VLOOKUP($A24,'Data shares'!$C:$FB,43)</f>
        <v>4076050</v>
      </c>
      <c r="I24" s="50">
        <f>VLOOKUP($A24,'Data shares'!$C:$FB,45)*100</f>
        <v>-8.4599999999999991</v>
      </c>
      <c r="J24" s="49">
        <f>VLOOKUP($A24,'Data shares'!$C:$FB,58)</f>
        <v>10954900</v>
      </c>
      <c r="K24" s="49">
        <f>VLOOKUP($A24,'Data shares'!$C:$FB,59)</f>
        <v>15452250</v>
      </c>
      <c r="L24" s="50">
        <f>VLOOKUP($A24,'Data shares'!$C:$FB,61)*100</f>
        <v>-29.099999999999998</v>
      </c>
      <c r="M24" s="49">
        <f>VLOOKUP($A24,'Data shares'!$C:$FB,62)</f>
        <v>9132200</v>
      </c>
      <c r="N24" s="49">
        <f>VLOOKUP($A24,'Data shares'!$C:$FB,63)</f>
        <v>5701300</v>
      </c>
      <c r="O24" s="140">
        <f>VLOOKUP($A24,'Data shares'!$C:$FB,65)*100</f>
        <v>60.18</v>
      </c>
    </row>
    <row r="25" spans="1:15" x14ac:dyDescent="0.25">
      <c r="A25" s="101" t="str">
        <f>'Data Vlaue (Cr)'!C20</f>
        <v>AXISBANK</v>
      </c>
      <c r="B25" s="50">
        <f>VLOOKUP($A25,'Data shares'!$C:$FB,7)</f>
        <v>1234.5</v>
      </c>
      <c r="C25" s="50">
        <f>VLOOKUP($A25,'Data shares'!$C:$FB,10)*100</f>
        <v>-1.7000000000000002</v>
      </c>
      <c r="D25" s="49">
        <f>VLOOKUP($A25,'Data shares'!$C:$FB,66)</f>
        <v>58237500</v>
      </c>
      <c r="E25" s="49">
        <f>VLOOKUP($A25,'Data shares'!$C:$FB,67)</f>
        <v>82796250</v>
      </c>
      <c r="F25" s="50">
        <f>VLOOKUP($A25,'Data shares'!$C:$FB,69)*100</f>
        <v>-29.659999999999997</v>
      </c>
      <c r="G25" s="49">
        <f>VLOOKUP($A25,'Data shares'!$C:$FB,42)</f>
        <v>10425625</v>
      </c>
      <c r="H25" s="49">
        <f>VLOOKUP($A25,'Data shares'!$C:$FB,43)</f>
        <v>18046250</v>
      </c>
      <c r="I25" s="50">
        <f>VLOOKUP($A25,'Data shares'!$C:$FB,45)*100</f>
        <v>-42.230000000000004</v>
      </c>
      <c r="J25" s="49">
        <f>VLOOKUP($A25,'Data shares'!$C:$FB,58)</f>
        <v>29014375</v>
      </c>
      <c r="K25" s="49">
        <f>VLOOKUP($A25,'Data shares'!$C:$FB,59)</f>
        <v>38641875</v>
      </c>
      <c r="L25" s="50">
        <f>VLOOKUP($A25,'Data shares'!$C:$FB,61)*100</f>
        <v>-24.91</v>
      </c>
      <c r="M25" s="49">
        <f>VLOOKUP($A25,'Data shares'!$C:$FB,62)</f>
        <v>18797500</v>
      </c>
      <c r="N25" s="49">
        <f>VLOOKUP($A25,'Data shares'!$C:$FB,63)</f>
        <v>26108125</v>
      </c>
      <c r="O25" s="140">
        <f>VLOOKUP($A25,'Data shares'!$C:$FB,65)*100</f>
        <v>-28.000000000000004</v>
      </c>
    </row>
    <row r="26" spans="1:15" x14ac:dyDescent="0.25">
      <c r="A26" s="101" t="str">
        <f>'Data Vlaue (Cr)'!C21</f>
        <v>BAJAJ-AUTO</v>
      </c>
      <c r="B26" s="50">
        <f>VLOOKUP($A26,'Data shares'!$C:$FB,7)</f>
        <v>9162</v>
      </c>
      <c r="C26" s="50">
        <f>VLOOKUP($A26,'Data shares'!$C:$FB,10)*100</f>
        <v>-1.77</v>
      </c>
      <c r="D26" s="49">
        <f>VLOOKUP($A26,'Data shares'!$C:$FB,66)</f>
        <v>4253625</v>
      </c>
      <c r="E26" s="49">
        <f>VLOOKUP($A26,'Data shares'!$C:$FB,67)</f>
        <v>5282325</v>
      </c>
      <c r="F26" s="50">
        <f>VLOOKUP($A26,'Data shares'!$C:$FB,69)*100</f>
        <v>-19.470000000000002</v>
      </c>
      <c r="G26" s="49">
        <f>VLOOKUP($A26,'Data shares'!$C:$FB,42)</f>
        <v>714825</v>
      </c>
      <c r="H26" s="49">
        <f>VLOOKUP($A26,'Data shares'!$C:$FB,43)</f>
        <v>676950</v>
      </c>
      <c r="I26" s="50">
        <f>VLOOKUP($A26,'Data shares'!$C:$FB,45)*100</f>
        <v>5.59</v>
      </c>
      <c r="J26" s="49">
        <f>VLOOKUP($A26,'Data shares'!$C:$FB,58)</f>
        <v>2075700</v>
      </c>
      <c r="K26" s="49">
        <f>VLOOKUP($A26,'Data shares'!$C:$FB,59)</f>
        <v>2596650</v>
      </c>
      <c r="L26" s="50">
        <f>VLOOKUP($A26,'Data shares'!$C:$FB,61)*100</f>
        <v>-20.059999999999999</v>
      </c>
      <c r="M26" s="49">
        <f>VLOOKUP($A26,'Data shares'!$C:$FB,62)</f>
        <v>1463100</v>
      </c>
      <c r="N26" s="49">
        <f>VLOOKUP($A26,'Data shares'!$C:$FB,63)</f>
        <v>2008725</v>
      </c>
      <c r="O26" s="140">
        <f>VLOOKUP($A26,'Data shares'!$C:$FB,65)*100</f>
        <v>-27.16</v>
      </c>
    </row>
    <row r="27" spans="1:15" x14ac:dyDescent="0.25">
      <c r="A27" s="101" t="str">
        <f>'Data Vlaue (Cr)'!C22</f>
        <v>BAJAJFINSV</v>
      </c>
      <c r="B27" s="50">
        <f>VLOOKUP($A27,'Data shares'!$C:$FB,7)</f>
        <v>1770.8</v>
      </c>
      <c r="C27" s="50">
        <f>VLOOKUP($A27,'Data shares'!$C:$FB,10)*100</f>
        <v>-1.3599999999999999</v>
      </c>
      <c r="D27" s="49">
        <f>VLOOKUP($A27,'Data shares'!$C:$FB,66)</f>
        <v>10086000</v>
      </c>
      <c r="E27" s="49">
        <f>VLOOKUP($A27,'Data shares'!$C:$FB,67)</f>
        <v>21768000</v>
      </c>
      <c r="F27" s="50">
        <f>VLOOKUP($A27,'Data shares'!$C:$FB,69)*100</f>
        <v>-53.669999999999995</v>
      </c>
      <c r="G27" s="49">
        <f>VLOOKUP($A27,'Data shares'!$C:$FB,42)</f>
        <v>1282750</v>
      </c>
      <c r="H27" s="49">
        <f>VLOOKUP($A27,'Data shares'!$C:$FB,43)</f>
        <v>1828500</v>
      </c>
      <c r="I27" s="50">
        <f>VLOOKUP($A27,'Data shares'!$C:$FB,45)*100</f>
        <v>-29.849999999999998</v>
      </c>
      <c r="J27" s="49">
        <f>VLOOKUP($A27,'Data shares'!$C:$FB,58)</f>
        <v>5872750</v>
      </c>
      <c r="K27" s="49">
        <f>VLOOKUP($A27,'Data shares'!$C:$FB,59)</f>
        <v>12860750</v>
      </c>
      <c r="L27" s="50">
        <f>VLOOKUP($A27,'Data shares'!$C:$FB,61)*100</f>
        <v>-54.339999999999996</v>
      </c>
      <c r="M27" s="49">
        <f>VLOOKUP($A27,'Data shares'!$C:$FB,62)</f>
        <v>2930500</v>
      </c>
      <c r="N27" s="49">
        <f>VLOOKUP($A27,'Data shares'!$C:$FB,63)</f>
        <v>7078750</v>
      </c>
      <c r="O27" s="140">
        <f>VLOOKUP($A27,'Data shares'!$C:$FB,65)*100</f>
        <v>-58.599999999999994</v>
      </c>
    </row>
    <row r="28" spans="1:15" x14ac:dyDescent="0.25">
      <c r="A28" s="101" t="str">
        <f>'Data Vlaue (Cr)'!C23</f>
        <v>BAJAJHLDNG</v>
      </c>
      <c r="B28" s="50">
        <f>VLOOKUP($A28,'Data shares'!$C:$FB,7)</f>
        <v>9789</v>
      </c>
      <c r="C28" s="50">
        <f>VLOOKUP($A28,'Data shares'!$C:$FB,10)*100</f>
        <v>-3.81</v>
      </c>
      <c r="D28" s="49">
        <f>VLOOKUP($A28,'Data shares'!$C:$FB,66)</f>
        <v>230750</v>
      </c>
      <c r="E28" s="49">
        <f>VLOOKUP($A28,'Data shares'!$C:$FB,67)</f>
        <v>164900</v>
      </c>
      <c r="F28" s="50">
        <f>VLOOKUP($A28,'Data shares'!$C:$FB,69)*100</f>
        <v>39.93</v>
      </c>
      <c r="G28" s="49">
        <f>VLOOKUP($A28,'Data shares'!$C:$FB,42)</f>
        <v>45600</v>
      </c>
      <c r="H28" s="49">
        <f>VLOOKUP($A28,'Data shares'!$C:$FB,43)</f>
        <v>49350</v>
      </c>
      <c r="I28" s="50">
        <f>VLOOKUP($A28,'Data shares'!$C:$FB,45)*100</f>
        <v>-7.6</v>
      </c>
      <c r="J28" s="49">
        <f>VLOOKUP($A28,'Data shares'!$C:$FB,58)</f>
        <v>110300</v>
      </c>
      <c r="K28" s="49">
        <f>VLOOKUP($A28,'Data shares'!$C:$FB,59)</f>
        <v>82100</v>
      </c>
      <c r="L28" s="50">
        <f>VLOOKUP($A28,'Data shares'!$C:$FB,61)*100</f>
        <v>34.35</v>
      </c>
      <c r="M28" s="49">
        <f>VLOOKUP($A28,'Data shares'!$C:$FB,62)</f>
        <v>74850</v>
      </c>
      <c r="N28" s="49">
        <f>VLOOKUP($A28,'Data shares'!$C:$FB,63)</f>
        <v>33450</v>
      </c>
      <c r="O28" s="140">
        <f>VLOOKUP($A28,'Data shares'!$C:$FB,65)*100</f>
        <v>123.77</v>
      </c>
    </row>
    <row r="29" spans="1:15" x14ac:dyDescent="0.25">
      <c r="A29" s="101" t="str">
        <f>'Data Vlaue (Cr)'!C24</f>
        <v>BAJFINANCE</v>
      </c>
      <c r="B29" s="50">
        <f>VLOOKUP($A29,'Data shares'!$C:$FB,7)</f>
        <v>863.1</v>
      </c>
      <c r="C29" s="50">
        <f>VLOOKUP($A29,'Data shares'!$C:$FB,10)*100</f>
        <v>-3.42</v>
      </c>
      <c r="D29" s="49">
        <f>VLOOKUP($A29,'Data shares'!$C:$FB,66)</f>
        <v>70390500</v>
      </c>
      <c r="E29" s="49">
        <f>VLOOKUP($A29,'Data shares'!$C:$FB,67)</f>
        <v>78612750</v>
      </c>
      <c r="F29" s="50">
        <f>VLOOKUP($A29,'Data shares'!$C:$FB,69)*100</f>
        <v>-10.459999999999999</v>
      </c>
      <c r="G29" s="49">
        <f>VLOOKUP($A29,'Data shares'!$C:$FB,42)</f>
        <v>13215000</v>
      </c>
      <c r="H29" s="49">
        <f>VLOOKUP($A29,'Data shares'!$C:$FB,43)</f>
        <v>12489000</v>
      </c>
      <c r="I29" s="50">
        <f>VLOOKUP($A29,'Data shares'!$C:$FB,45)*100</f>
        <v>5.81</v>
      </c>
      <c r="J29" s="49">
        <f>VLOOKUP($A29,'Data shares'!$C:$FB,58)</f>
        <v>31918500</v>
      </c>
      <c r="K29" s="49">
        <f>VLOOKUP($A29,'Data shares'!$C:$FB,59)</f>
        <v>32826750</v>
      </c>
      <c r="L29" s="50">
        <f>VLOOKUP($A29,'Data shares'!$C:$FB,61)*100</f>
        <v>-2.77</v>
      </c>
      <c r="M29" s="49">
        <f>VLOOKUP($A29,'Data shares'!$C:$FB,62)</f>
        <v>25257000</v>
      </c>
      <c r="N29" s="49">
        <f>VLOOKUP($A29,'Data shares'!$C:$FB,63)</f>
        <v>33297000</v>
      </c>
      <c r="O29" s="140">
        <f>VLOOKUP($A29,'Data shares'!$C:$FB,65)*100</f>
        <v>-24.15</v>
      </c>
    </row>
    <row r="30" spans="1:15" x14ac:dyDescent="0.25">
      <c r="A30" s="101" t="str">
        <f>'Data Vlaue (Cr)'!C25</f>
        <v>BANDHANBNK</v>
      </c>
      <c r="B30" s="50">
        <f>VLOOKUP($A30,'Data shares'!$C:$FB,7)</f>
        <v>178.01</v>
      </c>
      <c r="C30" s="50">
        <f>VLOOKUP($A30,'Data shares'!$C:$FB,10)*100</f>
        <v>-2.44</v>
      </c>
      <c r="D30" s="49">
        <f>VLOOKUP($A30,'Data shares'!$C:$FB,66)</f>
        <v>42066000</v>
      </c>
      <c r="E30" s="49">
        <f>VLOOKUP($A30,'Data shares'!$C:$FB,67)</f>
        <v>55306800</v>
      </c>
      <c r="F30" s="50">
        <f>VLOOKUP($A30,'Data shares'!$C:$FB,69)*100</f>
        <v>-23.94</v>
      </c>
      <c r="G30" s="49">
        <f>VLOOKUP($A30,'Data shares'!$C:$FB,42)</f>
        <v>14655600</v>
      </c>
      <c r="H30" s="49">
        <f>VLOOKUP($A30,'Data shares'!$C:$FB,43)</f>
        <v>17172000</v>
      </c>
      <c r="I30" s="50">
        <f>VLOOKUP($A30,'Data shares'!$C:$FB,45)*100</f>
        <v>-14.649999999999999</v>
      </c>
      <c r="J30" s="49">
        <f>VLOOKUP($A30,'Data shares'!$C:$FB,58)</f>
        <v>17542800</v>
      </c>
      <c r="K30" s="49">
        <f>VLOOKUP($A30,'Data shares'!$C:$FB,59)</f>
        <v>26341200</v>
      </c>
      <c r="L30" s="50">
        <f>VLOOKUP($A30,'Data shares'!$C:$FB,61)*100</f>
        <v>-33.4</v>
      </c>
      <c r="M30" s="49">
        <f>VLOOKUP($A30,'Data shares'!$C:$FB,62)</f>
        <v>9867600</v>
      </c>
      <c r="N30" s="49">
        <f>VLOOKUP($A30,'Data shares'!$C:$FB,63)</f>
        <v>11793600</v>
      </c>
      <c r="O30" s="140">
        <f>VLOOKUP($A30,'Data shares'!$C:$FB,65)*100</f>
        <v>-16.329999999999998</v>
      </c>
    </row>
    <row r="31" spans="1:15" x14ac:dyDescent="0.25">
      <c r="A31" s="101" t="str">
        <f>'Data Vlaue (Cr)'!C26</f>
        <v>BANKBARODA</v>
      </c>
      <c r="B31" s="50">
        <f>VLOOKUP($A31,'Data shares'!$C:$FB,7)</f>
        <v>289.2</v>
      </c>
      <c r="C31" s="50">
        <f>VLOOKUP($A31,'Data shares'!$C:$FB,10)*100</f>
        <v>-0.03</v>
      </c>
      <c r="D31" s="49">
        <f>VLOOKUP($A31,'Data shares'!$C:$FB,66)</f>
        <v>80276625</v>
      </c>
      <c r="E31" s="49">
        <f>VLOOKUP($A31,'Data shares'!$C:$FB,67)</f>
        <v>60333975</v>
      </c>
      <c r="F31" s="50">
        <f>VLOOKUP($A31,'Data shares'!$C:$FB,69)*100</f>
        <v>33.050000000000004</v>
      </c>
      <c r="G31" s="49">
        <f>VLOOKUP($A31,'Data shares'!$C:$FB,42)</f>
        <v>16517475</v>
      </c>
      <c r="H31" s="49">
        <f>VLOOKUP($A31,'Data shares'!$C:$FB,43)</f>
        <v>15900300</v>
      </c>
      <c r="I31" s="50">
        <f>VLOOKUP($A31,'Data shares'!$C:$FB,45)*100</f>
        <v>3.88</v>
      </c>
      <c r="J31" s="49">
        <f>VLOOKUP($A31,'Data shares'!$C:$FB,58)</f>
        <v>37337625</v>
      </c>
      <c r="K31" s="49">
        <f>VLOOKUP($A31,'Data shares'!$C:$FB,59)</f>
        <v>24049350</v>
      </c>
      <c r="L31" s="50">
        <f>VLOOKUP($A31,'Data shares'!$C:$FB,61)*100</f>
        <v>55.25</v>
      </c>
      <c r="M31" s="49">
        <f>VLOOKUP($A31,'Data shares'!$C:$FB,62)</f>
        <v>26421525</v>
      </c>
      <c r="N31" s="49">
        <f>VLOOKUP($A31,'Data shares'!$C:$FB,63)</f>
        <v>20384325</v>
      </c>
      <c r="O31" s="140">
        <f>VLOOKUP($A31,'Data shares'!$C:$FB,65)*100</f>
        <v>29.62</v>
      </c>
    </row>
    <row r="32" spans="1:15" x14ac:dyDescent="0.25">
      <c r="A32" s="101" t="str">
        <f>'Data Vlaue (Cr)'!C27</f>
        <v>BANKINDIA</v>
      </c>
      <c r="B32" s="50">
        <f>VLOOKUP($A32,'Data shares'!$C:$FB,7)</f>
        <v>154.78</v>
      </c>
      <c r="C32" s="50">
        <f>VLOOKUP($A32,'Data shares'!$C:$FB,10)*100</f>
        <v>0.31</v>
      </c>
      <c r="D32" s="49">
        <f>VLOOKUP($A32,'Data shares'!$C:$FB,66)</f>
        <v>30524000</v>
      </c>
      <c r="E32" s="49">
        <f>VLOOKUP($A32,'Data shares'!$C:$FB,67)</f>
        <v>28048800</v>
      </c>
      <c r="F32" s="50">
        <f>VLOOKUP($A32,'Data shares'!$C:$FB,69)*100</f>
        <v>8.82</v>
      </c>
      <c r="G32" s="49">
        <f>VLOOKUP($A32,'Data shares'!$C:$FB,42)</f>
        <v>10592400</v>
      </c>
      <c r="H32" s="49">
        <f>VLOOKUP($A32,'Data shares'!$C:$FB,43)</f>
        <v>12958400</v>
      </c>
      <c r="I32" s="50">
        <f>VLOOKUP($A32,'Data shares'!$C:$FB,45)*100</f>
        <v>-18.260000000000002</v>
      </c>
      <c r="J32" s="49">
        <f>VLOOKUP($A32,'Data shares'!$C:$FB,58)</f>
        <v>12974000</v>
      </c>
      <c r="K32" s="49">
        <f>VLOOKUP($A32,'Data shares'!$C:$FB,59)</f>
        <v>9094800</v>
      </c>
      <c r="L32" s="50">
        <f>VLOOKUP($A32,'Data shares'!$C:$FB,61)*100</f>
        <v>42.65</v>
      </c>
      <c r="M32" s="49">
        <f>VLOOKUP($A32,'Data shares'!$C:$FB,62)</f>
        <v>6957600</v>
      </c>
      <c r="N32" s="49">
        <f>VLOOKUP($A32,'Data shares'!$C:$FB,63)</f>
        <v>5995600</v>
      </c>
      <c r="O32" s="140">
        <f>VLOOKUP($A32,'Data shares'!$C:$FB,65)*100</f>
        <v>16.05</v>
      </c>
    </row>
    <row r="33" spans="1:15" x14ac:dyDescent="0.25">
      <c r="A33" s="101" t="str">
        <f>'Data Vlaue (Cr)'!C28</f>
        <v>BANKNIFTY</v>
      </c>
      <c r="B33" s="50">
        <f>VLOOKUP($A33,'Data shares'!$C:$FB,7)</f>
        <v>55100.95</v>
      </c>
      <c r="C33" s="50">
        <f>VLOOKUP($A33,'Data shares'!$C:$FB,10)*100</f>
        <v>-1.1400000000000001</v>
      </c>
      <c r="D33" s="49">
        <f>VLOOKUP($A33,'Data shares'!$C:$FB,66)</f>
        <v>76946940</v>
      </c>
      <c r="E33" s="49">
        <f>VLOOKUP($A33,'Data shares'!$C:$FB,67)</f>
        <v>76407210</v>
      </c>
      <c r="F33" s="50">
        <f>VLOOKUP($A33,'Data shares'!$C:$FB,69)*100</f>
        <v>0.71000000000000008</v>
      </c>
      <c r="G33" s="49">
        <f>VLOOKUP($A33,'Data shares'!$C:$FB,42)</f>
        <v>1721160</v>
      </c>
      <c r="H33" s="49">
        <f>VLOOKUP($A33,'Data shares'!$C:$FB,43)</f>
        <v>1763820</v>
      </c>
      <c r="I33" s="50">
        <f>VLOOKUP($A33,'Data shares'!$C:$FB,45)*100</f>
        <v>-2.42</v>
      </c>
      <c r="J33" s="49">
        <f>VLOOKUP($A33,'Data shares'!$C:$FB,58)</f>
        <v>43614810</v>
      </c>
      <c r="K33" s="49">
        <f>VLOOKUP($A33,'Data shares'!$C:$FB,59)</f>
        <v>40000980</v>
      </c>
      <c r="L33" s="50">
        <f>VLOOKUP($A33,'Data shares'!$C:$FB,61)*100</f>
        <v>9.0300000000000011</v>
      </c>
      <c r="M33" s="49">
        <f>VLOOKUP($A33,'Data shares'!$C:$FB,62)</f>
        <v>31610970</v>
      </c>
      <c r="N33" s="49">
        <f>VLOOKUP($A33,'Data shares'!$C:$FB,63)</f>
        <v>34642410</v>
      </c>
      <c r="O33" s="140">
        <f>VLOOKUP($A33,'Data shares'!$C:$FB,65)*100</f>
        <v>-8.75</v>
      </c>
    </row>
    <row r="34" spans="1:15" x14ac:dyDescent="0.25">
      <c r="A34" s="101" t="str">
        <f>'Data Vlaue (Cr)'!C29</f>
        <v>BDL</v>
      </c>
      <c r="B34" s="50">
        <f>VLOOKUP($A34,'Data shares'!$C:$FB,7)</f>
        <v>1349.4</v>
      </c>
      <c r="C34" s="50">
        <f>VLOOKUP($A34,'Data shares'!$C:$FB,10)*100</f>
        <v>-0.77999999999999992</v>
      </c>
      <c r="D34" s="49">
        <f>VLOOKUP($A34,'Data shares'!$C:$FB,66)</f>
        <v>5703950</v>
      </c>
      <c r="E34" s="49">
        <f>VLOOKUP($A34,'Data shares'!$C:$FB,67)</f>
        <v>11606700</v>
      </c>
      <c r="F34" s="50">
        <f>VLOOKUP($A34,'Data shares'!$C:$FB,69)*100</f>
        <v>-50.860000000000007</v>
      </c>
      <c r="G34" s="49">
        <f>VLOOKUP($A34,'Data shares'!$C:$FB,42)</f>
        <v>1000650</v>
      </c>
      <c r="H34" s="49">
        <f>VLOOKUP($A34,'Data shares'!$C:$FB,43)</f>
        <v>2331350</v>
      </c>
      <c r="I34" s="50">
        <f>VLOOKUP($A34,'Data shares'!$C:$FB,45)*100</f>
        <v>-57.08</v>
      </c>
      <c r="J34" s="49">
        <f>VLOOKUP($A34,'Data shares'!$C:$FB,58)</f>
        <v>3351250</v>
      </c>
      <c r="K34" s="49">
        <f>VLOOKUP($A34,'Data shares'!$C:$FB,59)</f>
        <v>6723850</v>
      </c>
      <c r="L34" s="50">
        <f>VLOOKUP($A34,'Data shares'!$C:$FB,61)*100</f>
        <v>-50.160000000000004</v>
      </c>
      <c r="M34" s="49">
        <f>VLOOKUP($A34,'Data shares'!$C:$FB,62)</f>
        <v>1352050</v>
      </c>
      <c r="N34" s="49">
        <f>VLOOKUP($A34,'Data shares'!$C:$FB,63)</f>
        <v>2551500</v>
      </c>
      <c r="O34" s="140">
        <f>VLOOKUP($A34,'Data shares'!$C:$FB,65)*100</f>
        <v>-47.010000000000005</v>
      </c>
    </row>
    <row r="35" spans="1:15" x14ac:dyDescent="0.25">
      <c r="A35" s="101" t="str">
        <f>'Data Vlaue (Cr)'!C30</f>
        <v>BEL</v>
      </c>
      <c r="B35" s="50">
        <f>VLOOKUP($A35,'Data shares'!$C:$FB,7)</f>
        <v>453.55</v>
      </c>
      <c r="C35" s="50">
        <f>VLOOKUP($A35,'Data shares'!$C:$FB,10)*100</f>
        <v>-0.12</v>
      </c>
      <c r="D35" s="49">
        <f>VLOOKUP($A35,'Data shares'!$C:$FB,66)</f>
        <v>104707575</v>
      </c>
      <c r="E35" s="49">
        <f>VLOOKUP($A35,'Data shares'!$C:$FB,67)</f>
        <v>111211275</v>
      </c>
      <c r="F35" s="50">
        <f>VLOOKUP($A35,'Data shares'!$C:$FB,69)*100</f>
        <v>-5.8500000000000005</v>
      </c>
      <c r="G35" s="49">
        <f>VLOOKUP($A35,'Data shares'!$C:$FB,42)</f>
        <v>17400675</v>
      </c>
      <c r="H35" s="49">
        <f>VLOOKUP($A35,'Data shares'!$C:$FB,43)</f>
        <v>17523225</v>
      </c>
      <c r="I35" s="50">
        <f>VLOOKUP($A35,'Data shares'!$C:$FB,45)*100</f>
        <v>-0.70000000000000007</v>
      </c>
      <c r="J35" s="49">
        <f>VLOOKUP($A35,'Data shares'!$C:$FB,58)</f>
        <v>56166375</v>
      </c>
      <c r="K35" s="49">
        <f>VLOOKUP($A35,'Data shares'!$C:$FB,59)</f>
        <v>57461700</v>
      </c>
      <c r="L35" s="50">
        <f>VLOOKUP($A35,'Data shares'!$C:$FB,61)*100</f>
        <v>-2.25</v>
      </c>
      <c r="M35" s="49">
        <f>VLOOKUP($A35,'Data shares'!$C:$FB,62)</f>
        <v>31140525</v>
      </c>
      <c r="N35" s="49">
        <f>VLOOKUP($A35,'Data shares'!$C:$FB,63)</f>
        <v>36226350</v>
      </c>
      <c r="O35" s="140">
        <f>VLOOKUP($A35,'Data shares'!$C:$FB,65)*100</f>
        <v>-14.04</v>
      </c>
    </row>
    <row r="36" spans="1:15" x14ac:dyDescent="0.25">
      <c r="A36" s="101" t="str">
        <f>'Data Vlaue (Cr)'!C31</f>
        <v>BHARATFORG</v>
      </c>
      <c r="B36" s="50">
        <f>VLOOKUP($A36,'Data shares'!$C:$FB,7)</f>
        <v>1779.6</v>
      </c>
      <c r="C36" s="50">
        <f>VLOOKUP($A36,'Data shares'!$C:$FB,10)*100</f>
        <v>-0.97</v>
      </c>
      <c r="D36" s="49">
        <f>VLOOKUP($A36,'Data shares'!$C:$FB,66)</f>
        <v>19604000</v>
      </c>
      <c r="E36" s="49">
        <f>VLOOKUP($A36,'Data shares'!$C:$FB,67)</f>
        <v>9371500</v>
      </c>
      <c r="F36" s="50">
        <f>VLOOKUP($A36,'Data shares'!$C:$FB,69)*100</f>
        <v>109.19000000000001</v>
      </c>
      <c r="G36" s="49">
        <f>VLOOKUP($A36,'Data shares'!$C:$FB,42)</f>
        <v>3597500</v>
      </c>
      <c r="H36" s="49">
        <f>VLOOKUP($A36,'Data shares'!$C:$FB,43)</f>
        <v>2004000</v>
      </c>
      <c r="I36" s="50">
        <f>VLOOKUP($A36,'Data shares'!$C:$FB,45)*100</f>
        <v>79.52</v>
      </c>
      <c r="J36" s="49">
        <f>VLOOKUP($A36,'Data shares'!$C:$FB,58)</f>
        <v>9129500</v>
      </c>
      <c r="K36" s="49">
        <f>VLOOKUP($A36,'Data shares'!$C:$FB,59)</f>
        <v>3782000</v>
      </c>
      <c r="L36" s="50">
        <f>VLOOKUP($A36,'Data shares'!$C:$FB,61)*100</f>
        <v>141.38999999999999</v>
      </c>
      <c r="M36" s="49">
        <f>VLOOKUP($A36,'Data shares'!$C:$FB,62)</f>
        <v>6877000</v>
      </c>
      <c r="N36" s="49">
        <f>VLOOKUP($A36,'Data shares'!$C:$FB,63)</f>
        <v>3585500</v>
      </c>
      <c r="O36" s="140">
        <f>VLOOKUP($A36,'Data shares'!$C:$FB,65)*100</f>
        <v>91.8</v>
      </c>
    </row>
    <row r="37" spans="1:15" x14ac:dyDescent="0.25">
      <c r="A37" s="101" t="str">
        <f>'Data Vlaue (Cr)'!C32</f>
        <v>BHARTIARTL</v>
      </c>
      <c r="B37" s="50">
        <f>VLOOKUP($A37,'Data shares'!$C:$FB,7)</f>
        <v>1801.3</v>
      </c>
      <c r="C37" s="50">
        <f>VLOOKUP($A37,'Data shares'!$C:$FB,10)*100</f>
        <v>-0.32</v>
      </c>
      <c r="D37" s="49">
        <f>VLOOKUP($A37,'Data shares'!$C:$FB,66)</f>
        <v>39201275</v>
      </c>
      <c r="E37" s="49">
        <f>VLOOKUP($A37,'Data shares'!$C:$FB,67)</f>
        <v>59350300</v>
      </c>
      <c r="F37" s="50">
        <f>VLOOKUP($A37,'Data shares'!$C:$FB,69)*100</f>
        <v>-33.950000000000003</v>
      </c>
      <c r="G37" s="49">
        <f>VLOOKUP($A37,'Data shares'!$C:$FB,42)</f>
        <v>6688000</v>
      </c>
      <c r="H37" s="49">
        <f>VLOOKUP($A37,'Data shares'!$C:$FB,43)</f>
        <v>8639775</v>
      </c>
      <c r="I37" s="50">
        <f>VLOOKUP($A37,'Data shares'!$C:$FB,45)*100</f>
        <v>-22.59</v>
      </c>
      <c r="J37" s="49">
        <f>VLOOKUP($A37,'Data shares'!$C:$FB,58)</f>
        <v>21410150</v>
      </c>
      <c r="K37" s="49">
        <f>VLOOKUP($A37,'Data shares'!$C:$FB,59)</f>
        <v>31673950</v>
      </c>
      <c r="L37" s="50">
        <f>VLOOKUP($A37,'Data shares'!$C:$FB,61)*100</f>
        <v>-32.4</v>
      </c>
      <c r="M37" s="49">
        <f>VLOOKUP($A37,'Data shares'!$C:$FB,62)</f>
        <v>11103125</v>
      </c>
      <c r="N37" s="49">
        <f>VLOOKUP($A37,'Data shares'!$C:$FB,63)</f>
        <v>19036575</v>
      </c>
      <c r="O37" s="140">
        <f>VLOOKUP($A37,'Data shares'!$C:$FB,65)*100</f>
        <v>-41.67</v>
      </c>
    </row>
    <row r="38" spans="1:15" x14ac:dyDescent="0.25">
      <c r="A38" s="101" t="str">
        <f>'Data Vlaue (Cr)'!C33</f>
        <v>BHEL</v>
      </c>
      <c r="B38" s="50">
        <f>VLOOKUP($A38,'Data shares'!$C:$FB,7)</f>
        <v>267.85000000000002</v>
      </c>
      <c r="C38" s="50">
        <f>VLOOKUP($A38,'Data shares'!$C:$FB,10)*100</f>
        <v>4.7300000000000004</v>
      </c>
      <c r="D38" s="49">
        <f>VLOOKUP($A38,'Data shares'!$C:$FB,66)</f>
        <v>185059875</v>
      </c>
      <c r="E38" s="49">
        <f>VLOOKUP($A38,'Data shares'!$C:$FB,67)</f>
        <v>76345500</v>
      </c>
      <c r="F38" s="50">
        <f>VLOOKUP($A38,'Data shares'!$C:$FB,69)*100</f>
        <v>142.4</v>
      </c>
      <c r="G38" s="49">
        <f>VLOOKUP($A38,'Data shares'!$C:$FB,42)</f>
        <v>33649875</v>
      </c>
      <c r="H38" s="49">
        <f>VLOOKUP($A38,'Data shares'!$C:$FB,43)</f>
        <v>13726125</v>
      </c>
      <c r="I38" s="50">
        <f>VLOOKUP($A38,'Data shares'!$C:$FB,45)*100</f>
        <v>145.15</v>
      </c>
      <c r="J38" s="49">
        <f>VLOOKUP($A38,'Data shares'!$C:$FB,58)</f>
        <v>100259250</v>
      </c>
      <c r="K38" s="49">
        <f>VLOOKUP($A38,'Data shares'!$C:$FB,59)</f>
        <v>35631750</v>
      </c>
      <c r="L38" s="50">
        <f>VLOOKUP($A38,'Data shares'!$C:$FB,61)*100</f>
        <v>181.38</v>
      </c>
      <c r="M38" s="49">
        <f>VLOOKUP($A38,'Data shares'!$C:$FB,62)</f>
        <v>51150750</v>
      </c>
      <c r="N38" s="49">
        <f>VLOOKUP($A38,'Data shares'!$C:$FB,63)</f>
        <v>26987625</v>
      </c>
      <c r="O38" s="140">
        <f>VLOOKUP($A38,'Data shares'!$C:$FB,65)*100</f>
        <v>89.53</v>
      </c>
    </row>
    <row r="39" spans="1:15" x14ac:dyDescent="0.25">
      <c r="A39" s="101" t="str">
        <f>'Data Vlaue (Cr)'!C34</f>
        <v>BIOCON</v>
      </c>
      <c r="B39" s="50">
        <f>VLOOKUP($A39,'Data shares'!$C:$FB,7)</f>
        <v>392.2</v>
      </c>
      <c r="C39" s="50">
        <f>VLOOKUP($A39,'Data shares'!$C:$FB,10)*100</f>
        <v>-0.8</v>
      </c>
      <c r="D39" s="49">
        <f>VLOOKUP($A39,'Data shares'!$C:$FB,66)</f>
        <v>43407500</v>
      </c>
      <c r="E39" s="49">
        <f>VLOOKUP($A39,'Data shares'!$C:$FB,67)</f>
        <v>68160000</v>
      </c>
      <c r="F39" s="50">
        <f>VLOOKUP($A39,'Data shares'!$C:$FB,69)*100</f>
        <v>-36.32</v>
      </c>
      <c r="G39" s="49">
        <f>VLOOKUP($A39,'Data shares'!$C:$FB,42)</f>
        <v>7477500</v>
      </c>
      <c r="H39" s="49">
        <f>VLOOKUP($A39,'Data shares'!$C:$FB,43)</f>
        <v>9450000</v>
      </c>
      <c r="I39" s="50">
        <f>VLOOKUP($A39,'Data shares'!$C:$FB,45)*100</f>
        <v>-20.87</v>
      </c>
      <c r="J39" s="49">
        <f>VLOOKUP($A39,'Data shares'!$C:$FB,58)</f>
        <v>23447500</v>
      </c>
      <c r="K39" s="49">
        <f>VLOOKUP($A39,'Data shares'!$C:$FB,59)</f>
        <v>44565000</v>
      </c>
      <c r="L39" s="50">
        <f>VLOOKUP($A39,'Data shares'!$C:$FB,61)*100</f>
        <v>-47.39</v>
      </c>
      <c r="M39" s="49">
        <f>VLOOKUP($A39,'Data shares'!$C:$FB,62)</f>
        <v>12482500</v>
      </c>
      <c r="N39" s="49">
        <f>VLOOKUP($A39,'Data shares'!$C:$FB,63)</f>
        <v>14145000</v>
      </c>
      <c r="O39" s="140">
        <f>VLOOKUP($A39,'Data shares'!$C:$FB,65)*100</f>
        <v>-11.75</v>
      </c>
    </row>
    <row r="40" spans="1:15" x14ac:dyDescent="0.25">
      <c r="A40" s="101" t="str">
        <f>'Data Vlaue (Cr)'!C35</f>
        <v>BLUESTARCO</v>
      </c>
      <c r="B40" s="50">
        <f>VLOOKUP($A40,'Data shares'!$C:$FB,7)</f>
        <v>1953.5</v>
      </c>
      <c r="C40" s="50">
        <f>VLOOKUP($A40,'Data shares'!$C:$FB,10)*100</f>
        <v>0.64</v>
      </c>
      <c r="D40" s="49">
        <f>VLOOKUP($A40,'Data shares'!$C:$FB,66)</f>
        <v>4181125</v>
      </c>
      <c r="E40" s="49">
        <f>VLOOKUP($A40,'Data shares'!$C:$FB,67)</f>
        <v>11037000</v>
      </c>
      <c r="F40" s="50">
        <f>VLOOKUP($A40,'Data shares'!$C:$FB,69)*100</f>
        <v>-62.12</v>
      </c>
      <c r="G40" s="49">
        <f>VLOOKUP($A40,'Data shares'!$C:$FB,42)</f>
        <v>1274975</v>
      </c>
      <c r="H40" s="49">
        <f>VLOOKUP($A40,'Data shares'!$C:$FB,43)</f>
        <v>1414400</v>
      </c>
      <c r="I40" s="50">
        <f>VLOOKUP($A40,'Data shares'!$C:$FB,45)*100</f>
        <v>-9.86</v>
      </c>
      <c r="J40" s="49">
        <f>VLOOKUP($A40,'Data shares'!$C:$FB,58)</f>
        <v>2430350</v>
      </c>
      <c r="K40" s="49">
        <f>VLOOKUP($A40,'Data shares'!$C:$FB,59)</f>
        <v>8068125</v>
      </c>
      <c r="L40" s="50">
        <f>VLOOKUP($A40,'Data shares'!$C:$FB,61)*100</f>
        <v>-69.88</v>
      </c>
      <c r="M40" s="49">
        <f>VLOOKUP($A40,'Data shares'!$C:$FB,62)</f>
        <v>475800</v>
      </c>
      <c r="N40" s="49">
        <f>VLOOKUP($A40,'Data shares'!$C:$FB,63)</f>
        <v>1554475</v>
      </c>
      <c r="O40" s="140">
        <f>VLOOKUP($A40,'Data shares'!$C:$FB,65)*100</f>
        <v>-69.39</v>
      </c>
    </row>
    <row r="41" spans="1:15" x14ac:dyDescent="0.25">
      <c r="A41" s="101" t="str">
        <f>'Data Vlaue (Cr)'!C36</f>
        <v>BOSCHLTD</v>
      </c>
      <c r="B41" s="50">
        <f>VLOOKUP($A41,'Data shares'!$C:$FB,7)</f>
        <v>31305</v>
      </c>
      <c r="C41" s="50">
        <f>VLOOKUP($A41,'Data shares'!$C:$FB,10)*100</f>
        <v>-1.29</v>
      </c>
      <c r="D41" s="49">
        <f>VLOOKUP($A41,'Data shares'!$C:$FB,66)</f>
        <v>198800</v>
      </c>
      <c r="E41" s="49">
        <f>VLOOKUP($A41,'Data shares'!$C:$FB,67)</f>
        <v>406875</v>
      </c>
      <c r="F41" s="50">
        <f>VLOOKUP($A41,'Data shares'!$C:$FB,69)*100</f>
        <v>-51.139999999999993</v>
      </c>
      <c r="G41" s="49">
        <f>VLOOKUP($A41,'Data shares'!$C:$FB,42)</f>
        <v>40400</v>
      </c>
      <c r="H41" s="49">
        <f>VLOOKUP($A41,'Data shares'!$C:$FB,43)</f>
        <v>34450</v>
      </c>
      <c r="I41" s="50">
        <f>VLOOKUP($A41,'Data shares'!$C:$FB,45)*100</f>
        <v>17.27</v>
      </c>
      <c r="J41" s="49">
        <f>VLOOKUP($A41,'Data shares'!$C:$FB,58)</f>
        <v>101375</v>
      </c>
      <c r="K41" s="49">
        <f>VLOOKUP($A41,'Data shares'!$C:$FB,59)</f>
        <v>216775</v>
      </c>
      <c r="L41" s="50">
        <f>VLOOKUP($A41,'Data shares'!$C:$FB,61)*100</f>
        <v>-53.23</v>
      </c>
      <c r="M41" s="49">
        <f>VLOOKUP($A41,'Data shares'!$C:$FB,62)</f>
        <v>57025</v>
      </c>
      <c r="N41" s="49">
        <f>VLOOKUP($A41,'Data shares'!$C:$FB,63)</f>
        <v>155650</v>
      </c>
      <c r="O41" s="140">
        <f>VLOOKUP($A41,'Data shares'!$C:$FB,65)*100</f>
        <v>-63.360000000000007</v>
      </c>
    </row>
    <row r="42" spans="1:15" x14ac:dyDescent="0.25">
      <c r="A42" s="101" t="str">
        <f>'Data Vlaue (Cr)'!C37</f>
        <v>BPCL</v>
      </c>
      <c r="B42" s="50">
        <f>VLOOKUP($A42,'Data shares'!$C:$FB,7)</f>
        <v>326.35000000000002</v>
      </c>
      <c r="C42" s="50">
        <f>VLOOKUP($A42,'Data shares'!$C:$FB,10)*100</f>
        <v>0.4</v>
      </c>
      <c r="D42" s="49">
        <f>VLOOKUP($A42,'Data shares'!$C:$FB,66)</f>
        <v>69109200</v>
      </c>
      <c r="E42" s="49">
        <f>VLOOKUP($A42,'Data shares'!$C:$FB,67)</f>
        <v>53589650</v>
      </c>
      <c r="F42" s="50">
        <f>VLOOKUP($A42,'Data shares'!$C:$FB,69)*100</f>
        <v>28.96</v>
      </c>
      <c r="G42" s="49">
        <f>VLOOKUP($A42,'Data shares'!$C:$FB,42)</f>
        <v>9389150</v>
      </c>
      <c r="H42" s="49">
        <f>VLOOKUP($A42,'Data shares'!$C:$FB,43)</f>
        <v>9651825</v>
      </c>
      <c r="I42" s="50">
        <f>VLOOKUP($A42,'Data shares'!$C:$FB,45)*100</f>
        <v>-2.7199999999999998</v>
      </c>
      <c r="J42" s="49">
        <f>VLOOKUP($A42,'Data shares'!$C:$FB,58)</f>
        <v>30000250</v>
      </c>
      <c r="K42" s="49">
        <f>VLOOKUP($A42,'Data shares'!$C:$FB,59)</f>
        <v>25712525</v>
      </c>
      <c r="L42" s="50">
        <f>VLOOKUP($A42,'Data shares'!$C:$FB,61)*100</f>
        <v>16.68</v>
      </c>
      <c r="M42" s="49">
        <f>VLOOKUP($A42,'Data shares'!$C:$FB,62)</f>
        <v>29719800</v>
      </c>
      <c r="N42" s="49">
        <f>VLOOKUP($A42,'Data shares'!$C:$FB,63)</f>
        <v>18225300</v>
      </c>
      <c r="O42" s="140">
        <f>VLOOKUP($A42,'Data shares'!$C:$FB,65)*100</f>
        <v>63.070000000000007</v>
      </c>
    </row>
    <row r="43" spans="1:15" x14ac:dyDescent="0.25">
      <c r="A43" s="101" t="str">
        <f>'Data Vlaue (Cr)'!C38</f>
        <v>BRITANNIA</v>
      </c>
      <c r="B43" s="50">
        <f>VLOOKUP($A43,'Data shares'!$C:$FB,7)</f>
        <v>5787</v>
      </c>
      <c r="C43" s="50">
        <f>VLOOKUP($A43,'Data shares'!$C:$FB,10)*100</f>
        <v>-2.27</v>
      </c>
      <c r="D43" s="49">
        <f>VLOOKUP($A43,'Data shares'!$C:$FB,66)</f>
        <v>3424375</v>
      </c>
      <c r="E43" s="49">
        <f>VLOOKUP($A43,'Data shares'!$C:$FB,67)</f>
        <v>1691500</v>
      </c>
      <c r="F43" s="50">
        <f>VLOOKUP($A43,'Data shares'!$C:$FB,69)*100</f>
        <v>102.45</v>
      </c>
      <c r="G43" s="49">
        <f>VLOOKUP($A43,'Data shares'!$C:$FB,42)</f>
        <v>988500</v>
      </c>
      <c r="H43" s="49">
        <f>VLOOKUP($A43,'Data shares'!$C:$FB,43)</f>
        <v>349875</v>
      </c>
      <c r="I43" s="50">
        <f>VLOOKUP($A43,'Data shares'!$C:$FB,45)*100</f>
        <v>182.53</v>
      </c>
      <c r="J43" s="49">
        <f>VLOOKUP($A43,'Data shares'!$C:$FB,58)</f>
        <v>1136625</v>
      </c>
      <c r="K43" s="49">
        <f>VLOOKUP($A43,'Data shares'!$C:$FB,59)</f>
        <v>482875</v>
      </c>
      <c r="L43" s="50">
        <f>VLOOKUP($A43,'Data shares'!$C:$FB,61)*100</f>
        <v>135.39000000000001</v>
      </c>
      <c r="M43" s="49">
        <f>VLOOKUP($A43,'Data shares'!$C:$FB,62)</f>
        <v>1299250</v>
      </c>
      <c r="N43" s="49">
        <f>VLOOKUP($A43,'Data shares'!$C:$FB,63)</f>
        <v>858750</v>
      </c>
      <c r="O43" s="140">
        <f>VLOOKUP($A43,'Data shares'!$C:$FB,65)*100</f>
        <v>51.300000000000004</v>
      </c>
    </row>
    <row r="44" spans="1:15" x14ac:dyDescent="0.25">
      <c r="A44" s="101" t="str">
        <f>'Data Vlaue (Cr)'!C39</f>
        <v>BSE</v>
      </c>
      <c r="B44" s="50">
        <f>VLOOKUP($A44,'Data shares'!$C:$FB,7)</f>
        <v>2850.6</v>
      </c>
      <c r="C44" s="50">
        <f>VLOOKUP($A44,'Data shares'!$C:$FB,10)*100</f>
        <v>0.47000000000000003</v>
      </c>
      <c r="D44" s="49">
        <f>VLOOKUP($A44,'Data shares'!$C:$FB,66)</f>
        <v>25167000</v>
      </c>
      <c r="E44" s="49">
        <f>VLOOKUP($A44,'Data shares'!$C:$FB,67)</f>
        <v>23977875</v>
      </c>
      <c r="F44" s="50">
        <f>VLOOKUP($A44,'Data shares'!$C:$FB,69)*100</f>
        <v>4.96</v>
      </c>
      <c r="G44" s="49">
        <f>VLOOKUP($A44,'Data shares'!$C:$FB,42)</f>
        <v>3027000</v>
      </c>
      <c r="H44" s="49">
        <f>VLOOKUP($A44,'Data shares'!$C:$FB,43)</f>
        <v>2835000</v>
      </c>
      <c r="I44" s="50">
        <f>VLOOKUP($A44,'Data shares'!$C:$FB,45)*100</f>
        <v>6.77</v>
      </c>
      <c r="J44" s="49">
        <f>VLOOKUP($A44,'Data shares'!$C:$FB,58)</f>
        <v>11668125</v>
      </c>
      <c r="K44" s="49">
        <f>VLOOKUP($A44,'Data shares'!$C:$FB,59)</f>
        <v>10967250</v>
      </c>
      <c r="L44" s="50">
        <f>VLOOKUP($A44,'Data shares'!$C:$FB,61)*100</f>
        <v>6.39</v>
      </c>
      <c r="M44" s="49">
        <f>VLOOKUP($A44,'Data shares'!$C:$FB,62)</f>
        <v>10471875</v>
      </c>
      <c r="N44" s="49">
        <f>VLOOKUP($A44,'Data shares'!$C:$FB,63)</f>
        <v>10175625</v>
      </c>
      <c r="O44" s="140">
        <f>VLOOKUP($A44,'Data shares'!$C:$FB,65)*100</f>
        <v>2.91</v>
      </c>
    </row>
    <row r="45" spans="1:15" x14ac:dyDescent="0.25">
      <c r="A45" s="101" t="str">
        <f>'Data Vlaue (Cr)'!C40</f>
        <v>CAMS</v>
      </c>
      <c r="B45" s="50">
        <f>VLOOKUP($A45,'Data shares'!$C:$FB,7)</f>
        <v>663.75</v>
      </c>
      <c r="C45" s="50">
        <f>VLOOKUP($A45,'Data shares'!$C:$FB,10)*100</f>
        <v>-1.8399999999999999</v>
      </c>
      <c r="D45" s="49">
        <f>VLOOKUP($A45,'Data shares'!$C:$FB,66)</f>
        <v>5338500</v>
      </c>
      <c r="E45" s="49">
        <f>VLOOKUP($A45,'Data shares'!$C:$FB,67)</f>
        <v>5589750</v>
      </c>
      <c r="F45" s="50">
        <f>VLOOKUP($A45,'Data shares'!$C:$FB,69)*100</f>
        <v>-4.49</v>
      </c>
      <c r="G45" s="49">
        <f>VLOOKUP($A45,'Data shares'!$C:$FB,42)</f>
        <v>1689750</v>
      </c>
      <c r="H45" s="49">
        <f>VLOOKUP($A45,'Data shares'!$C:$FB,43)</f>
        <v>2118000</v>
      </c>
      <c r="I45" s="50">
        <f>VLOOKUP($A45,'Data shares'!$C:$FB,45)*100</f>
        <v>-20.22</v>
      </c>
      <c r="J45" s="49">
        <f>VLOOKUP($A45,'Data shares'!$C:$FB,58)</f>
        <v>2056500</v>
      </c>
      <c r="K45" s="49">
        <f>VLOOKUP($A45,'Data shares'!$C:$FB,59)</f>
        <v>2325000</v>
      </c>
      <c r="L45" s="50">
        <f>VLOOKUP($A45,'Data shares'!$C:$FB,61)*100</f>
        <v>-11.55</v>
      </c>
      <c r="M45" s="49">
        <f>VLOOKUP($A45,'Data shares'!$C:$FB,62)</f>
        <v>1592250</v>
      </c>
      <c r="N45" s="49">
        <f>VLOOKUP($A45,'Data shares'!$C:$FB,63)</f>
        <v>1146750</v>
      </c>
      <c r="O45" s="140">
        <f>VLOOKUP($A45,'Data shares'!$C:$FB,65)*100</f>
        <v>38.85</v>
      </c>
    </row>
    <row r="46" spans="1:15" x14ac:dyDescent="0.25">
      <c r="A46" s="101" t="str">
        <f>'Data Vlaue (Cr)'!C41</f>
        <v>CANBK</v>
      </c>
      <c r="B46" s="50">
        <f>VLOOKUP($A46,'Data shares'!$C:$FB,7)</f>
        <v>140.34</v>
      </c>
      <c r="C46" s="50">
        <f>VLOOKUP($A46,'Data shares'!$C:$FB,10)*100</f>
        <v>0.67</v>
      </c>
      <c r="D46" s="49">
        <f>VLOOKUP($A46,'Data shares'!$C:$FB,66)</f>
        <v>187744500</v>
      </c>
      <c r="E46" s="49">
        <f>VLOOKUP($A46,'Data shares'!$C:$FB,67)</f>
        <v>104631750</v>
      </c>
      <c r="F46" s="50">
        <f>VLOOKUP($A46,'Data shares'!$C:$FB,69)*100</f>
        <v>79.430000000000007</v>
      </c>
      <c r="G46" s="49">
        <f>VLOOKUP($A46,'Data shares'!$C:$FB,42)</f>
        <v>50760000</v>
      </c>
      <c r="H46" s="49">
        <f>VLOOKUP($A46,'Data shares'!$C:$FB,43)</f>
        <v>29349000</v>
      </c>
      <c r="I46" s="50">
        <f>VLOOKUP($A46,'Data shares'!$C:$FB,45)*100</f>
        <v>72.95</v>
      </c>
      <c r="J46" s="49">
        <f>VLOOKUP($A46,'Data shares'!$C:$FB,58)</f>
        <v>87831000</v>
      </c>
      <c r="K46" s="49">
        <f>VLOOKUP($A46,'Data shares'!$C:$FB,59)</f>
        <v>47270250</v>
      </c>
      <c r="L46" s="50">
        <f>VLOOKUP($A46,'Data shares'!$C:$FB,61)*100</f>
        <v>85.81</v>
      </c>
      <c r="M46" s="49">
        <f>VLOOKUP($A46,'Data shares'!$C:$FB,62)</f>
        <v>49153500</v>
      </c>
      <c r="N46" s="49">
        <f>VLOOKUP($A46,'Data shares'!$C:$FB,63)</f>
        <v>28012500</v>
      </c>
      <c r="O46" s="140">
        <f>VLOOKUP($A46,'Data shares'!$C:$FB,65)*100</f>
        <v>75.47</v>
      </c>
    </row>
    <row r="47" spans="1:15" x14ac:dyDescent="0.25">
      <c r="A47" s="101" t="str">
        <f>'Data Vlaue (Cr)'!C42</f>
        <v>CDSL</v>
      </c>
      <c r="B47" s="50">
        <f>VLOOKUP($A47,'Data shares'!$C:$FB,7)</f>
        <v>1210.8</v>
      </c>
      <c r="C47" s="50">
        <f>VLOOKUP($A47,'Data shares'!$C:$FB,10)*100</f>
        <v>-0.71000000000000008</v>
      </c>
      <c r="D47" s="49">
        <f>VLOOKUP($A47,'Data shares'!$C:$FB,66)</f>
        <v>11206200</v>
      </c>
      <c r="E47" s="49">
        <f>VLOOKUP($A47,'Data shares'!$C:$FB,67)</f>
        <v>9842000</v>
      </c>
      <c r="F47" s="50">
        <f>VLOOKUP($A47,'Data shares'!$C:$FB,69)*100</f>
        <v>13.86</v>
      </c>
      <c r="G47" s="49">
        <f>VLOOKUP($A47,'Data shares'!$C:$FB,42)</f>
        <v>2187850</v>
      </c>
      <c r="H47" s="49">
        <f>VLOOKUP($A47,'Data shares'!$C:$FB,43)</f>
        <v>1556100</v>
      </c>
      <c r="I47" s="50">
        <f>VLOOKUP($A47,'Data shares'!$C:$FB,45)*100</f>
        <v>40.6</v>
      </c>
      <c r="J47" s="49">
        <f>VLOOKUP($A47,'Data shares'!$C:$FB,58)</f>
        <v>6336025</v>
      </c>
      <c r="K47" s="49">
        <f>VLOOKUP($A47,'Data shares'!$C:$FB,59)</f>
        <v>5447775</v>
      </c>
      <c r="L47" s="50">
        <f>VLOOKUP($A47,'Data shares'!$C:$FB,61)*100</f>
        <v>16.3</v>
      </c>
      <c r="M47" s="49">
        <f>VLOOKUP($A47,'Data shares'!$C:$FB,62)</f>
        <v>2682325</v>
      </c>
      <c r="N47" s="49">
        <f>VLOOKUP($A47,'Data shares'!$C:$FB,63)</f>
        <v>2838125</v>
      </c>
      <c r="O47" s="140">
        <f>VLOOKUP($A47,'Data shares'!$C:$FB,65)*100</f>
        <v>-5.4899999999999993</v>
      </c>
    </row>
    <row r="48" spans="1:15" x14ac:dyDescent="0.25">
      <c r="A48" s="101" t="str">
        <f>'Data Vlaue (Cr)'!C43</f>
        <v>CGPOWER</v>
      </c>
      <c r="B48" s="50">
        <f>VLOOKUP($A48,'Data shares'!$C:$FB,7)</f>
        <v>737.3</v>
      </c>
      <c r="C48" s="50">
        <f>VLOOKUP($A48,'Data shares'!$C:$FB,10)*100</f>
        <v>1.51</v>
      </c>
      <c r="D48" s="49">
        <f>VLOOKUP($A48,'Data shares'!$C:$FB,66)</f>
        <v>26679800</v>
      </c>
      <c r="E48" s="49">
        <f>VLOOKUP($A48,'Data shares'!$C:$FB,67)</f>
        <v>17901850</v>
      </c>
      <c r="F48" s="50">
        <f>VLOOKUP($A48,'Data shares'!$C:$FB,69)*100</f>
        <v>49.03</v>
      </c>
      <c r="G48" s="49">
        <f>VLOOKUP($A48,'Data shares'!$C:$FB,42)</f>
        <v>4805900</v>
      </c>
      <c r="H48" s="49">
        <f>VLOOKUP($A48,'Data shares'!$C:$FB,43)</f>
        <v>3236800</v>
      </c>
      <c r="I48" s="50">
        <f>VLOOKUP($A48,'Data shares'!$C:$FB,45)*100</f>
        <v>48.480000000000004</v>
      </c>
      <c r="J48" s="49">
        <f>VLOOKUP($A48,'Data shares'!$C:$FB,58)</f>
        <v>16489150</v>
      </c>
      <c r="K48" s="49">
        <f>VLOOKUP($A48,'Data shares'!$C:$FB,59)</f>
        <v>10568050</v>
      </c>
      <c r="L48" s="50">
        <f>VLOOKUP($A48,'Data shares'!$C:$FB,61)*100</f>
        <v>56.03</v>
      </c>
      <c r="M48" s="49">
        <f>VLOOKUP($A48,'Data shares'!$C:$FB,62)</f>
        <v>5384750</v>
      </c>
      <c r="N48" s="49">
        <f>VLOOKUP($A48,'Data shares'!$C:$FB,63)</f>
        <v>4097000</v>
      </c>
      <c r="O48" s="140">
        <f>VLOOKUP($A48,'Data shares'!$C:$FB,65)*100</f>
        <v>31.430000000000003</v>
      </c>
    </row>
    <row r="49" spans="1:15" x14ac:dyDescent="0.25">
      <c r="A49" s="101" t="str">
        <f>'Data Vlaue (Cr)'!C44</f>
        <v>CHOLAFIN</v>
      </c>
      <c r="B49" s="50">
        <f>VLOOKUP($A49,'Data shares'!$C:$FB,7)</f>
        <v>1526.1</v>
      </c>
      <c r="C49" s="50">
        <f>VLOOKUP($A49,'Data shares'!$C:$FB,10)*100</f>
        <v>-2.0099999999999998</v>
      </c>
      <c r="D49" s="49">
        <f>VLOOKUP($A49,'Data shares'!$C:$FB,66)</f>
        <v>9672500</v>
      </c>
      <c r="E49" s="49">
        <f>VLOOKUP($A49,'Data shares'!$C:$FB,67)</f>
        <v>11828750</v>
      </c>
      <c r="F49" s="50">
        <f>VLOOKUP($A49,'Data shares'!$C:$FB,69)*100</f>
        <v>-18.23</v>
      </c>
      <c r="G49" s="49">
        <f>VLOOKUP($A49,'Data shares'!$C:$FB,42)</f>
        <v>2470625</v>
      </c>
      <c r="H49" s="49">
        <f>VLOOKUP($A49,'Data shares'!$C:$FB,43)</f>
        <v>2811875</v>
      </c>
      <c r="I49" s="50">
        <f>VLOOKUP($A49,'Data shares'!$C:$FB,45)*100</f>
        <v>-12.139999999999999</v>
      </c>
      <c r="J49" s="49">
        <f>VLOOKUP($A49,'Data shares'!$C:$FB,58)</f>
        <v>4033750</v>
      </c>
      <c r="K49" s="49">
        <f>VLOOKUP($A49,'Data shares'!$C:$FB,59)</f>
        <v>4228125</v>
      </c>
      <c r="L49" s="50">
        <f>VLOOKUP($A49,'Data shares'!$C:$FB,61)*100</f>
        <v>-4.5999999999999996</v>
      </c>
      <c r="M49" s="49">
        <f>VLOOKUP($A49,'Data shares'!$C:$FB,62)</f>
        <v>3168125</v>
      </c>
      <c r="N49" s="49">
        <f>VLOOKUP($A49,'Data shares'!$C:$FB,63)</f>
        <v>4788750</v>
      </c>
      <c r="O49" s="140">
        <f>VLOOKUP($A49,'Data shares'!$C:$FB,65)*100</f>
        <v>-33.839999999999996</v>
      </c>
    </row>
    <row r="50" spans="1:15" x14ac:dyDescent="0.25">
      <c r="A50" s="101" t="str">
        <f>'Data Vlaue (Cr)'!C45</f>
        <v>CIPLA</v>
      </c>
      <c r="B50" s="50">
        <f>VLOOKUP($A50,'Data shares'!$C:$FB,7)</f>
        <v>1324.3</v>
      </c>
      <c r="C50" s="50">
        <f>VLOOKUP($A50,'Data shares'!$C:$FB,10)*100</f>
        <v>-0.38999999999999996</v>
      </c>
      <c r="D50" s="49">
        <f>VLOOKUP($A50,'Data shares'!$C:$FB,66)</f>
        <v>13875375</v>
      </c>
      <c r="E50" s="49">
        <f>VLOOKUP($A50,'Data shares'!$C:$FB,67)</f>
        <v>7492875</v>
      </c>
      <c r="F50" s="50">
        <f>VLOOKUP($A50,'Data shares'!$C:$FB,69)*100</f>
        <v>85.18</v>
      </c>
      <c r="G50" s="49">
        <f>VLOOKUP($A50,'Data shares'!$C:$FB,42)</f>
        <v>1486500</v>
      </c>
      <c r="H50" s="49">
        <f>VLOOKUP($A50,'Data shares'!$C:$FB,43)</f>
        <v>1430250</v>
      </c>
      <c r="I50" s="50">
        <f>VLOOKUP($A50,'Data shares'!$C:$FB,45)*100</f>
        <v>3.93</v>
      </c>
      <c r="J50" s="49">
        <f>VLOOKUP($A50,'Data shares'!$C:$FB,58)</f>
        <v>9375750</v>
      </c>
      <c r="K50" s="49">
        <f>VLOOKUP($A50,'Data shares'!$C:$FB,59)</f>
        <v>4545375</v>
      </c>
      <c r="L50" s="50">
        <f>VLOOKUP($A50,'Data shares'!$C:$FB,61)*100</f>
        <v>106.27</v>
      </c>
      <c r="M50" s="49">
        <f>VLOOKUP($A50,'Data shares'!$C:$FB,62)</f>
        <v>3013125</v>
      </c>
      <c r="N50" s="49">
        <f>VLOOKUP($A50,'Data shares'!$C:$FB,63)</f>
        <v>1517250</v>
      </c>
      <c r="O50" s="140">
        <f>VLOOKUP($A50,'Data shares'!$C:$FB,65)*100</f>
        <v>98.59</v>
      </c>
    </row>
    <row r="51" spans="1:15" x14ac:dyDescent="0.25">
      <c r="A51" s="101" t="str">
        <f>'Data Vlaue (Cr)'!C46</f>
        <v>COALINDIA</v>
      </c>
      <c r="B51" s="50">
        <f>VLOOKUP($A51,'Data shares'!$C:$FB,7)</f>
        <v>470.1</v>
      </c>
      <c r="C51" s="50">
        <f>VLOOKUP($A51,'Data shares'!$C:$FB,10)*100</f>
        <v>5.2299999999999995</v>
      </c>
      <c r="D51" s="49">
        <f>VLOOKUP($A51,'Data shares'!$C:$FB,66)</f>
        <v>314811900</v>
      </c>
      <c r="E51" s="49">
        <f>VLOOKUP($A51,'Data shares'!$C:$FB,67)</f>
        <v>111302100</v>
      </c>
      <c r="F51" s="50">
        <f>VLOOKUP($A51,'Data shares'!$C:$FB,69)*100</f>
        <v>182.84</v>
      </c>
      <c r="G51" s="49">
        <f>VLOOKUP($A51,'Data shares'!$C:$FB,42)</f>
        <v>29805300</v>
      </c>
      <c r="H51" s="49">
        <f>VLOOKUP($A51,'Data shares'!$C:$FB,43)</f>
        <v>13505400</v>
      </c>
      <c r="I51" s="50">
        <f>VLOOKUP($A51,'Data shares'!$C:$FB,45)*100</f>
        <v>120.69000000000001</v>
      </c>
      <c r="J51" s="49">
        <f>VLOOKUP($A51,'Data shares'!$C:$FB,58)</f>
        <v>203208750</v>
      </c>
      <c r="K51" s="49">
        <f>VLOOKUP($A51,'Data shares'!$C:$FB,59)</f>
        <v>66135150</v>
      </c>
      <c r="L51" s="50">
        <f>VLOOKUP($A51,'Data shares'!$C:$FB,61)*100</f>
        <v>207.26</v>
      </c>
      <c r="M51" s="49">
        <f>VLOOKUP($A51,'Data shares'!$C:$FB,62)</f>
        <v>81797850</v>
      </c>
      <c r="N51" s="49">
        <f>VLOOKUP($A51,'Data shares'!$C:$FB,63)</f>
        <v>31661550</v>
      </c>
      <c r="O51" s="140">
        <f>VLOOKUP($A51,'Data shares'!$C:$FB,65)*100</f>
        <v>158.35</v>
      </c>
    </row>
    <row r="52" spans="1:15" x14ac:dyDescent="0.25">
      <c r="A52" s="101" t="str">
        <f>'Data Vlaue (Cr)'!C47</f>
        <v>COFORGE</v>
      </c>
      <c r="B52" s="50">
        <f>VLOOKUP($A52,'Data shares'!$C:$FB,7)</f>
        <v>1107.9000000000001</v>
      </c>
      <c r="C52" s="50">
        <f>VLOOKUP($A52,'Data shares'!$C:$FB,10)*100</f>
        <v>-0.08</v>
      </c>
      <c r="D52" s="49">
        <f>VLOOKUP($A52,'Data shares'!$C:$FB,66)</f>
        <v>25178250</v>
      </c>
      <c r="E52" s="49">
        <f>VLOOKUP($A52,'Data shares'!$C:$FB,67)</f>
        <v>21008625</v>
      </c>
      <c r="F52" s="50">
        <f>VLOOKUP($A52,'Data shares'!$C:$FB,69)*100</f>
        <v>19.850000000000001</v>
      </c>
      <c r="G52" s="49">
        <f>VLOOKUP($A52,'Data shares'!$C:$FB,42)</f>
        <v>4679250</v>
      </c>
      <c r="H52" s="49">
        <f>VLOOKUP($A52,'Data shares'!$C:$FB,43)</f>
        <v>4128000</v>
      </c>
      <c r="I52" s="50">
        <f>VLOOKUP($A52,'Data shares'!$C:$FB,45)*100</f>
        <v>13.350000000000001</v>
      </c>
      <c r="J52" s="49">
        <f>VLOOKUP($A52,'Data shares'!$C:$FB,58)</f>
        <v>14240250</v>
      </c>
      <c r="K52" s="49">
        <f>VLOOKUP($A52,'Data shares'!$C:$FB,59)</f>
        <v>12023625</v>
      </c>
      <c r="L52" s="50">
        <f>VLOOKUP($A52,'Data shares'!$C:$FB,61)*100</f>
        <v>18.440000000000001</v>
      </c>
      <c r="M52" s="49">
        <f>VLOOKUP($A52,'Data shares'!$C:$FB,62)</f>
        <v>6258750</v>
      </c>
      <c r="N52" s="49">
        <f>VLOOKUP($A52,'Data shares'!$C:$FB,63)</f>
        <v>4857000</v>
      </c>
      <c r="O52" s="140">
        <f>VLOOKUP($A52,'Data shares'!$C:$FB,65)*100</f>
        <v>28.860000000000003</v>
      </c>
    </row>
    <row r="53" spans="1:15" x14ac:dyDescent="0.25">
      <c r="A53" s="101" t="str">
        <f>'Data Vlaue (Cr)'!C48</f>
        <v>COLPAL</v>
      </c>
      <c r="B53" s="50">
        <f>VLOOKUP($A53,'Data shares'!$C:$FB,7)</f>
        <v>1975.8</v>
      </c>
      <c r="C53" s="50">
        <f>VLOOKUP($A53,'Data shares'!$C:$FB,10)*100</f>
        <v>-3.88</v>
      </c>
      <c r="D53" s="49">
        <f>VLOOKUP($A53,'Data shares'!$C:$FB,66)</f>
        <v>13098600</v>
      </c>
      <c r="E53" s="49">
        <f>VLOOKUP($A53,'Data shares'!$C:$FB,67)</f>
        <v>31322475</v>
      </c>
      <c r="F53" s="50">
        <f>VLOOKUP($A53,'Data shares'!$C:$FB,69)*100</f>
        <v>-58.18</v>
      </c>
      <c r="G53" s="49">
        <f>VLOOKUP($A53,'Data shares'!$C:$FB,42)</f>
        <v>2259225</v>
      </c>
      <c r="H53" s="49">
        <f>VLOOKUP($A53,'Data shares'!$C:$FB,43)</f>
        <v>4695300</v>
      </c>
      <c r="I53" s="50">
        <f>VLOOKUP($A53,'Data shares'!$C:$FB,45)*100</f>
        <v>-51.88</v>
      </c>
      <c r="J53" s="49">
        <f>VLOOKUP($A53,'Data shares'!$C:$FB,58)</f>
        <v>6698700</v>
      </c>
      <c r="K53" s="49">
        <f>VLOOKUP($A53,'Data shares'!$C:$FB,59)</f>
        <v>12275775</v>
      </c>
      <c r="L53" s="50">
        <f>VLOOKUP($A53,'Data shares'!$C:$FB,61)*100</f>
        <v>-45.43</v>
      </c>
      <c r="M53" s="49">
        <f>VLOOKUP($A53,'Data shares'!$C:$FB,62)</f>
        <v>4140675</v>
      </c>
      <c r="N53" s="49">
        <f>VLOOKUP($A53,'Data shares'!$C:$FB,63)</f>
        <v>14351400</v>
      </c>
      <c r="O53" s="140">
        <f>VLOOKUP($A53,'Data shares'!$C:$FB,65)*100</f>
        <v>-71.150000000000006</v>
      </c>
    </row>
    <row r="54" spans="1:15" x14ac:dyDescent="0.25">
      <c r="A54" s="101" t="str">
        <f>'Data Vlaue (Cr)'!C49</f>
        <v>CONCOR</v>
      </c>
      <c r="B54" s="50">
        <f>VLOOKUP($A54,'Data shares'!$C:$FB,7)</f>
        <v>467.15</v>
      </c>
      <c r="C54" s="50">
        <f>VLOOKUP($A54,'Data shares'!$C:$FB,10)*100</f>
        <v>-0.70000000000000007</v>
      </c>
      <c r="D54" s="49">
        <f>VLOOKUP($A54,'Data shares'!$C:$FB,66)</f>
        <v>9957500</v>
      </c>
      <c r="E54" s="49">
        <f>VLOOKUP($A54,'Data shares'!$C:$FB,67)</f>
        <v>10447500</v>
      </c>
      <c r="F54" s="50">
        <f>VLOOKUP($A54,'Data shares'!$C:$FB,69)*100</f>
        <v>-4.6899999999999995</v>
      </c>
      <c r="G54" s="49">
        <f>VLOOKUP($A54,'Data shares'!$C:$FB,42)</f>
        <v>3456250</v>
      </c>
      <c r="H54" s="49">
        <f>VLOOKUP($A54,'Data shares'!$C:$FB,43)</f>
        <v>2777500</v>
      </c>
      <c r="I54" s="50">
        <f>VLOOKUP($A54,'Data shares'!$C:$FB,45)*100</f>
        <v>24.44</v>
      </c>
      <c r="J54" s="49">
        <f>VLOOKUP($A54,'Data shares'!$C:$FB,58)</f>
        <v>4691250</v>
      </c>
      <c r="K54" s="49">
        <f>VLOOKUP($A54,'Data shares'!$C:$FB,59)</f>
        <v>5123750</v>
      </c>
      <c r="L54" s="50">
        <f>VLOOKUP($A54,'Data shares'!$C:$FB,61)*100</f>
        <v>-8.44</v>
      </c>
      <c r="M54" s="49">
        <f>VLOOKUP($A54,'Data shares'!$C:$FB,62)</f>
        <v>1810000</v>
      </c>
      <c r="N54" s="49">
        <f>VLOOKUP($A54,'Data shares'!$C:$FB,63)</f>
        <v>2546250</v>
      </c>
      <c r="O54" s="140">
        <f>VLOOKUP($A54,'Data shares'!$C:$FB,65)*100</f>
        <v>-28.92</v>
      </c>
    </row>
    <row r="55" spans="1:15" x14ac:dyDescent="0.25">
      <c r="A55" s="101" t="str">
        <f>'Data Vlaue (Cr)'!C50</f>
        <v>CROMPTON</v>
      </c>
      <c r="B55" s="50">
        <f>VLOOKUP($A55,'Data shares'!$C:$FB,7)</f>
        <v>247.2</v>
      </c>
      <c r="C55" s="50">
        <f>VLOOKUP($A55,'Data shares'!$C:$FB,10)*100</f>
        <v>-0.12</v>
      </c>
      <c r="D55" s="49">
        <f>VLOOKUP($A55,'Data shares'!$C:$FB,66)</f>
        <v>22005000</v>
      </c>
      <c r="E55" s="49">
        <f>VLOOKUP($A55,'Data shares'!$C:$FB,67)</f>
        <v>11379600</v>
      </c>
      <c r="F55" s="50">
        <f>VLOOKUP($A55,'Data shares'!$C:$FB,69)*100</f>
        <v>93.37</v>
      </c>
      <c r="G55" s="49">
        <f>VLOOKUP($A55,'Data shares'!$C:$FB,42)</f>
        <v>6566400</v>
      </c>
      <c r="H55" s="49">
        <f>VLOOKUP($A55,'Data shares'!$C:$FB,43)</f>
        <v>4041000</v>
      </c>
      <c r="I55" s="50">
        <f>VLOOKUP($A55,'Data shares'!$C:$FB,45)*100</f>
        <v>62.49</v>
      </c>
      <c r="J55" s="49">
        <f>VLOOKUP($A55,'Data shares'!$C:$FB,58)</f>
        <v>12031200</v>
      </c>
      <c r="K55" s="49">
        <f>VLOOKUP($A55,'Data shares'!$C:$FB,59)</f>
        <v>5509800</v>
      </c>
      <c r="L55" s="50">
        <f>VLOOKUP($A55,'Data shares'!$C:$FB,61)*100</f>
        <v>118.36</v>
      </c>
      <c r="M55" s="49">
        <f>VLOOKUP($A55,'Data shares'!$C:$FB,62)</f>
        <v>3407400</v>
      </c>
      <c r="N55" s="49">
        <f>VLOOKUP($A55,'Data shares'!$C:$FB,63)</f>
        <v>1828800</v>
      </c>
      <c r="O55" s="140">
        <f>VLOOKUP($A55,'Data shares'!$C:$FB,65)*100</f>
        <v>86.32</v>
      </c>
    </row>
    <row r="56" spans="1:15" x14ac:dyDescent="0.25">
      <c r="A56" s="101" t="str">
        <f>'Data Vlaue (Cr)'!C51</f>
        <v>CUMMINSIND</v>
      </c>
      <c r="B56" s="50">
        <f>VLOOKUP($A56,'Data shares'!$C:$FB,7)</f>
        <v>4753.6000000000004</v>
      </c>
      <c r="C56" s="50">
        <f>VLOOKUP($A56,'Data shares'!$C:$FB,10)*100</f>
        <v>2.65</v>
      </c>
      <c r="D56" s="49">
        <f>VLOOKUP($A56,'Data shares'!$C:$FB,66)</f>
        <v>5977000</v>
      </c>
      <c r="E56" s="49">
        <f>VLOOKUP($A56,'Data shares'!$C:$FB,67)</f>
        <v>4642400</v>
      </c>
      <c r="F56" s="50">
        <f>VLOOKUP($A56,'Data shares'!$C:$FB,69)*100</f>
        <v>28.749999999999996</v>
      </c>
      <c r="G56" s="49">
        <f>VLOOKUP($A56,'Data shares'!$C:$FB,42)</f>
        <v>937200</v>
      </c>
      <c r="H56" s="49">
        <f>VLOOKUP($A56,'Data shares'!$C:$FB,43)</f>
        <v>676400</v>
      </c>
      <c r="I56" s="50">
        <f>VLOOKUP($A56,'Data shares'!$C:$FB,45)*100</f>
        <v>38.56</v>
      </c>
      <c r="J56" s="49">
        <f>VLOOKUP($A56,'Data shares'!$C:$FB,58)</f>
        <v>3426600</v>
      </c>
      <c r="K56" s="49">
        <f>VLOOKUP($A56,'Data shares'!$C:$FB,59)</f>
        <v>3062200</v>
      </c>
      <c r="L56" s="50">
        <f>VLOOKUP($A56,'Data shares'!$C:$FB,61)*100</f>
        <v>11.899999999999999</v>
      </c>
      <c r="M56" s="49">
        <f>VLOOKUP($A56,'Data shares'!$C:$FB,62)</f>
        <v>1613200</v>
      </c>
      <c r="N56" s="49">
        <f>VLOOKUP($A56,'Data shares'!$C:$FB,63)</f>
        <v>903800</v>
      </c>
      <c r="O56" s="140">
        <f>VLOOKUP($A56,'Data shares'!$C:$FB,65)*100</f>
        <v>78.490000000000009</v>
      </c>
    </row>
    <row r="57" spans="1:15" x14ac:dyDescent="0.25">
      <c r="A57" s="101" t="str">
        <f>'Data Vlaue (Cr)'!C52</f>
        <v>DABUR</v>
      </c>
      <c r="B57" s="50">
        <f>VLOOKUP($A57,'Data shares'!$C:$FB,7)</f>
        <v>459.35</v>
      </c>
      <c r="C57" s="50">
        <f>VLOOKUP($A57,'Data shares'!$C:$FB,10)*100</f>
        <v>-2.65</v>
      </c>
      <c r="D57" s="49">
        <f>VLOOKUP($A57,'Data shares'!$C:$FB,66)</f>
        <v>16941250</v>
      </c>
      <c r="E57" s="49">
        <f>VLOOKUP($A57,'Data shares'!$C:$FB,67)</f>
        <v>10058750</v>
      </c>
      <c r="F57" s="50">
        <f>VLOOKUP($A57,'Data shares'!$C:$FB,69)*100</f>
        <v>68.42</v>
      </c>
      <c r="G57" s="49">
        <f>VLOOKUP($A57,'Data shares'!$C:$FB,42)</f>
        <v>2638750</v>
      </c>
      <c r="H57" s="49">
        <f>VLOOKUP($A57,'Data shares'!$C:$FB,43)</f>
        <v>2243750</v>
      </c>
      <c r="I57" s="50">
        <f>VLOOKUP($A57,'Data shares'!$C:$FB,45)*100</f>
        <v>17.599999999999998</v>
      </c>
      <c r="J57" s="49">
        <f>VLOOKUP($A57,'Data shares'!$C:$FB,58)</f>
        <v>7536250</v>
      </c>
      <c r="K57" s="49">
        <f>VLOOKUP($A57,'Data shares'!$C:$FB,59)</f>
        <v>4013750</v>
      </c>
      <c r="L57" s="50">
        <f>VLOOKUP($A57,'Data shares'!$C:$FB,61)*100</f>
        <v>87.76</v>
      </c>
      <c r="M57" s="49">
        <f>VLOOKUP($A57,'Data shares'!$C:$FB,62)</f>
        <v>6766250</v>
      </c>
      <c r="N57" s="49">
        <f>VLOOKUP($A57,'Data shares'!$C:$FB,63)</f>
        <v>3801250</v>
      </c>
      <c r="O57" s="140">
        <f>VLOOKUP($A57,'Data shares'!$C:$FB,65)*100</f>
        <v>78</v>
      </c>
    </row>
    <row r="58" spans="1:15" x14ac:dyDescent="0.25">
      <c r="A58" s="101" t="str">
        <f>'Data Vlaue (Cr)'!C53</f>
        <v>DALBHARAT</v>
      </c>
      <c r="B58" s="50">
        <f>VLOOKUP($A58,'Data shares'!$C:$FB,7)</f>
        <v>1894.5</v>
      </c>
      <c r="C58" s="50">
        <f>VLOOKUP($A58,'Data shares'!$C:$FB,10)*100</f>
        <v>2.08</v>
      </c>
      <c r="D58" s="49">
        <f>VLOOKUP($A58,'Data shares'!$C:$FB,66)</f>
        <v>9070425</v>
      </c>
      <c r="E58" s="49">
        <f>VLOOKUP($A58,'Data shares'!$C:$FB,67)</f>
        <v>5427175</v>
      </c>
      <c r="F58" s="50">
        <f>VLOOKUP($A58,'Data shares'!$C:$FB,69)*100</f>
        <v>67.13</v>
      </c>
      <c r="G58" s="49">
        <f>VLOOKUP($A58,'Data shares'!$C:$FB,42)</f>
        <v>952575</v>
      </c>
      <c r="H58" s="49">
        <f>VLOOKUP($A58,'Data shares'!$C:$FB,43)</f>
        <v>969475</v>
      </c>
      <c r="I58" s="50">
        <f>VLOOKUP($A58,'Data shares'!$C:$FB,45)*100</f>
        <v>-1.7399999999999998</v>
      </c>
      <c r="J58" s="49">
        <f>VLOOKUP($A58,'Data shares'!$C:$FB,58)</f>
        <v>1589575</v>
      </c>
      <c r="K58" s="49">
        <f>VLOOKUP($A58,'Data shares'!$C:$FB,59)</f>
        <v>1755650</v>
      </c>
      <c r="L58" s="50">
        <f>VLOOKUP($A58,'Data shares'!$C:$FB,61)*100</f>
        <v>-9.4600000000000009</v>
      </c>
      <c r="M58" s="49">
        <f>VLOOKUP($A58,'Data shares'!$C:$FB,62)</f>
        <v>6528275</v>
      </c>
      <c r="N58" s="49">
        <f>VLOOKUP($A58,'Data shares'!$C:$FB,63)</f>
        <v>2702050</v>
      </c>
      <c r="O58" s="140">
        <f>VLOOKUP($A58,'Data shares'!$C:$FB,65)*100</f>
        <v>141.6</v>
      </c>
    </row>
    <row r="59" spans="1:15" x14ac:dyDescent="0.25">
      <c r="A59" s="101" t="str">
        <f>'Data Vlaue (Cr)'!C54</f>
        <v>DELHIVERY</v>
      </c>
      <c r="B59" s="50">
        <f>VLOOKUP($A59,'Data shares'!$C:$FB,7)</f>
        <v>408.2</v>
      </c>
      <c r="C59" s="50">
        <f>VLOOKUP($A59,'Data shares'!$C:$FB,10)*100</f>
        <v>-2.33</v>
      </c>
      <c r="D59" s="49">
        <f>VLOOKUP($A59,'Data shares'!$C:$FB,66)</f>
        <v>12661650</v>
      </c>
      <c r="E59" s="49">
        <f>VLOOKUP($A59,'Data shares'!$C:$FB,67)</f>
        <v>7561300</v>
      </c>
      <c r="F59" s="50">
        <f>VLOOKUP($A59,'Data shares'!$C:$FB,69)*100</f>
        <v>67.45</v>
      </c>
      <c r="G59" s="49">
        <f>VLOOKUP($A59,'Data shares'!$C:$FB,42)</f>
        <v>3535800</v>
      </c>
      <c r="H59" s="49">
        <f>VLOOKUP($A59,'Data shares'!$C:$FB,43)</f>
        <v>2021050</v>
      </c>
      <c r="I59" s="50">
        <f>VLOOKUP($A59,'Data shares'!$C:$FB,45)*100</f>
        <v>74.95</v>
      </c>
      <c r="J59" s="49">
        <f>VLOOKUP($A59,'Data shares'!$C:$FB,58)</f>
        <v>5320300</v>
      </c>
      <c r="K59" s="49">
        <f>VLOOKUP($A59,'Data shares'!$C:$FB,59)</f>
        <v>2985925</v>
      </c>
      <c r="L59" s="50">
        <f>VLOOKUP($A59,'Data shares'!$C:$FB,61)*100</f>
        <v>78.180000000000007</v>
      </c>
      <c r="M59" s="49">
        <f>VLOOKUP($A59,'Data shares'!$C:$FB,62)</f>
        <v>3805550</v>
      </c>
      <c r="N59" s="49">
        <f>VLOOKUP($A59,'Data shares'!$C:$FB,63)</f>
        <v>2554325</v>
      </c>
      <c r="O59" s="140">
        <f>VLOOKUP($A59,'Data shares'!$C:$FB,65)*100</f>
        <v>48.980000000000004</v>
      </c>
    </row>
    <row r="60" spans="1:15" x14ac:dyDescent="0.25">
      <c r="A60" s="101" t="str">
        <f>'Data Vlaue (Cr)'!C55</f>
        <v>DIVISLAB</v>
      </c>
      <c r="B60" s="50">
        <f>VLOOKUP($A60,'Data shares'!$C:$FB,7)</f>
        <v>6282</v>
      </c>
      <c r="C60" s="50">
        <f>VLOOKUP($A60,'Data shares'!$C:$FB,10)*100</f>
        <v>-1.1100000000000001</v>
      </c>
      <c r="D60" s="49">
        <f>VLOOKUP($A60,'Data shares'!$C:$FB,66)</f>
        <v>1948300</v>
      </c>
      <c r="E60" s="49">
        <f>VLOOKUP($A60,'Data shares'!$C:$FB,67)</f>
        <v>2053700</v>
      </c>
      <c r="F60" s="50">
        <f>VLOOKUP($A60,'Data shares'!$C:$FB,69)*100</f>
        <v>-5.13</v>
      </c>
      <c r="G60" s="49">
        <f>VLOOKUP($A60,'Data shares'!$C:$FB,42)</f>
        <v>394700</v>
      </c>
      <c r="H60" s="49">
        <f>VLOOKUP($A60,'Data shares'!$C:$FB,43)</f>
        <v>382100</v>
      </c>
      <c r="I60" s="50">
        <f>VLOOKUP($A60,'Data shares'!$C:$FB,45)*100</f>
        <v>3.3000000000000003</v>
      </c>
      <c r="J60" s="49">
        <f>VLOOKUP($A60,'Data shares'!$C:$FB,58)</f>
        <v>1049500</v>
      </c>
      <c r="K60" s="49">
        <f>VLOOKUP($A60,'Data shares'!$C:$FB,59)</f>
        <v>1224300</v>
      </c>
      <c r="L60" s="50">
        <f>VLOOKUP($A60,'Data shares'!$C:$FB,61)*100</f>
        <v>-14.280000000000001</v>
      </c>
      <c r="M60" s="49">
        <f>VLOOKUP($A60,'Data shares'!$C:$FB,62)</f>
        <v>504100</v>
      </c>
      <c r="N60" s="49">
        <f>VLOOKUP($A60,'Data shares'!$C:$FB,63)</f>
        <v>447300</v>
      </c>
      <c r="O60" s="140">
        <f>VLOOKUP($A60,'Data shares'!$C:$FB,65)*100</f>
        <v>12.7</v>
      </c>
    </row>
    <row r="61" spans="1:15" x14ac:dyDescent="0.25">
      <c r="A61" s="101" t="str">
        <f>'Data Vlaue (Cr)'!C56</f>
        <v>DIXON</v>
      </c>
      <c r="B61" s="50">
        <f>VLOOKUP($A61,'Data shares'!$C:$FB,7)</f>
        <v>10803</v>
      </c>
      <c r="C61" s="50">
        <f>VLOOKUP($A61,'Data shares'!$C:$FB,10)*100</f>
        <v>1.7399999999999998</v>
      </c>
      <c r="D61" s="49">
        <f>VLOOKUP($A61,'Data shares'!$C:$FB,66)</f>
        <v>10318350</v>
      </c>
      <c r="E61" s="49">
        <f>VLOOKUP($A61,'Data shares'!$C:$FB,67)</f>
        <v>14636100</v>
      </c>
      <c r="F61" s="50">
        <f>VLOOKUP($A61,'Data shares'!$C:$FB,69)*100</f>
        <v>-29.5</v>
      </c>
      <c r="G61" s="49">
        <f>VLOOKUP($A61,'Data shares'!$C:$FB,42)</f>
        <v>1160050</v>
      </c>
      <c r="H61" s="49">
        <f>VLOOKUP($A61,'Data shares'!$C:$FB,43)</f>
        <v>1529250</v>
      </c>
      <c r="I61" s="50">
        <f>VLOOKUP($A61,'Data shares'!$C:$FB,45)*100</f>
        <v>-24.14</v>
      </c>
      <c r="J61" s="49">
        <f>VLOOKUP($A61,'Data shares'!$C:$FB,58)</f>
        <v>6585550</v>
      </c>
      <c r="K61" s="49">
        <f>VLOOKUP($A61,'Data shares'!$C:$FB,59)</f>
        <v>8954900</v>
      </c>
      <c r="L61" s="50">
        <f>VLOOKUP($A61,'Data shares'!$C:$FB,61)*100</f>
        <v>-26.46</v>
      </c>
      <c r="M61" s="49">
        <f>VLOOKUP($A61,'Data shares'!$C:$FB,62)</f>
        <v>2572750</v>
      </c>
      <c r="N61" s="49">
        <f>VLOOKUP($A61,'Data shares'!$C:$FB,63)</f>
        <v>4151950</v>
      </c>
      <c r="O61" s="140">
        <f>VLOOKUP($A61,'Data shares'!$C:$FB,65)*100</f>
        <v>-38.04</v>
      </c>
    </row>
    <row r="62" spans="1:15" x14ac:dyDescent="0.25">
      <c r="A62" s="101" t="str">
        <f>'Data Vlaue (Cr)'!C57</f>
        <v>DLF</v>
      </c>
      <c r="B62" s="50">
        <f>VLOOKUP($A62,'Data shares'!$C:$FB,7)</f>
        <v>558.1</v>
      </c>
      <c r="C62" s="50">
        <f>VLOOKUP($A62,'Data shares'!$C:$FB,10)*100</f>
        <v>-2.63</v>
      </c>
      <c r="D62" s="49">
        <f>VLOOKUP($A62,'Data shares'!$C:$FB,66)</f>
        <v>28535100</v>
      </c>
      <c r="E62" s="49">
        <f>VLOOKUP($A62,'Data shares'!$C:$FB,67)</f>
        <v>26746500</v>
      </c>
      <c r="F62" s="50">
        <f>VLOOKUP($A62,'Data shares'!$C:$FB,69)*100</f>
        <v>6.69</v>
      </c>
      <c r="G62" s="49">
        <f>VLOOKUP($A62,'Data shares'!$C:$FB,42)</f>
        <v>6704775</v>
      </c>
      <c r="H62" s="49">
        <f>VLOOKUP($A62,'Data shares'!$C:$FB,43)</f>
        <v>5456550</v>
      </c>
      <c r="I62" s="50">
        <f>VLOOKUP($A62,'Data shares'!$C:$FB,45)*100</f>
        <v>22.88</v>
      </c>
      <c r="J62" s="49">
        <f>VLOOKUP($A62,'Data shares'!$C:$FB,58)</f>
        <v>13308900</v>
      </c>
      <c r="K62" s="49">
        <f>VLOOKUP($A62,'Data shares'!$C:$FB,59)</f>
        <v>10767075</v>
      </c>
      <c r="L62" s="50">
        <f>VLOOKUP($A62,'Data shares'!$C:$FB,61)*100</f>
        <v>23.61</v>
      </c>
      <c r="M62" s="49">
        <f>VLOOKUP($A62,'Data shares'!$C:$FB,62)</f>
        <v>8521425</v>
      </c>
      <c r="N62" s="49">
        <f>VLOOKUP($A62,'Data shares'!$C:$FB,63)</f>
        <v>10522875</v>
      </c>
      <c r="O62" s="140">
        <f>VLOOKUP($A62,'Data shares'!$C:$FB,65)*100</f>
        <v>-19.02</v>
      </c>
    </row>
    <row r="63" spans="1:15" x14ac:dyDescent="0.25">
      <c r="A63" s="101" t="str">
        <f>'Data Vlaue (Cr)'!C58</f>
        <v>DMART</v>
      </c>
      <c r="B63" s="50">
        <f>VLOOKUP($A63,'Data shares'!$C:$FB,7)</f>
        <v>3953.6</v>
      </c>
      <c r="C63" s="50">
        <f>VLOOKUP($A63,'Data shares'!$C:$FB,10)*100</f>
        <v>0.22</v>
      </c>
      <c r="D63" s="49">
        <f>VLOOKUP($A63,'Data shares'!$C:$FB,66)</f>
        <v>3941400</v>
      </c>
      <c r="E63" s="49">
        <f>VLOOKUP($A63,'Data shares'!$C:$FB,67)</f>
        <v>3513750</v>
      </c>
      <c r="F63" s="50">
        <f>VLOOKUP($A63,'Data shares'!$C:$FB,69)*100</f>
        <v>12.17</v>
      </c>
      <c r="G63" s="49">
        <f>VLOOKUP($A63,'Data shares'!$C:$FB,42)</f>
        <v>1084200</v>
      </c>
      <c r="H63" s="49">
        <f>VLOOKUP($A63,'Data shares'!$C:$FB,43)</f>
        <v>732300</v>
      </c>
      <c r="I63" s="50">
        <f>VLOOKUP($A63,'Data shares'!$C:$FB,45)*100</f>
        <v>48.05</v>
      </c>
      <c r="J63" s="49">
        <f>VLOOKUP($A63,'Data shares'!$C:$FB,58)</f>
        <v>1922850</v>
      </c>
      <c r="K63" s="49">
        <f>VLOOKUP($A63,'Data shares'!$C:$FB,59)</f>
        <v>1902000</v>
      </c>
      <c r="L63" s="50">
        <f>VLOOKUP($A63,'Data shares'!$C:$FB,61)*100</f>
        <v>1.0999999999999999</v>
      </c>
      <c r="M63" s="49">
        <f>VLOOKUP($A63,'Data shares'!$C:$FB,62)</f>
        <v>934350</v>
      </c>
      <c r="N63" s="49">
        <f>VLOOKUP($A63,'Data shares'!$C:$FB,63)</f>
        <v>879450</v>
      </c>
      <c r="O63" s="140">
        <f>VLOOKUP($A63,'Data shares'!$C:$FB,65)*100</f>
        <v>6.2399999999999993</v>
      </c>
    </row>
    <row r="64" spans="1:15" x14ac:dyDescent="0.25">
      <c r="A64" s="101" t="str">
        <f>'Data Vlaue (Cr)'!C59</f>
        <v>DRREDDY</v>
      </c>
      <c r="B64" s="50">
        <f>VLOOKUP($A64,'Data shares'!$C:$FB,7)</f>
        <v>1319</v>
      </c>
      <c r="C64" s="50">
        <f>VLOOKUP($A64,'Data shares'!$C:$FB,10)*100</f>
        <v>-0.49</v>
      </c>
      <c r="D64" s="49">
        <f>VLOOKUP($A64,'Data shares'!$C:$FB,66)</f>
        <v>17207500</v>
      </c>
      <c r="E64" s="49">
        <f>VLOOKUP($A64,'Data shares'!$C:$FB,67)</f>
        <v>28331875</v>
      </c>
      <c r="F64" s="50">
        <f>VLOOKUP($A64,'Data shares'!$C:$FB,69)*100</f>
        <v>-39.26</v>
      </c>
      <c r="G64" s="49">
        <f>VLOOKUP($A64,'Data shares'!$C:$FB,42)</f>
        <v>2460000</v>
      </c>
      <c r="H64" s="49">
        <f>VLOOKUP($A64,'Data shares'!$C:$FB,43)</f>
        <v>3194375</v>
      </c>
      <c r="I64" s="50">
        <f>VLOOKUP($A64,'Data shares'!$C:$FB,45)*100</f>
        <v>-22.99</v>
      </c>
      <c r="J64" s="49">
        <f>VLOOKUP($A64,'Data shares'!$C:$FB,58)</f>
        <v>10790000</v>
      </c>
      <c r="K64" s="49">
        <f>VLOOKUP($A64,'Data shares'!$C:$FB,59)</f>
        <v>19485625</v>
      </c>
      <c r="L64" s="50">
        <f>VLOOKUP($A64,'Data shares'!$C:$FB,61)*100</f>
        <v>-44.629999999999995</v>
      </c>
      <c r="M64" s="49">
        <f>VLOOKUP($A64,'Data shares'!$C:$FB,62)</f>
        <v>3957500</v>
      </c>
      <c r="N64" s="49">
        <f>VLOOKUP($A64,'Data shares'!$C:$FB,63)</f>
        <v>5651875</v>
      </c>
      <c r="O64" s="140">
        <f>VLOOKUP($A64,'Data shares'!$C:$FB,65)*100</f>
        <v>-29.98</v>
      </c>
    </row>
    <row r="65" spans="1:15" x14ac:dyDescent="0.25">
      <c r="A65" s="101" t="str">
        <f>'Data Vlaue (Cr)'!C60</f>
        <v>EICHERMOT</v>
      </c>
      <c r="B65" s="50">
        <f>VLOOKUP($A65,'Data shares'!$C:$FB,7)</f>
        <v>6975.5</v>
      </c>
      <c r="C65" s="50">
        <f>VLOOKUP($A65,'Data shares'!$C:$FB,10)*100</f>
        <v>-3.83</v>
      </c>
      <c r="D65" s="49">
        <f>VLOOKUP($A65,'Data shares'!$C:$FB,66)</f>
        <v>7707300</v>
      </c>
      <c r="E65" s="49">
        <f>VLOOKUP($A65,'Data shares'!$C:$FB,67)</f>
        <v>4232300</v>
      </c>
      <c r="F65" s="50">
        <f>VLOOKUP($A65,'Data shares'!$C:$FB,69)*100</f>
        <v>82.11</v>
      </c>
      <c r="G65" s="49">
        <f>VLOOKUP($A65,'Data shares'!$C:$FB,42)</f>
        <v>1022400</v>
      </c>
      <c r="H65" s="49">
        <f>VLOOKUP($A65,'Data shares'!$C:$FB,43)</f>
        <v>534300</v>
      </c>
      <c r="I65" s="50">
        <f>VLOOKUP($A65,'Data shares'!$C:$FB,45)*100</f>
        <v>91.35</v>
      </c>
      <c r="J65" s="49">
        <f>VLOOKUP($A65,'Data shares'!$C:$FB,58)</f>
        <v>3932700</v>
      </c>
      <c r="K65" s="49">
        <f>VLOOKUP($A65,'Data shares'!$C:$FB,59)</f>
        <v>2182900</v>
      </c>
      <c r="L65" s="50">
        <f>VLOOKUP($A65,'Data shares'!$C:$FB,61)*100</f>
        <v>80.16</v>
      </c>
      <c r="M65" s="49">
        <f>VLOOKUP($A65,'Data shares'!$C:$FB,62)</f>
        <v>2752200</v>
      </c>
      <c r="N65" s="49">
        <f>VLOOKUP($A65,'Data shares'!$C:$FB,63)</f>
        <v>1515100</v>
      </c>
      <c r="O65" s="140">
        <f>VLOOKUP($A65,'Data shares'!$C:$FB,65)*100</f>
        <v>81.650000000000006</v>
      </c>
    </row>
    <row r="66" spans="1:15" x14ac:dyDescent="0.25">
      <c r="A66" s="101" t="str">
        <f>'Data Vlaue (Cr)'!C61</f>
        <v>ETERNAL</v>
      </c>
      <c r="B66" s="50">
        <f>VLOOKUP($A66,'Data shares'!$C:$FB,7)</f>
        <v>221.17</v>
      </c>
      <c r="C66" s="50">
        <f>VLOOKUP($A66,'Data shares'!$C:$FB,10)*100</f>
        <v>-1.18</v>
      </c>
      <c r="D66" s="49">
        <f>VLOOKUP($A66,'Data shares'!$C:$FB,66)</f>
        <v>316593450</v>
      </c>
      <c r="E66" s="49">
        <f>VLOOKUP($A66,'Data shares'!$C:$FB,67)</f>
        <v>144064400</v>
      </c>
      <c r="F66" s="50">
        <f>VLOOKUP($A66,'Data shares'!$C:$FB,69)*100</f>
        <v>119.76</v>
      </c>
      <c r="G66" s="49">
        <f>VLOOKUP($A66,'Data shares'!$C:$FB,42)</f>
        <v>59713200</v>
      </c>
      <c r="H66" s="49">
        <f>VLOOKUP($A66,'Data shares'!$C:$FB,43)</f>
        <v>23107825</v>
      </c>
      <c r="I66" s="50">
        <f>VLOOKUP($A66,'Data shares'!$C:$FB,45)*100</f>
        <v>158.41</v>
      </c>
      <c r="J66" s="49">
        <f>VLOOKUP($A66,'Data shares'!$C:$FB,58)</f>
        <v>116310275</v>
      </c>
      <c r="K66" s="49">
        <f>VLOOKUP($A66,'Data shares'!$C:$FB,59)</f>
        <v>70244975</v>
      </c>
      <c r="L66" s="50">
        <f>VLOOKUP($A66,'Data shares'!$C:$FB,61)*100</f>
        <v>65.58</v>
      </c>
      <c r="M66" s="49">
        <f>VLOOKUP($A66,'Data shares'!$C:$FB,62)</f>
        <v>140569975</v>
      </c>
      <c r="N66" s="49">
        <f>VLOOKUP($A66,'Data shares'!$C:$FB,63)</f>
        <v>50711600</v>
      </c>
      <c r="O66" s="140">
        <f>VLOOKUP($A66,'Data shares'!$C:$FB,65)*100</f>
        <v>177.19</v>
      </c>
    </row>
    <row r="67" spans="1:15" x14ac:dyDescent="0.25">
      <c r="A67" s="101" t="str">
        <f>'Data Vlaue (Cr)'!C62</f>
        <v>EXIDEIND</v>
      </c>
      <c r="B67" s="50">
        <f>VLOOKUP($A67,'Data shares'!$C:$FB,7)</f>
        <v>310</v>
      </c>
      <c r="C67" s="50">
        <f>VLOOKUP($A67,'Data shares'!$C:$FB,10)*100</f>
        <v>-0.48</v>
      </c>
      <c r="D67" s="49">
        <f>VLOOKUP($A67,'Data shares'!$C:$FB,66)</f>
        <v>10378800</v>
      </c>
      <c r="E67" s="49">
        <f>VLOOKUP($A67,'Data shares'!$C:$FB,67)</f>
        <v>9565200</v>
      </c>
      <c r="F67" s="50">
        <f>VLOOKUP($A67,'Data shares'!$C:$FB,69)*100</f>
        <v>8.51</v>
      </c>
      <c r="G67" s="49">
        <f>VLOOKUP($A67,'Data shares'!$C:$FB,42)</f>
        <v>3054600</v>
      </c>
      <c r="H67" s="49">
        <f>VLOOKUP($A67,'Data shares'!$C:$FB,43)</f>
        <v>2676600</v>
      </c>
      <c r="I67" s="50">
        <f>VLOOKUP($A67,'Data shares'!$C:$FB,45)*100</f>
        <v>14.12</v>
      </c>
      <c r="J67" s="49">
        <f>VLOOKUP($A67,'Data shares'!$C:$FB,58)</f>
        <v>5520600</v>
      </c>
      <c r="K67" s="49">
        <f>VLOOKUP($A67,'Data shares'!$C:$FB,59)</f>
        <v>4761000</v>
      </c>
      <c r="L67" s="50">
        <f>VLOOKUP($A67,'Data shares'!$C:$FB,61)*100</f>
        <v>15.950000000000001</v>
      </c>
      <c r="M67" s="49">
        <f>VLOOKUP($A67,'Data shares'!$C:$FB,62)</f>
        <v>1803600</v>
      </c>
      <c r="N67" s="49">
        <f>VLOOKUP($A67,'Data shares'!$C:$FB,63)</f>
        <v>2127600</v>
      </c>
      <c r="O67" s="140">
        <f>VLOOKUP($A67,'Data shares'!$C:$FB,65)*100</f>
        <v>-15.229999999999999</v>
      </c>
    </row>
    <row r="68" spans="1:15" x14ac:dyDescent="0.25">
      <c r="A68" s="101" t="str">
        <f>'Data Vlaue (Cr)'!C63</f>
        <v>FEDERALBNK</v>
      </c>
      <c r="B68" s="50">
        <f>VLOOKUP($A68,'Data shares'!$C:$FB,7)</f>
        <v>270.25</v>
      </c>
      <c r="C68" s="50">
        <f>VLOOKUP($A68,'Data shares'!$C:$FB,10)*100</f>
        <v>0.3</v>
      </c>
      <c r="D68" s="49">
        <f>VLOOKUP($A68,'Data shares'!$C:$FB,66)</f>
        <v>118365000</v>
      </c>
      <c r="E68" s="49">
        <f>VLOOKUP($A68,'Data shares'!$C:$FB,67)</f>
        <v>114055000</v>
      </c>
      <c r="F68" s="50">
        <f>VLOOKUP($A68,'Data shares'!$C:$FB,69)*100</f>
        <v>3.7800000000000002</v>
      </c>
      <c r="G68" s="49">
        <f>VLOOKUP($A68,'Data shares'!$C:$FB,42)</f>
        <v>21920000</v>
      </c>
      <c r="H68" s="49">
        <f>VLOOKUP($A68,'Data shares'!$C:$FB,43)</f>
        <v>18260000</v>
      </c>
      <c r="I68" s="50">
        <f>VLOOKUP($A68,'Data shares'!$C:$FB,45)*100</f>
        <v>20.04</v>
      </c>
      <c r="J68" s="49">
        <f>VLOOKUP($A68,'Data shares'!$C:$FB,58)</f>
        <v>68530000</v>
      </c>
      <c r="K68" s="49">
        <f>VLOOKUP($A68,'Data shares'!$C:$FB,59)</f>
        <v>73205000</v>
      </c>
      <c r="L68" s="50">
        <f>VLOOKUP($A68,'Data shares'!$C:$FB,61)*100</f>
        <v>-6.39</v>
      </c>
      <c r="M68" s="49">
        <f>VLOOKUP($A68,'Data shares'!$C:$FB,62)</f>
        <v>27915000</v>
      </c>
      <c r="N68" s="49">
        <f>VLOOKUP($A68,'Data shares'!$C:$FB,63)</f>
        <v>22590000</v>
      </c>
      <c r="O68" s="140">
        <f>VLOOKUP($A68,'Data shares'!$C:$FB,65)*100</f>
        <v>23.57</v>
      </c>
    </row>
    <row r="69" spans="1:15" x14ac:dyDescent="0.25">
      <c r="A69" s="101" t="str">
        <f>'Data Vlaue (Cr)'!C64</f>
        <v>FINNIFTY</v>
      </c>
      <c r="B69" s="50">
        <f>VLOOKUP($A69,'Data shares'!$C:$FB,7)</f>
        <v>25663.200000000001</v>
      </c>
      <c r="C69" s="50">
        <f>VLOOKUP($A69,'Data shares'!$C:$FB,10)*100</f>
        <v>-0.9900000000000001</v>
      </c>
      <c r="D69" s="49">
        <f>VLOOKUP($A69,'Data shares'!$C:$FB,66)</f>
        <v>2133660</v>
      </c>
      <c r="E69" s="49">
        <f>VLOOKUP($A69,'Data shares'!$C:$FB,67)</f>
        <v>2489940</v>
      </c>
      <c r="F69" s="50">
        <f>VLOOKUP($A69,'Data shares'!$C:$FB,69)*100</f>
        <v>-14.31</v>
      </c>
      <c r="G69" s="49">
        <f>VLOOKUP($A69,'Data shares'!$C:$FB,42)</f>
        <v>37560</v>
      </c>
      <c r="H69" s="49">
        <f>VLOOKUP($A69,'Data shares'!$C:$FB,43)</f>
        <v>20280</v>
      </c>
      <c r="I69" s="50">
        <f>VLOOKUP($A69,'Data shares'!$C:$FB,45)*100</f>
        <v>85.21</v>
      </c>
      <c r="J69" s="49">
        <f>VLOOKUP($A69,'Data shares'!$C:$FB,58)</f>
        <v>904860</v>
      </c>
      <c r="K69" s="49">
        <f>VLOOKUP($A69,'Data shares'!$C:$FB,59)</f>
        <v>1268520</v>
      </c>
      <c r="L69" s="50">
        <f>VLOOKUP($A69,'Data shares'!$C:$FB,61)*100</f>
        <v>-28.67</v>
      </c>
      <c r="M69" s="49">
        <f>VLOOKUP($A69,'Data shares'!$C:$FB,62)</f>
        <v>1191240</v>
      </c>
      <c r="N69" s="49">
        <f>VLOOKUP($A69,'Data shares'!$C:$FB,63)</f>
        <v>1201140</v>
      </c>
      <c r="O69" s="140">
        <f>VLOOKUP($A69,'Data shares'!$C:$FB,65)*100</f>
        <v>-0.82000000000000006</v>
      </c>
    </row>
    <row r="70" spans="1:15" x14ac:dyDescent="0.25">
      <c r="A70" s="101" t="str">
        <f>'Data Vlaue (Cr)'!C65</f>
        <v>FORTIS</v>
      </c>
      <c r="B70" s="50">
        <f>VLOOKUP($A70,'Data shares'!$C:$FB,7)</f>
        <v>859.5</v>
      </c>
      <c r="C70" s="50">
        <f>VLOOKUP($A70,'Data shares'!$C:$FB,10)*100</f>
        <v>-2.46</v>
      </c>
      <c r="D70" s="49">
        <f>VLOOKUP($A70,'Data shares'!$C:$FB,66)</f>
        <v>5407950</v>
      </c>
      <c r="E70" s="49">
        <f>VLOOKUP($A70,'Data shares'!$C:$FB,67)</f>
        <v>4552350</v>
      </c>
      <c r="F70" s="50">
        <f>VLOOKUP($A70,'Data shares'!$C:$FB,69)*100</f>
        <v>18.790000000000003</v>
      </c>
      <c r="G70" s="49">
        <f>VLOOKUP($A70,'Data shares'!$C:$FB,42)</f>
        <v>2074675</v>
      </c>
      <c r="H70" s="49">
        <f>VLOOKUP($A70,'Data shares'!$C:$FB,43)</f>
        <v>846300</v>
      </c>
      <c r="I70" s="50">
        <f>VLOOKUP($A70,'Data shares'!$C:$FB,45)*100</f>
        <v>145.15</v>
      </c>
      <c r="J70" s="49">
        <f>VLOOKUP($A70,'Data shares'!$C:$FB,58)</f>
        <v>2591600</v>
      </c>
      <c r="K70" s="49">
        <f>VLOOKUP($A70,'Data shares'!$C:$FB,59)</f>
        <v>2690025</v>
      </c>
      <c r="L70" s="50">
        <f>VLOOKUP($A70,'Data shares'!$C:$FB,61)*100</f>
        <v>-3.66</v>
      </c>
      <c r="M70" s="49">
        <f>VLOOKUP($A70,'Data shares'!$C:$FB,62)</f>
        <v>741675</v>
      </c>
      <c r="N70" s="49">
        <f>VLOOKUP($A70,'Data shares'!$C:$FB,63)</f>
        <v>1016025</v>
      </c>
      <c r="O70" s="140">
        <f>VLOOKUP($A70,'Data shares'!$C:$FB,65)*100</f>
        <v>-27</v>
      </c>
    </row>
    <row r="71" spans="1:15" x14ac:dyDescent="0.25">
      <c r="A71" s="101" t="str">
        <f>'Data Vlaue (Cr)'!C66</f>
        <v>GAIL</v>
      </c>
      <c r="B71" s="50">
        <f>VLOOKUP($A71,'Data shares'!$C:$FB,7)</f>
        <v>152.35</v>
      </c>
      <c r="C71" s="50">
        <f>VLOOKUP($A71,'Data shares'!$C:$FB,10)*100</f>
        <v>2.96</v>
      </c>
      <c r="D71" s="49">
        <f>VLOOKUP($A71,'Data shares'!$C:$FB,66)</f>
        <v>91413000</v>
      </c>
      <c r="E71" s="49">
        <f>VLOOKUP($A71,'Data shares'!$C:$FB,67)</f>
        <v>71476650</v>
      </c>
      <c r="F71" s="50">
        <f>VLOOKUP($A71,'Data shares'!$C:$FB,69)*100</f>
        <v>27.889999999999997</v>
      </c>
      <c r="G71" s="49">
        <f>VLOOKUP($A71,'Data shares'!$C:$FB,42)</f>
        <v>17910900</v>
      </c>
      <c r="H71" s="49">
        <f>VLOOKUP($A71,'Data shares'!$C:$FB,43)</f>
        <v>19630800</v>
      </c>
      <c r="I71" s="50">
        <f>VLOOKUP($A71,'Data shares'!$C:$FB,45)*100</f>
        <v>-8.76</v>
      </c>
      <c r="J71" s="49">
        <f>VLOOKUP($A71,'Data shares'!$C:$FB,58)</f>
        <v>52523100</v>
      </c>
      <c r="K71" s="49">
        <f>VLOOKUP($A71,'Data shares'!$C:$FB,59)</f>
        <v>33138000</v>
      </c>
      <c r="L71" s="50">
        <f>VLOOKUP($A71,'Data shares'!$C:$FB,61)*100</f>
        <v>58.5</v>
      </c>
      <c r="M71" s="49">
        <f>VLOOKUP($A71,'Data shares'!$C:$FB,62)</f>
        <v>20979000</v>
      </c>
      <c r="N71" s="49">
        <f>VLOOKUP($A71,'Data shares'!$C:$FB,63)</f>
        <v>18707850</v>
      </c>
      <c r="O71" s="140">
        <f>VLOOKUP($A71,'Data shares'!$C:$FB,65)*100</f>
        <v>12.139999999999999</v>
      </c>
    </row>
    <row r="72" spans="1:15" x14ac:dyDescent="0.25">
      <c r="A72" s="101" t="str">
        <f>'Data Vlaue (Cr)'!C67</f>
        <v>GLENMARK</v>
      </c>
      <c r="B72" s="50">
        <f>VLOOKUP($A72,'Data shares'!$C:$FB,7)</f>
        <v>2256.4</v>
      </c>
      <c r="C72" s="50">
        <f>VLOOKUP($A72,'Data shares'!$C:$FB,10)*100</f>
        <v>-0.72</v>
      </c>
      <c r="D72" s="49">
        <f>VLOOKUP($A72,'Data shares'!$C:$FB,66)</f>
        <v>6997875</v>
      </c>
      <c r="E72" s="49">
        <f>VLOOKUP($A72,'Data shares'!$C:$FB,67)</f>
        <v>17075250</v>
      </c>
      <c r="F72" s="50">
        <f>VLOOKUP($A72,'Data shares'!$C:$FB,69)*100</f>
        <v>-59.019999999999996</v>
      </c>
      <c r="G72" s="49">
        <f>VLOOKUP($A72,'Data shares'!$C:$FB,42)</f>
        <v>1610625</v>
      </c>
      <c r="H72" s="49">
        <f>VLOOKUP($A72,'Data shares'!$C:$FB,43)</f>
        <v>2328000</v>
      </c>
      <c r="I72" s="50">
        <f>VLOOKUP($A72,'Data shares'!$C:$FB,45)*100</f>
        <v>-30.819999999999997</v>
      </c>
      <c r="J72" s="49">
        <f>VLOOKUP($A72,'Data shares'!$C:$FB,58)</f>
        <v>3124125</v>
      </c>
      <c r="K72" s="49">
        <f>VLOOKUP($A72,'Data shares'!$C:$FB,59)</f>
        <v>11403375</v>
      </c>
      <c r="L72" s="50">
        <f>VLOOKUP($A72,'Data shares'!$C:$FB,61)*100</f>
        <v>-72.599999999999994</v>
      </c>
      <c r="M72" s="49">
        <f>VLOOKUP($A72,'Data shares'!$C:$FB,62)</f>
        <v>2263125</v>
      </c>
      <c r="N72" s="49">
        <f>VLOOKUP($A72,'Data shares'!$C:$FB,63)</f>
        <v>3343875</v>
      </c>
      <c r="O72" s="140">
        <f>VLOOKUP($A72,'Data shares'!$C:$FB,65)*100</f>
        <v>-32.32</v>
      </c>
    </row>
    <row r="73" spans="1:15" x14ac:dyDescent="0.25">
      <c r="A73" s="101" t="str">
        <f>'Data Vlaue (Cr)'!C68</f>
        <v>GMRAIRPORT</v>
      </c>
      <c r="B73" s="50">
        <f>VLOOKUP($A73,'Data shares'!$C:$FB,7)</f>
        <v>93.29</v>
      </c>
      <c r="C73" s="50">
        <f>VLOOKUP($A73,'Data shares'!$C:$FB,10)*100</f>
        <v>-0.53</v>
      </c>
      <c r="D73" s="49">
        <f>VLOOKUP($A73,'Data shares'!$C:$FB,66)</f>
        <v>66136950</v>
      </c>
      <c r="E73" s="49">
        <f>VLOOKUP($A73,'Data shares'!$C:$FB,67)</f>
        <v>57711150</v>
      </c>
      <c r="F73" s="50">
        <f>VLOOKUP($A73,'Data shares'!$C:$FB,69)*100</f>
        <v>14.6</v>
      </c>
      <c r="G73" s="49">
        <f>VLOOKUP($A73,'Data shares'!$C:$FB,42)</f>
        <v>22368825</v>
      </c>
      <c r="H73" s="49">
        <f>VLOOKUP($A73,'Data shares'!$C:$FB,43)</f>
        <v>14968350</v>
      </c>
      <c r="I73" s="50">
        <f>VLOOKUP($A73,'Data shares'!$C:$FB,45)*100</f>
        <v>49.44</v>
      </c>
      <c r="J73" s="49">
        <f>VLOOKUP($A73,'Data shares'!$C:$FB,58)</f>
        <v>20904075</v>
      </c>
      <c r="K73" s="49">
        <f>VLOOKUP($A73,'Data shares'!$C:$FB,59)</f>
        <v>26170200</v>
      </c>
      <c r="L73" s="50">
        <f>VLOOKUP($A73,'Data shares'!$C:$FB,61)*100</f>
        <v>-20.119999999999997</v>
      </c>
      <c r="M73" s="49">
        <f>VLOOKUP($A73,'Data shares'!$C:$FB,62)</f>
        <v>22864050</v>
      </c>
      <c r="N73" s="49">
        <f>VLOOKUP($A73,'Data shares'!$C:$FB,63)</f>
        <v>16572600</v>
      </c>
      <c r="O73" s="140">
        <f>VLOOKUP($A73,'Data shares'!$C:$FB,65)*100</f>
        <v>37.96</v>
      </c>
    </row>
    <row r="74" spans="1:15" x14ac:dyDescent="0.25">
      <c r="A74" s="101" t="str">
        <f>'Data Vlaue (Cr)'!C69</f>
        <v>GODREJCP</v>
      </c>
      <c r="B74" s="50">
        <f>VLOOKUP($A74,'Data shares'!$C:$FB,7)</f>
        <v>1052.3</v>
      </c>
      <c r="C74" s="50">
        <f>VLOOKUP($A74,'Data shares'!$C:$FB,10)*100</f>
        <v>-3.58</v>
      </c>
      <c r="D74" s="49">
        <f>VLOOKUP($A74,'Data shares'!$C:$FB,66)</f>
        <v>8241000</v>
      </c>
      <c r="E74" s="49">
        <f>VLOOKUP($A74,'Data shares'!$C:$FB,67)</f>
        <v>3223500</v>
      </c>
      <c r="F74" s="50">
        <f>VLOOKUP($A74,'Data shares'!$C:$FB,69)*100</f>
        <v>155.65</v>
      </c>
      <c r="G74" s="49">
        <f>VLOOKUP($A74,'Data shares'!$C:$FB,42)</f>
        <v>3617500</v>
      </c>
      <c r="H74" s="49">
        <f>VLOOKUP($A74,'Data shares'!$C:$FB,43)</f>
        <v>1315000</v>
      </c>
      <c r="I74" s="50">
        <f>VLOOKUP($A74,'Data shares'!$C:$FB,45)*100</f>
        <v>175.1</v>
      </c>
      <c r="J74" s="49">
        <f>VLOOKUP($A74,'Data shares'!$C:$FB,58)</f>
        <v>2570000</v>
      </c>
      <c r="K74" s="49">
        <f>VLOOKUP($A74,'Data shares'!$C:$FB,59)</f>
        <v>982500</v>
      </c>
      <c r="L74" s="50">
        <f>VLOOKUP($A74,'Data shares'!$C:$FB,61)*100</f>
        <v>161.57999999999998</v>
      </c>
      <c r="M74" s="49">
        <f>VLOOKUP($A74,'Data shares'!$C:$FB,62)</f>
        <v>2053500</v>
      </c>
      <c r="N74" s="49">
        <f>VLOOKUP($A74,'Data shares'!$C:$FB,63)</f>
        <v>926000</v>
      </c>
      <c r="O74" s="140">
        <f>VLOOKUP($A74,'Data shares'!$C:$FB,65)*100</f>
        <v>121.76</v>
      </c>
    </row>
    <row r="75" spans="1:15" x14ac:dyDescent="0.25">
      <c r="A75" s="101" t="str">
        <f>'Data Vlaue (Cr)'!C70</f>
        <v>GODREJPROP</v>
      </c>
      <c r="B75" s="50">
        <f>VLOOKUP($A75,'Data shares'!$C:$FB,7)</f>
        <v>1616.3</v>
      </c>
      <c r="C75" s="50">
        <f>VLOOKUP($A75,'Data shares'!$C:$FB,10)*100</f>
        <v>-2.11</v>
      </c>
      <c r="D75" s="49">
        <f>VLOOKUP($A75,'Data shares'!$C:$FB,66)</f>
        <v>4727800</v>
      </c>
      <c r="E75" s="49">
        <f>VLOOKUP($A75,'Data shares'!$C:$FB,67)</f>
        <v>3972650</v>
      </c>
      <c r="F75" s="50">
        <f>VLOOKUP($A75,'Data shares'!$C:$FB,69)*100</f>
        <v>19.009999999999998</v>
      </c>
      <c r="G75" s="49">
        <f>VLOOKUP($A75,'Data shares'!$C:$FB,42)</f>
        <v>1245750</v>
      </c>
      <c r="H75" s="49">
        <f>VLOOKUP($A75,'Data shares'!$C:$FB,43)</f>
        <v>1326325</v>
      </c>
      <c r="I75" s="50">
        <f>VLOOKUP($A75,'Data shares'!$C:$FB,45)*100</f>
        <v>-6.08</v>
      </c>
      <c r="J75" s="49">
        <f>VLOOKUP($A75,'Data shares'!$C:$FB,58)</f>
        <v>1884850</v>
      </c>
      <c r="K75" s="49">
        <f>VLOOKUP($A75,'Data shares'!$C:$FB,59)</f>
        <v>1514425</v>
      </c>
      <c r="L75" s="50">
        <f>VLOOKUP($A75,'Data shares'!$C:$FB,61)*100</f>
        <v>24.46</v>
      </c>
      <c r="M75" s="49">
        <f>VLOOKUP($A75,'Data shares'!$C:$FB,62)</f>
        <v>1597200</v>
      </c>
      <c r="N75" s="49">
        <f>VLOOKUP($A75,'Data shares'!$C:$FB,63)</f>
        <v>1131900</v>
      </c>
      <c r="O75" s="140">
        <f>VLOOKUP($A75,'Data shares'!$C:$FB,65)*100</f>
        <v>41.11</v>
      </c>
    </row>
    <row r="76" spans="1:15" x14ac:dyDescent="0.25">
      <c r="A76" s="101" t="str">
        <f>'Data Vlaue (Cr)'!C71</f>
        <v>GRASIM</v>
      </c>
      <c r="B76" s="50">
        <f>VLOOKUP($A76,'Data shares'!$C:$FB,7)</f>
        <v>2673.1</v>
      </c>
      <c r="C76" s="50">
        <f>VLOOKUP($A76,'Data shares'!$C:$FB,10)*100</f>
        <v>-2.2800000000000002</v>
      </c>
      <c r="D76" s="49">
        <f>VLOOKUP($A76,'Data shares'!$C:$FB,66)</f>
        <v>3646750</v>
      </c>
      <c r="E76" s="49">
        <f>VLOOKUP($A76,'Data shares'!$C:$FB,67)</f>
        <v>4447250</v>
      </c>
      <c r="F76" s="50">
        <f>VLOOKUP($A76,'Data shares'!$C:$FB,69)*100</f>
        <v>-18</v>
      </c>
      <c r="G76" s="49">
        <f>VLOOKUP($A76,'Data shares'!$C:$FB,42)</f>
        <v>1226000</v>
      </c>
      <c r="H76" s="49">
        <f>VLOOKUP($A76,'Data shares'!$C:$FB,43)</f>
        <v>1430250</v>
      </c>
      <c r="I76" s="50">
        <f>VLOOKUP($A76,'Data shares'!$C:$FB,45)*100</f>
        <v>-14.280000000000001</v>
      </c>
      <c r="J76" s="49">
        <f>VLOOKUP($A76,'Data shares'!$C:$FB,58)</f>
        <v>1416750</v>
      </c>
      <c r="K76" s="49">
        <f>VLOOKUP($A76,'Data shares'!$C:$FB,59)</f>
        <v>1786500</v>
      </c>
      <c r="L76" s="50">
        <f>VLOOKUP($A76,'Data shares'!$C:$FB,61)*100</f>
        <v>-20.7</v>
      </c>
      <c r="M76" s="49">
        <f>VLOOKUP($A76,'Data shares'!$C:$FB,62)</f>
        <v>1004000</v>
      </c>
      <c r="N76" s="49">
        <f>VLOOKUP($A76,'Data shares'!$C:$FB,63)</f>
        <v>1230500</v>
      </c>
      <c r="O76" s="140">
        <f>VLOOKUP($A76,'Data shares'!$C:$FB,65)*100</f>
        <v>-18.41</v>
      </c>
    </row>
    <row r="77" spans="1:15" x14ac:dyDescent="0.25">
      <c r="A77" s="101" t="str">
        <f>'Data Vlaue (Cr)'!C72</f>
        <v>HAL</v>
      </c>
      <c r="B77" s="50">
        <f>VLOOKUP($A77,'Data shares'!$C:$FB,7)</f>
        <v>4013.5</v>
      </c>
      <c r="C77" s="50">
        <f>VLOOKUP($A77,'Data shares'!$C:$FB,10)*100</f>
        <v>0.21</v>
      </c>
      <c r="D77" s="49">
        <f>VLOOKUP($A77,'Data shares'!$C:$FB,66)</f>
        <v>7395750</v>
      </c>
      <c r="E77" s="49">
        <f>VLOOKUP($A77,'Data shares'!$C:$FB,67)</f>
        <v>9492750</v>
      </c>
      <c r="F77" s="50">
        <f>VLOOKUP($A77,'Data shares'!$C:$FB,69)*100</f>
        <v>-22.09</v>
      </c>
      <c r="G77" s="49">
        <f>VLOOKUP($A77,'Data shares'!$C:$FB,42)</f>
        <v>1035750</v>
      </c>
      <c r="H77" s="49">
        <f>VLOOKUP($A77,'Data shares'!$C:$FB,43)</f>
        <v>1694550</v>
      </c>
      <c r="I77" s="50">
        <f>VLOOKUP($A77,'Data shares'!$C:$FB,45)*100</f>
        <v>-38.879999999999995</v>
      </c>
      <c r="J77" s="49">
        <f>VLOOKUP($A77,'Data shares'!$C:$FB,58)</f>
        <v>4825650</v>
      </c>
      <c r="K77" s="49">
        <f>VLOOKUP($A77,'Data shares'!$C:$FB,59)</f>
        <v>5513550</v>
      </c>
      <c r="L77" s="50">
        <f>VLOOKUP($A77,'Data shares'!$C:$FB,61)*100</f>
        <v>-12.479999999999999</v>
      </c>
      <c r="M77" s="49">
        <f>VLOOKUP($A77,'Data shares'!$C:$FB,62)</f>
        <v>1534350</v>
      </c>
      <c r="N77" s="49">
        <f>VLOOKUP($A77,'Data shares'!$C:$FB,63)</f>
        <v>2284650</v>
      </c>
      <c r="O77" s="140">
        <f>VLOOKUP($A77,'Data shares'!$C:$FB,65)*100</f>
        <v>-32.840000000000003</v>
      </c>
    </row>
    <row r="78" spans="1:15" x14ac:dyDescent="0.25">
      <c r="A78" s="101" t="str">
        <f>'Data Vlaue (Cr)'!C73</f>
        <v>HAVELLS</v>
      </c>
      <c r="B78" s="50">
        <f>VLOOKUP($A78,'Data shares'!$C:$FB,7)</f>
        <v>1354</v>
      </c>
      <c r="C78" s="50">
        <f>VLOOKUP($A78,'Data shares'!$C:$FB,10)*100</f>
        <v>-0.84</v>
      </c>
      <c r="D78" s="49">
        <f>VLOOKUP($A78,'Data shares'!$C:$FB,66)</f>
        <v>5612000</v>
      </c>
      <c r="E78" s="49">
        <f>VLOOKUP($A78,'Data shares'!$C:$FB,67)</f>
        <v>13172500</v>
      </c>
      <c r="F78" s="50">
        <f>VLOOKUP($A78,'Data shares'!$C:$FB,69)*100</f>
        <v>-57.4</v>
      </c>
      <c r="G78" s="49">
        <f>VLOOKUP($A78,'Data shares'!$C:$FB,42)</f>
        <v>1328000</v>
      </c>
      <c r="H78" s="49">
        <f>VLOOKUP($A78,'Data shares'!$C:$FB,43)</f>
        <v>2188000</v>
      </c>
      <c r="I78" s="50">
        <f>VLOOKUP($A78,'Data shares'!$C:$FB,45)*100</f>
        <v>-39.31</v>
      </c>
      <c r="J78" s="49">
        <f>VLOOKUP($A78,'Data shares'!$C:$FB,58)</f>
        <v>2555000</v>
      </c>
      <c r="K78" s="49">
        <f>VLOOKUP($A78,'Data shares'!$C:$FB,59)</f>
        <v>8352000</v>
      </c>
      <c r="L78" s="50">
        <f>VLOOKUP($A78,'Data shares'!$C:$FB,61)*100</f>
        <v>-69.410000000000011</v>
      </c>
      <c r="M78" s="49">
        <f>VLOOKUP($A78,'Data shares'!$C:$FB,62)</f>
        <v>1729000</v>
      </c>
      <c r="N78" s="49">
        <f>VLOOKUP($A78,'Data shares'!$C:$FB,63)</f>
        <v>2632500</v>
      </c>
      <c r="O78" s="140">
        <f>VLOOKUP($A78,'Data shares'!$C:$FB,65)*100</f>
        <v>-34.32</v>
      </c>
    </row>
    <row r="79" spans="1:15" x14ac:dyDescent="0.25">
      <c r="A79" s="101" t="str">
        <f>'Data Vlaue (Cr)'!C74</f>
        <v>HCLTECH</v>
      </c>
      <c r="B79" s="50">
        <f>VLOOKUP($A79,'Data shares'!$C:$FB,7)</f>
        <v>1358.1</v>
      </c>
      <c r="C79" s="50">
        <f>VLOOKUP($A79,'Data shares'!$C:$FB,10)*100</f>
        <v>0.57999999999999996</v>
      </c>
      <c r="D79" s="49">
        <f>VLOOKUP($A79,'Data shares'!$C:$FB,66)</f>
        <v>13720700</v>
      </c>
      <c r="E79" s="49">
        <f>VLOOKUP($A79,'Data shares'!$C:$FB,67)</f>
        <v>9126250</v>
      </c>
      <c r="F79" s="50">
        <f>VLOOKUP($A79,'Data shares'!$C:$FB,69)*100</f>
        <v>50.339999999999996</v>
      </c>
      <c r="G79" s="49">
        <f>VLOOKUP($A79,'Data shares'!$C:$FB,42)</f>
        <v>2832550</v>
      </c>
      <c r="H79" s="49">
        <f>VLOOKUP($A79,'Data shares'!$C:$FB,43)</f>
        <v>2054500</v>
      </c>
      <c r="I79" s="50">
        <f>VLOOKUP($A79,'Data shares'!$C:$FB,45)*100</f>
        <v>37.869999999999997</v>
      </c>
      <c r="J79" s="49">
        <f>VLOOKUP($A79,'Data shares'!$C:$FB,58)</f>
        <v>7359800</v>
      </c>
      <c r="K79" s="49">
        <f>VLOOKUP($A79,'Data shares'!$C:$FB,59)</f>
        <v>3781050</v>
      </c>
      <c r="L79" s="50">
        <f>VLOOKUP($A79,'Data shares'!$C:$FB,61)*100</f>
        <v>94.65</v>
      </c>
      <c r="M79" s="49">
        <f>VLOOKUP($A79,'Data shares'!$C:$FB,62)</f>
        <v>3528350</v>
      </c>
      <c r="N79" s="49">
        <f>VLOOKUP($A79,'Data shares'!$C:$FB,63)</f>
        <v>3290700</v>
      </c>
      <c r="O79" s="140">
        <f>VLOOKUP($A79,'Data shares'!$C:$FB,65)*100</f>
        <v>7.22</v>
      </c>
    </row>
    <row r="80" spans="1:15" x14ac:dyDescent="0.25">
      <c r="A80" s="101" t="str">
        <f>'Data Vlaue (Cr)'!C75</f>
        <v>HDFCAMC</v>
      </c>
      <c r="B80" s="50">
        <f>VLOOKUP($A80,'Data shares'!$C:$FB,7)</f>
        <v>2429</v>
      </c>
      <c r="C80" s="50">
        <f>VLOOKUP($A80,'Data shares'!$C:$FB,10)*100</f>
        <v>-0.77999999999999992</v>
      </c>
      <c r="D80" s="49">
        <f>VLOOKUP($A80,'Data shares'!$C:$FB,66)</f>
        <v>2721300</v>
      </c>
      <c r="E80" s="49">
        <f>VLOOKUP($A80,'Data shares'!$C:$FB,67)</f>
        <v>3235500</v>
      </c>
      <c r="F80" s="50">
        <f>VLOOKUP($A80,'Data shares'!$C:$FB,69)*100</f>
        <v>-15.89</v>
      </c>
      <c r="G80" s="49">
        <f>VLOOKUP($A80,'Data shares'!$C:$FB,42)</f>
        <v>879300</v>
      </c>
      <c r="H80" s="49">
        <f>VLOOKUP($A80,'Data shares'!$C:$FB,43)</f>
        <v>1075200</v>
      </c>
      <c r="I80" s="50">
        <f>VLOOKUP($A80,'Data shares'!$C:$FB,45)*100</f>
        <v>-18.22</v>
      </c>
      <c r="J80" s="49">
        <f>VLOOKUP($A80,'Data shares'!$C:$FB,58)</f>
        <v>1199100</v>
      </c>
      <c r="K80" s="49">
        <f>VLOOKUP($A80,'Data shares'!$C:$FB,59)</f>
        <v>1461300</v>
      </c>
      <c r="L80" s="50">
        <f>VLOOKUP($A80,'Data shares'!$C:$FB,61)*100</f>
        <v>-17.940000000000001</v>
      </c>
      <c r="M80" s="49">
        <f>VLOOKUP($A80,'Data shares'!$C:$FB,62)</f>
        <v>642900</v>
      </c>
      <c r="N80" s="49">
        <f>VLOOKUP($A80,'Data shares'!$C:$FB,63)</f>
        <v>699000</v>
      </c>
      <c r="O80" s="140">
        <f>VLOOKUP($A80,'Data shares'!$C:$FB,65)*100</f>
        <v>-8.0299999999999994</v>
      </c>
    </row>
    <row r="81" spans="1:15" x14ac:dyDescent="0.25">
      <c r="A81" s="101" t="str">
        <f>'Data Vlaue (Cr)'!C76</f>
        <v>HDFCBANK</v>
      </c>
      <c r="B81" s="50">
        <f>VLOOKUP($A81,'Data shares'!$C:$FB,7)</f>
        <v>832.75</v>
      </c>
      <c r="C81" s="50">
        <f>VLOOKUP($A81,'Data shares'!$C:$FB,10)*100</f>
        <v>-0.13999999999999999</v>
      </c>
      <c r="D81" s="49">
        <f>VLOOKUP($A81,'Data shares'!$C:$FB,66)</f>
        <v>123809950</v>
      </c>
      <c r="E81" s="49">
        <f>VLOOKUP($A81,'Data shares'!$C:$FB,67)</f>
        <v>169118950</v>
      </c>
      <c r="F81" s="50">
        <f>VLOOKUP($A81,'Data shares'!$C:$FB,69)*100</f>
        <v>-26.790000000000003</v>
      </c>
      <c r="G81" s="49">
        <f>VLOOKUP($A81,'Data shares'!$C:$FB,42)</f>
        <v>28918450</v>
      </c>
      <c r="H81" s="49">
        <f>VLOOKUP($A81,'Data shares'!$C:$FB,43)</f>
        <v>29739050</v>
      </c>
      <c r="I81" s="50">
        <f>VLOOKUP($A81,'Data shares'!$C:$FB,45)*100</f>
        <v>-2.76</v>
      </c>
      <c r="J81" s="49">
        <f>VLOOKUP($A81,'Data shares'!$C:$FB,58)</f>
        <v>60388900</v>
      </c>
      <c r="K81" s="49">
        <f>VLOOKUP($A81,'Data shares'!$C:$FB,59)</f>
        <v>93139750</v>
      </c>
      <c r="L81" s="50">
        <f>VLOOKUP($A81,'Data shares'!$C:$FB,61)*100</f>
        <v>-35.160000000000004</v>
      </c>
      <c r="M81" s="49">
        <f>VLOOKUP($A81,'Data shares'!$C:$FB,62)</f>
        <v>34502600</v>
      </c>
      <c r="N81" s="49">
        <f>VLOOKUP($A81,'Data shares'!$C:$FB,63)</f>
        <v>46240150</v>
      </c>
      <c r="O81" s="140">
        <f>VLOOKUP($A81,'Data shares'!$C:$FB,65)*100</f>
        <v>-25.380000000000003</v>
      </c>
    </row>
    <row r="82" spans="1:15" x14ac:dyDescent="0.25">
      <c r="A82" s="101" t="str">
        <f>'Data Vlaue (Cr)'!C77</f>
        <v>HDFCLIFE</v>
      </c>
      <c r="B82" s="50">
        <f>VLOOKUP($A82,'Data shares'!$C:$FB,7)</f>
        <v>645.70000000000005</v>
      </c>
      <c r="C82" s="50">
        <f>VLOOKUP($A82,'Data shares'!$C:$FB,10)*100</f>
        <v>-0.33999999999999997</v>
      </c>
      <c r="D82" s="49">
        <f>VLOOKUP($A82,'Data shares'!$C:$FB,66)</f>
        <v>13259400</v>
      </c>
      <c r="E82" s="49">
        <f>VLOOKUP($A82,'Data shares'!$C:$FB,67)</f>
        <v>13134000</v>
      </c>
      <c r="F82" s="50">
        <f>VLOOKUP($A82,'Data shares'!$C:$FB,69)*100</f>
        <v>0.95</v>
      </c>
      <c r="G82" s="49">
        <f>VLOOKUP($A82,'Data shares'!$C:$FB,42)</f>
        <v>2420000</v>
      </c>
      <c r="H82" s="49">
        <f>VLOOKUP($A82,'Data shares'!$C:$FB,43)</f>
        <v>3086600</v>
      </c>
      <c r="I82" s="50">
        <f>VLOOKUP($A82,'Data shares'!$C:$FB,45)*100</f>
        <v>-21.6</v>
      </c>
      <c r="J82" s="49">
        <f>VLOOKUP($A82,'Data shares'!$C:$FB,58)</f>
        <v>7673600</v>
      </c>
      <c r="K82" s="49">
        <f>VLOOKUP($A82,'Data shares'!$C:$FB,59)</f>
        <v>6704500</v>
      </c>
      <c r="L82" s="50">
        <f>VLOOKUP($A82,'Data shares'!$C:$FB,61)*100</f>
        <v>14.45</v>
      </c>
      <c r="M82" s="49">
        <f>VLOOKUP($A82,'Data shares'!$C:$FB,62)</f>
        <v>3165800</v>
      </c>
      <c r="N82" s="49">
        <f>VLOOKUP($A82,'Data shares'!$C:$FB,63)</f>
        <v>3342900</v>
      </c>
      <c r="O82" s="140">
        <f>VLOOKUP($A82,'Data shares'!$C:$FB,65)*100</f>
        <v>-5.3</v>
      </c>
    </row>
    <row r="83" spans="1:15" x14ac:dyDescent="0.25">
      <c r="A83" s="101" t="str">
        <f>'Data Vlaue (Cr)'!C78</f>
        <v>HEROMOTOCO</v>
      </c>
      <c r="B83" s="50">
        <f>VLOOKUP($A83,'Data shares'!$C:$FB,7)</f>
        <v>5394.5</v>
      </c>
      <c r="C83" s="50">
        <f>VLOOKUP($A83,'Data shares'!$C:$FB,10)*100</f>
        <v>-3.2399999999999998</v>
      </c>
      <c r="D83" s="49">
        <f>VLOOKUP($A83,'Data shares'!$C:$FB,66)</f>
        <v>6017250</v>
      </c>
      <c r="E83" s="49">
        <f>VLOOKUP($A83,'Data shares'!$C:$FB,67)</f>
        <v>6322050</v>
      </c>
      <c r="F83" s="50">
        <f>VLOOKUP($A83,'Data shares'!$C:$FB,69)*100</f>
        <v>-4.82</v>
      </c>
      <c r="G83" s="49">
        <f>VLOOKUP($A83,'Data shares'!$C:$FB,42)</f>
        <v>839700</v>
      </c>
      <c r="H83" s="49">
        <f>VLOOKUP($A83,'Data shares'!$C:$FB,43)</f>
        <v>771750</v>
      </c>
      <c r="I83" s="50">
        <f>VLOOKUP($A83,'Data shares'!$C:$FB,45)*100</f>
        <v>8.7999999999999989</v>
      </c>
      <c r="J83" s="49">
        <f>VLOOKUP($A83,'Data shares'!$C:$FB,58)</f>
        <v>3137400</v>
      </c>
      <c r="K83" s="49">
        <f>VLOOKUP($A83,'Data shares'!$C:$FB,59)</f>
        <v>3536100</v>
      </c>
      <c r="L83" s="50">
        <f>VLOOKUP($A83,'Data shares'!$C:$FB,61)*100</f>
        <v>-11.28</v>
      </c>
      <c r="M83" s="49">
        <f>VLOOKUP($A83,'Data shares'!$C:$FB,62)</f>
        <v>2040150</v>
      </c>
      <c r="N83" s="49">
        <f>VLOOKUP($A83,'Data shares'!$C:$FB,63)</f>
        <v>2014200</v>
      </c>
      <c r="O83" s="140">
        <f>VLOOKUP($A83,'Data shares'!$C:$FB,65)*100</f>
        <v>1.29</v>
      </c>
    </row>
    <row r="84" spans="1:15" x14ac:dyDescent="0.25">
      <c r="A84" s="101" t="str">
        <f>'Data Vlaue (Cr)'!C79</f>
        <v>HINDALCO</v>
      </c>
      <c r="B84" s="50">
        <f>VLOOKUP($A84,'Data shares'!$C:$FB,7)</f>
        <v>969.75</v>
      </c>
      <c r="C84" s="50">
        <f>VLOOKUP($A84,'Data shares'!$C:$FB,10)*100</f>
        <v>1.1100000000000001</v>
      </c>
      <c r="D84" s="49">
        <f>VLOOKUP($A84,'Data shares'!$C:$FB,66)</f>
        <v>41243300</v>
      </c>
      <c r="E84" s="49">
        <f>VLOOKUP($A84,'Data shares'!$C:$FB,67)</f>
        <v>44989000</v>
      </c>
      <c r="F84" s="50">
        <f>VLOOKUP($A84,'Data shares'!$C:$FB,69)*100</f>
        <v>-8.33</v>
      </c>
      <c r="G84" s="49">
        <f>VLOOKUP($A84,'Data shares'!$C:$FB,42)</f>
        <v>8269100</v>
      </c>
      <c r="H84" s="49">
        <f>VLOOKUP($A84,'Data shares'!$C:$FB,43)</f>
        <v>8037400</v>
      </c>
      <c r="I84" s="50">
        <f>VLOOKUP($A84,'Data shares'!$C:$FB,45)*100</f>
        <v>2.88</v>
      </c>
      <c r="J84" s="49">
        <f>VLOOKUP($A84,'Data shares'!$C:$FB,58)</f>
        <v>20089300</v>
      </c>
      <c r="K84" s="49">
        <f>VLOOKUP($A84,'Data shares'!$C:$FB,59)</f>
        <v>22150800</v>
      </c>
      <c r="L84" s="50">
        <f>VLOOKUP($A84,'Data shares'!$C:$FB,61)*100</f>
        <v>-9.31</v>
      </c>
      <c r="M84" s="49">
        <f>VLOOKUP($A84,'Data shares'!$C:$FB,62)</f>
        <v>12884900</v>
      </c>
      <c r="N84" s="49">
        <f>VLOOKUP($A84,'Data shares'!$C:$FB,63)</f>
        <v>14800800</v>
      </c>
      <c r="O84" s="140">
        <f>VLOOKUP($A84,'Data shares'!$C:$FB,65)*100</f>
        <v>-12.94</v>
      </c>
    </row>
    <row r="85" spans="1:15" x14ac:dyDescent="0.25">
      <c r="A85" s="101" t="str">
        <f>'Data Vlaue (Cr)'!C80</f>
        <v>HINDPETRO</v>
      </c>
      <c r="B85" s="50">
        <f>VLOOKUP($A85,'Data shares'!$C:$FB,7)</f>
        <v>384.35</v>
      </c>
      <c r="C85" s="50">
        <f>VLOOKUP($A85,'Data shares'!$C:$FB,10)*100</f>
        <v>0.03</v>
      </c>
      <c r="D85" s="49">
        <f>VLOOKUP($A85,'Data shares'!$C:$FB,66)</f>
        <v>72266175</v>
      </c>
      <c r="E85" s="49">
        <f>VLOOKUP($A85,'Data shares'!$C:$FB,67)</f>
        <v>53836650</v>
      </c>
      <c r="F85" s="50">
        <f>VLOOKUP($A85,'Data shares'!$C:$FB,69)*100</f>
        <v>34.229999999999997</v>
      </c>
      <c r="G85" s="49">
        <f>VLOOKUP($A85,'Data shares'!$C:$FB,42)</f>
        <v>19352925</v>
      </c>
      <c r="H85" s="49">
        <f>VLOOKUP($A85,'Data shares'!$C:$FB,43)</f>
        <v>19237500</v>
      </c>
      <c r="I85" s="50">
        <f>VLOOKUP($A85,'Data shares'!$C:$FB,45)*100</f>
        <v>0.6</v>
      </c>
      <c r="J85" s="49">
        <f>VLOOKUP($A85,'Data shares'!$C:$FB,58)</f>
        <v>28210275</v>
      </c>
      <c r="K85" s="49">
        <f>VLOOKUP($A85,'Data shares'!$C:$FB,59)</f>
        <v>17726850</v>
      </c>
      <c r="L85" s="50">
        <f>VLOOKUP($A85,'Data shares'!$C:$FB,61)*100</f>
        <v>59.14</v>
      </c>
      <c r="M85" s="49">
        <f>VLOOKUP($A85,'Data shares'!$C:$FB,62)</f>
        <v>24702975</v>
      </c>
      <c r="N85" s="49">
        <f>VLOOKUP($A85,'Data shares'!$C:$FB,63)</f>
        <v>16872300</v>
      </c>
      <c r="O85" s="140">
        <f>VLOOKUP($A85,'Data shares'!$C:$FB,65)*100</f>
        <v>46.410000000000004</v>
      </c>
    </row>
    <row r="86" spans="1:15" x14ac:dyDescent="0.25">
      <c r="A86" s="101" t="str">
        <f>'Data Vlaue (Cr)'!C81</f>
        <v>HINDUNILVR</v>
      </c>
      <c r="B86" s="50">
        <f>VLOOKUP($A86,'Data shares'!$C:$FB,7)</f>
        <v>2136.9</v>
      </c>
      <c r="C86" s="50">
        <f>VLOOKUP($A86,'Data shares'!$C:$FB,10)*100</f>
        <v>-1.1299999999999999</v>
      </c>
      <c r="D86" s="49">
        <f>VLOOKUP($A86,'Data shares'!$C:$FB,66)</f>
        <v>17023800</v>
      </c>
      <c r="E86" s="49">
        <f>VLOOKUP($A86,'Data shares'!$C:$FB,67)</f>
        <v>10680300</v>
      </c>
      <c r="F86" s="50">
        <f>VLOOKUP($A86,'Data shares'!$C:$FB,69)*100</f>
        <v>59.39</v>
      </c>
      <c r="G86" s="49">
        <f>VLOOKUP($A86,'Data shares'!$C:$FB,42)</f>
        <v>1799700</v>
      </c>
      <c r="H86" s="49">
        <f>VLOOKUP($A86,'Data shares'!$C:$FB,43)</f>
        <v>1550100</v>
      </c>
      <c r="I86" s="50">
        <f>VLOOKUP($A86,'Data shares'!$C:$FB,45)*100</f>
        <v>16.100000000000001</v>
      </c>
      <c r="J86" s="49">
        <f>VLOOKUP($A86,'Data shares'!$C:$FB,58)</f>
        <v>10519200</v>
      </c>
      <c r="K86" s="49">
        <f>VLOOKUP($A86,'Data shares'!$C:$FB,59)</f>
        <v>5944200</v>
      </c>
      <c r="L86" s="50">
        <f>VLOOKUP($A86,'Data shares'!$C:$FB,61)*100</f>
        <v>76.97</v>
      </c>
      <c r="M86" s="49">
        <f>VLOOKUP($A86,'Data shares'!$C:$FB,62)</f>
        <v>4704900</v>
      </c>
      <c r="N86" s="49">
        <f>VLOOKUP($A86,'Data shares'!$C:$FB,63)</f>
        <v>3186000</v>
      </c>
      <c r="O86" s="140">
        <f>VLOOKUP($A86,'Data shares'!$C:$FB,65)*100</f>
        <v>47.67</v>
      </c>
    </row>
    <row r="87" spans="1:15" x14ac:dyDescent="0.25">
      <c r="A87" s="101" t="str">
        <f>'Data Vlaue (Cr)'!C82</f>
        <v>HINDZINC</v>
      </c>
      <c r="B87" s="50">
        <f>VLOOKUP($A87,'Data shares'!$C:$FB,7)</f>
        <v>583</v>
      </c>
      <c r="C87" s="50">
        <f>VLOOKUP($A87,'Data shares'!$C:$FB,10)*100</f>
        <v>-0.77999999999999992</v>
      </c>
      <c r="D87" s="49">
        <f>VLOOKUP($A87,'Data shares'!$C:$FB,66)</f>
        <v>35845950</v>
      </c>
      <c r="E87" s="49">
        <f>VLOOKUP($A87,'Data shares'!$C:$FB,67)</f>
        <v>56944125</v>
      </c>
      <c r="F87" s="50">
        <f>VLOOKUP($A87,'Data shares'!$C:$FB,69)*100</f>
        <v>-37.049999999999997</v>
      </c>
      <c r="G87" s="49">
        <f>VLOOKUP($A87,'Data shares'!$C:$FB,42)</f>
        <v>6072325</v>
      </c>
      <c r="H87" s="49">
        <f>VLOOKUP($A87,'Data shares'!$C:$FB,43)</f>
        <v>8053150</v>
      </c>
      <c r="I87" s="50">
        <f>VLOOKUP($A87,'Data shares'!$C:$FB,45)*100</f>
        <v>-24.6</v>
      </c>
      <c r="J87" s="49">
        <f>VLOOKUP($A87,'Data shares'!$C:$FB,58)</f>
        <v>18961775</v>
      </c>
      <c r="K87" s="49">
        <f>VLOOKUP($A87,'Data shares'!$C:$FB,59)</f>
        <v>29179500</v>
      </c>
      <c r="L87" s="50">
        <f>VLOOKUP($A87,'Data shares'!$C:$FB,61)*100</f>
        <v>-35.020000000000003</v>
      </c>
      <c r="M87" s="49">
        <f>VLOOKUP($A87,'Data shares'!$C:$FB,62)</f>
        <v>10811850</v>
      </c>
      <c r="N87" s="49">
        <f>VLOOKUP($A87,'Data shares'!$C:$FB,63)</f>
        <v>19711475</v>
      </c>
      <c r="O87" s="140">
        <f>VLOOKUP($A87,'Data shares'!$C:$FB,65)*100</f>
        <v>-45.15</v>
      </c>
    </row>
    <row r="88" spans="1:15" x14ac:dyDescent="0.25">
      <c r="A88" s="101" t="str">
        <f>'Data Vlaue (Cr)'!C83</f>
        <v>HUDCO</v>
      </c>
      <c r="B88" s="50">
        <f>VLOOKUP($A88,'Data shares'!$C:$FB,7)</f>
        <v>176.66</v>
      </c>
      <c r="C88" s="50">
        <f>VLOOKUP($A88,'Data shares'!$C:$FB,10)*100</f>
        <v>-0.51</v>
      </c>
      <c r="D88" s="49">
        <f>VLOOKUP($A88,'Data shares'!$C:$FB,66)</f>
        <v>14715825</v>
      </c>
      <c r="E88" s="49">
        <f>VLOOKUP($A88,'Data shares'!$C:$FB,67)</f>
        <v>21728250</v>
      </c>
      <c r="F88" s="50">
        <f>VLOOKUP($A88,'Data shares'!$C:$FB,69)*100</f>
        <v>-32.269999999999996</v>
      </c>
      <c r="G88" s="49">
        <f>VLOOKUP($A88,'Data shares'!$C:$FB,42)</f>
        <v>3565875</v>
      </c>
      <c r="H88" s="49">
        <f>VLOOKUP($A88,'Data shares'!$C:$FB,43)</f>
        <v>6027300</v>
      </c>
      <c r="I88" s="50">
        <f>VLOOKUP($A88,'Data shares'!$C:$FB,45)*100</f>
        <v>-40.839999999999996</v>
      </c>
      <c r="J88" s="49">
        <f>VLOOKUP($A88,'Data shares'!$C:$FB,58)</f>
        <v>8694075</v>
      </c>
      <c r="K88" s="49">
        <f>VLOOKUP($A88,'Data shares'!$C:$FB,59)</f>
        <v>10200900</v>
      </c>
      <c r="L88" s="50">
        <f>VLOOKUP($A88,'Data shares'!$C:$FB,61)*100</f>
        <v>-14.77</v>
      </c>
      <c r="M88" s="49">
        <f>VLOOKUP($A88,'Data shares'!$C:$FB,62)</f>
        <v>2455875</v>
      </c>
      <c r="N88" s="49">
        <f>VLOOKUP($A88,'Data shares'!$C:$FB,63)</f>
        <v>5500050</v>
      </c>
      <c r="O88" s="140">
        <f>VLOOKUP($A88,'Data shares'!$C:$FB,65)*100</f>
        <v>-55.35</v>
      </c>
    </row>
    <row r="89" spans="1:15" x14ac:dyDescent="0.25">
      <c r="A89" s="101" t="str">
        <f>'Data Vlaue (Cr)'!C84</f>
        <v>ICICIBANK</v>
      </c>
      <c r="B89" s="50">
        <f>VLOOKUP($A89,'Data shares'!$C:$FB,7)</f>
        <v>1266.5</v>
      </c>
      <c r="C89" s="50">
        <f>VLOOKUP($A89,'Data shares'!$C:$FB,10)*100</f>
        <v>-2.17</v>
      </c>
      <c r="D89" s="49">
        <f>VLOOKUP($A89,'Data shares'!$C:$FB,66)</f>
        <v>92103900</v>
      </c>
      <c r="E89" s="49">
        <f>VLOOKUP($A89,'Data shares'!$C:$FB,67)</f>
        <v>74773300</v>
      </c>
      <c r="F89" s="50">
        <f>VLOOKUP($A89,'Data shares'!$C:$FB,69)*100</f>
        <v>23.18</v>
      </c>
      <c r="G89" s="49">
        <f>VLOOKUP($A89,'Data shares'!$C:$FB,42)</f>
        <v>19327700</v>
      </c>
      <c r="H89" s="49">
        <f>VLOOKUP($A89,'Data shares'!$C:$FB,43)</f>
        <v>14452900</v>
      </c>
      <c r="I89" s="50">
        <f>VLOOKUP($A89,'Data shares'!$C:$FB,45)*100</f>
        <v>33.729999999999997</v>
      </c>
      <c r="J89" s="49">
        <f>VLOOKUP($A89,'Data shares'!$C:$FB,58)</f>
        <v>47192600</v>
      </c>
      <c r="K89" s="49">
        <f>VLOOKUP($A89,'Data shares'!$C:$FB,59)</f>
        <v>35956200</v>
      </c>
      <c r="L89" s="50">
        <f>VLOOKUP($A89,'Data shares'!$C:$FB,61)*100</f>
        <v>31.25</v>
      </c>
      <c r="M89" s="49">
        <f>VLOOKUP($A89,'Data shares'!$C:$FB,62)</f>
        <v>25583600</v>
      </c>
      <c r="N89" s="49">
        <f>VLOOKUP($A89,'Data shares'!$C:$FB,63)</f>
        <v>24364200</v>
      </c>
      <c r="O89" s="140">
        <f>VLOOKUP($A89,'Data shares'!$C:$FB,65)*100</f>
        <v>5</v>
      </c>
    </row>
    <row r="90" spans="1:15" x14ac:dyDescent="0.25">
      <c r="A90" s="101" t="str">
        <f>'Data Vlaue (Cr)'!C85</f>
        <v>ICICIGI</v>
      </c>
      <c r="B90" s="50">
        <f>VLOOKUP($A90,'Data shares'!$C:$FB,7)</f>
        <v>1855.3</v>
      </c>
      <c r="C90" s="50">
        <f>VLOOKUP($A90,'Data shares'!$C:$FB,10)*100</f>
        <v>-1.06</v>
      </c>
      <c r="D90" s="49">
        <f>VLOOKUP($A90,'Data shares'!$C:$FB,66)</f>
        <v>2255500</v>
      </c>
      <c r="E90" s="49">
        <f>VLOOKUP($A90,'Data shares'!$C:$FB,67)</f>
        <v>3110900</v>
      </c>
      <c r="F90" s="50">
        <f>VLOOKUP($A90,'Data shares'!$C:$FB,69)*100</f>
        <v>-27.500000000000004</v>
      </c>
      <c r="G90" s="49">
        <f>VLOOKUP($A90,'Data shares'!$C:$FB,42)</f>
        <v>552500</v>
      </c>
      <c r="H90" s="49">
        <f>VLOOKUP($A90,'Data shares'!$C:$FB,43)</f>
        <v>985725</v>
      </c>
      <c r="I90" s="50">
        <f>VLOOKUP($A90,'Data shares'!$C:$FB,45)*100</f>
        <v>-43.95</v>
      </c>
      <c r="J90" s="49">
        <f>VLOOKUP($A90,'Data shares'!$C:$FB,58)</f>
        <v>1254825</v>
      </c>
      <c r="K90" s="49">
        <f>VLOOKUP($A90,'Data shares'!$C:$FB,59)</f>
        <v>1288950</v>
      </c>
      <c r="L90" s="50">
        <f>VLOOKUP($A90,'Data shares'!$C:$FB,61)*100</f>
        <v>-2.65</v>
      </c>
      <c r="M90" s="49">
        <f>VLOOKUP($A90,'Data shares'!$C:$FB,62)</f>
        <v>448175</v>
      </c>
      <c r="N90" s="49">
        <f>VLOOKUP($A90,'Data shares'!$C:$FB,63)</f>
        <v>836225</v>
      </c>
      <c r="O90" s="140">
        <f>VLOOKUP($A90,'Data shares'!$C:$FB,65)*100</f>
        <v>-46.400000000000006</v>
      </c>
    </row>
    <row r="91" spans="1:15" x14ac:dyDescent="0.25">
      <c r="A91" s="101" t="str">
        <f>'Data Vlaue (Cr)'!C86</f>
        <v>ICICIPRULI</v>
      </c>
      <c r="B91" s="50">
        <f>VLOOKUP($A91,'Data shares'!$C:$FB,7)</f>
        <v>592.95000000000005</v>
      </c>
      <c r="C91" s="50">
        <f>VLOOKUP($A91,'Data shares'!$C:$FB,10)*100</f>
        <v>-0.92999999999999994</v>
      </c>
      <c r="D91" s="49">
        <f>VLOOKUP($A91,'Data shares'!$C:$FB,66)</f>
        <v>4071850</v>
      </c>
      <c r="E91" s="49">
        <f>VLOOKUP($A91,'Data shares'!$C:$FB,67)</f>
        <v>3703700</v>
      </c>
      <c r="F91" s="50">
        <f>VLOOKUP($A91,'Data shares'!$C:$FB,69)*100</f>
        <v>9.94</v>
      </c>
      <c r="G91" s="49">
        <f>VLOOKUP($A91,'Data shares'!$C:$FB,42)</f>
        <v>1122025</v>
      </c>
      <c r="H91" s="49">
        <f>VLOOKUP($A91,'Data shares'!$C:$FB,43)</f>
        <v>2011875</v>
      </c>
      <c r="I91" s="50">
        <f>VLOOKUP($A91,'Data shares'!$C:$FB,45)*100</f>
        <v>-44.230000000000004</v>
      </c>
      <c r="J91" s="49">
        <f>VLOOKUP($A91,'Data shares'!$C:$FB,58)</f>
        <v>1589150</v>
      </c>
      <c r="K91" s="49">
        <f>VLOOKUP($A91,'Data shares'!$C:$FB,59)</f>
        <v>1022125</v>
      </c>
      <c r="L91" s="50">
        <f>VLOOKUP($A91,'Data shares'!$C:$FB,61)*100</f>
        <v>55.48</v>
      </c>
      <c r="M91" s="49">
        <f>VLOOKUP($A91,'Data shares'!$C:$FB,62)</f>
        <v>1360675</v>
      </c>
      <c r="N91" s="49">
        <f>VLOOKUP($A91,'Data shares'!$C:$FB,63)</f>
        <v>669700</v>
      </c>
      <c r="O91" s="140">
        <f>VLOOKUP($A91,'Data shares'!$C:$FB,65)*100</f>
        <v>103.18</v>
      </c>
    </row>
    <row r="92" spans="1:15" x14ac:dyDescent="0.25">
      <c r="A92" s="101" t="str">
        <f>'Data Vlaue (Cr)'!C87</f>
        <v>IDEA</v>
      </c>
      <c r="B92" s="50">
        <f>VLOOKUP($A92,'Data shares'!$C:$FB,7)</f>
        <v>9.56</v>
      </c>
      <c r="C92" s="50">
        <f>VLOOKUP($A92,'Data shares'!$C:$FB,10)*100</f>
        <v>-1.54</v>
      </c>
      <c r="D92" s="49">
        <f>VLOOKUP($A92,'Data shares'!$C:$FB,66)</f>
        <v>2358031725</v>
      </c>
      <c r="E92" s="49">
        <f>VLOOKUP($A92,'Data shares'!$C:$FB,67)</f>
        <v>1534782675</v>
      </c>
      <c r="F92" s="50">
        <f>VLOOKUP($A92,'Data shares'!$C:$FB,69)*100</f>
        <v>53.64</v>
      </c>
      <c r="G92" s="49">
        <f>VLOOKUP($A92,'Data shares'!$C:$FB,42)</f>
        <v>826036575</v>
      </c>
      <c r="H92" s="49">
        <f>VLOOKUP($A92,'Data shares'!$C:$FB,43)</f>
        <v>437427000</v>
      </c>
      <c r="I92" s="50">
        <f>VLOOKUP($A92,'Data shares'!$C:$FB,45)*100</f>
        <v>88.84</v>
      </c>
      <c r="J92" s="49">
        <f>VLOOKUP($A92,'Data shares'!$C:$FB,58)</f>
        <v>1091852100</v>
      </c>
      <c r="K92" s="49">
        <f>VLOOKUP($A92,'Data shares'!$C:$FB,59)</f>
        <v>773502450</v>
      </c>
      <c r="L92" s="50">
        <f>VLOOKUP($A92,'Data shares'!$C:$FB,61)*100</f>
        <v>41.160000000000004</v>
      </c>
      <c r="M92" s="49">
        <f>VLOOKUP($A92,'Data shares'!$C:$FB,62)</f>
        <v>440143050</v>
      </c>
      <c r="N92" s="49">
        <f>VLOOKUP($A92,'Data shares'!$C:$FB,63)</f>
        <v>323853225</v>
      </c>
      <c r="O92" s="140">
        <f>VLOOKUP($A92,'Data shares'!$C:$FB,65)*100</f>
        <v>35.909999999999997</v>
      </c>
    </row>
    <row r="93" spans="1:15" x14ac:dyDescent="0.25">
      <c r="A93" s="101" t="str">
        <f>'Data Vlaue (Cr)'!C88</f>
        <v>IDFCFIRSTB</v>
      </c>
      <c r="B93" s="50">
        <f>VLOOKUP($A93,'Data shares'!$C:$FB,7)</f>
        <v>64.78</v>
      </c>
      <c r="C93" s="50">
        <f>VLOOKUP($A93,'Data shares'!$C:$FB,10)*100</f>
        <v>-2.09</v>
      </c>
      <c r="D93" s="49">
        <f>VLOOKUP($A93,'Data shares'!$C:$FB,66)</f>
        <v>339381525</v>
      </c>
      <c r="E93" s="49">
        <f>VLOOKUP($A93,'Data shares'!$C:$FB,67)</f>
        <v>261017050</v>
      </c>
      <c r="F93" s="50">
        <f>VLOOKUP($A93,'Data shares'!$C:$FB,69)*100</f>
        <v>30.020000000000003</v>
      </c>
      <c r="G93" s="49">
        <f>VLOOKUP($A93,'Data shares'!$C:$FB,42)</f>
        <v>78958075</v>
      </c>
      <c r="H93" s="49">
        <f>VLOOKUP($A93,'Data shares'!$C:$FB,43)</f>
        <v>64470525</v>
      </c>
      <c r="I93" s="50">
        <f>VLOOKUP($A93,'Data shares'!$C:$FB,45)*100</f>
        <v>22.470000000000002</v>
      </c>
      <c r="J93" s="49">
        <f>VLOOKUP($A93,'Data shares'!$C:$FB,58)</f>
        <v>152110000</v>
      </c>
      <c r="K93" s="49">
        <f>VLOOKUP($A93,'Data shares'!$C:$FB,59)</f>
        <v>127169525</v>
      </c>
      <c r="L93" s="50">
        <f>VLOOKUP($A93,'Data shares'!$C:$FB,61)*100</f>
        <v>19.61</v>
      </c>
      <c r="M93" s="49">
        <f>VLOOKUP($A93,'Data shares'!$C:$FB,62)</f>
        <v>108313450</v>
      </c>
      <c r="N93" s="49">
        <f>VLOOKUP($A93,'Data shares'!$C:$FB,63)</f>
        <v>69377000</v>
      </c>
      <c r="O93" s="140">
        <f>VLOOKUP($A93,'Data shares'!$C:$FB,65)*100</f>
        <v>56.120000000000005</v>
      </c>
    </row>
    <row r="94" spans="1:15" x14ac:dyDescent="0.25">
      <c r="A94" s="101" t="str">
        <f>'Data Vlaue (Cr)'!C89</f>
        <v>IEX</v>
      </c>
      <c r="B94" s="50">
        <f>VLOOKUP($A94,'Data shares'!$C:$FB,7)</f>
        <v>122.76</v>
      </c>
      <c r="C94" s="50">
        <f>VLOOKUP($A94,'Data shares'!$C:$FB,10)*100</f>
        <v>-6.9999999999999993E-2</v>
      </c>
      <c r="D94" s="49">
        <f>VLOOKUP($A94,'Data shares'!$C:$FB,66)</f>
        <v>51041250</v>
      </c>
      <c r="E94" s="49">
        <f>VLOOKUP($A94,'Data shares'!$C:$FB,67)</f>
        <v>104516250</v>
      </c>
      <c r="F94" s="50">
        <f>VLOOKUP($A94,'Data shares'!$C:$FB,69)*100</f>
        <v>-51.160000000000004</v>
      </c>
      <c r="G94" s="49">
        <f>VLOOKUP($A94,'Data shares'!$C:$FB,42)</f>
        <v>9708750</v>
      </c>
      <c r="H94" s="49">
        <f>VLOOKUP($A94,'Data shares'!$C:$FB,43)</f>
        <v>16466250</v>
      </c>
      <c r="I94" s="50">
        <f>VLOOKUP($A94,'Data shares'!$C:$FB,45)*100</f>
        <v>-41.04</v>
      </c>
      <c r="J94" s="49">
        <f>VLOOKUP($A94,'Data shares'!$C:$FB,58)</f>
        <v>32647500</v>
      </c>
      <c r="K94" s="49">
        <f>VLOOKUP($A94,'Data shares'!$C:$FB,59)</f>
        <v>70683750</v>
      </c>
      <c r="L94" s="50">
        <f>VLOOKUP($A94,'Data shares'!$C:$FB,61)*100</f>
        <v>-53.81</v>
      </c>
      <c r="M94" s="49">
        <f>VLOOKUP($A94,'Data shares'!$C:$FB,62)</f>
        <v>8685000</v>
      </c>
      <c r="N94" s="49">
        <f>VLOOKUP($A94,'Data shares'!$C:$FB,63)</f>
        <v>17366250</v>
      </c>
      <c r="O94" s="140">
        <f>VLOOKUP($A94,'Data shares'!$C:$FB,65)*100</f>
        <v>-49.99</v>
      </c>
    </row>
    <row r="95" spans="1:15" x14ac:dyDescent="0.25">
      <c r="A95" s="101" t="str">
        <f>'Data Vlaue (Cr)'!C90</f>
        <v>INDHOTEL</v>
      </c>
      <c r="B95" s="50">
        <f>VLOOKUP($A95,'Data shares'!$C:$FB,7)</f>
        <v>624.95000000000005</v>
      </c>
      <c r="C95" s="50">
        <f>VLOOKUP($A95,'Data shares'!$C:$FB,10)*100</f>
        <v>0.13999999999999999</v>
      </c>
      <c r="D95" s="49">
        <f>VLOOKUP($A95,'Data shares'!$C:$FB,66)</f>
        <v>19515000</v>
      </c>
      <c r="E95" s="49">
        <f>VLOOKUP($A95,'Data shares'!$C:$FB,67)</f>
        <v>10341000</v>
      </c>
      <c r="F95" s="50">
        <f>VLOOKUP($A95,'Data shares'!$C:$FB,69)*100</f>
        <v>88.71</v>
      </c>
      <c r="G95" s="49">
        <f>VLOOKUP($A95,'Data shares'!$C:$FB,42)</f>
        <v>5550000</v>
      </c>
      <c r="H95" s="49">
        <f>VLOOKUP($A95,'Data shares'!$C:$FB,43)</f>
        <v>3041000</v>
      </c>
      <c r="I95" s="50">
        <f>VLOOKUP($A95,'Data shares'!$C:$FB,45)*100</f>
        <v>82.509999999999991</v>
      </c>
      <c r="J95" s="49">
        <f>VLOOKUP($A95,'Data shares'!$C:$FB,58)</f>
        <v>6472000</v>
      </c>
      <c r="K95" s="49">
        <f>VLOOKUP($A95,'Data shares'!$C:$FB,59)</f>
        <v>3059000</v>
      </c>
      <c r="L95" s="50">
        <f>VLOOKUP($A95,'Data shares'!$C:$FB,61)*100</f>
        <v>111.57</v>
      </c>
      <c r="M95" s="49">
        <f>VLOOKUP($A95,'Data shares'!$C:$FB,62)</f>
        <v>7493000</v>
      </c>
      <c r="N95" s="49">
        <f>VLOOKUP($A95,'Data shares'!$C:$FB,63)</f>
        <v>4241000</v>
      </c>
      <c r="O95" s="140">
        <f>VLOOKUP($A95,'Data shares'!$C:$FB,65)*100</f>
        <v>76.680000000000007</v>
      </c>
    </row>
    <row r="96" spans="1:15" x14ac:dyDescent="0.25">
      <c r="A96" s="101" t="str">
        <f>'Data Vlaue (Cr)'!C91</f>
        <v>INDIANB</v>
      </c>
      <c r="B96" s="50">
        <f>VLOOKUP($A96,'Data shares'!$C:$FB,7)</f>
        <v>909.6</v>
      </c>
      <c r="C96" s="50">
        <f>VLOOKUP($A96,'Data shares'!$C:$FB,10)*100</f>
        <v>-0.89</v>
      </c>
      <c r="D96" s="49">
        <f>VLOOKUP($A96,'Data shares'!$C:$FB,66)</f>
        <v>9370000</v>
      </c>
      <c r="E96" s="49">
        <f>VLOOKUP($A96,'Data shares'!$C:$FB,67)</f>
        <v>7930000</v>
      </c>
      <c r="F96" s="50">
        <f>VLOOKUP($A96,'Data shares'!$C:$FB,69)*100</f>
        <v>18.16</v>
      </c>
      <c r="G96" s="49">
        <f>VLOOKUP($A96,'Data shares'!$C:$FB,42)</f>
        <v>2597000</v>
      </c>
      <c r="H96" s="49">
        <f>VLOOKUP($A96,'Data shares'!$C:$FB,43)</f>
        <v>2095000</v>
      </c>
      <c r="I96" s="50">
        <f>VLOOKUP($A96,'Data shares'!$C:$FB,45)*100</f>
        <v>23.96</v>
      </c>
      <c r="J96" s="49">
        <f>VLOOKUP($A96,'Data shares'!$C:$FB,58)</f>
        <v>4259000</v>
      </c>
      <c r="K96" s="49">
        <f>VLOOKUP($A96,'Data shares'!$C:$FB,59)</f>
        <v>3573000</v>
      </c>
      <c r="L96" s="50">
        <f>VLOOKUP($A96,'Data shares'!$C:$FB,61)*100</f>
        <v>19.2</v>
      </c>
      <c r="M96" s="49">
        <f>VLOOKUP($A96,'Data shares'!$C:$FB,62)</f>
        <v>2514000</v>
      </c>
      <c r="N96" s="49">
        <f>VLOOKUP($A96,'Data shares'!$C:$FB,63)</f>
        <v>2262000</v>
      </c>
      <c r="O96" s="140">
        <f>VLOOKUP($A96,'Data shares'!$C:$FB,65)*100</f>
        <v>11.14</v>
      </c>
    </row>
    <row r="97" spans="1:15" x14ac:dyDescent="0.25">
      <c r="A97" s="101" t="str">
        <f>'Data Vlaue (Cr)'!C92</f>
        <v>INDIAVIX</v>
      </c>
      <c r="B97" s="50">
        <f>VLOOKUP($A97,'Data shares'!$C:$FB,7)</f>
        <v>21.52</v>
      </c>
      <c r="C97" s="50">
        <f>VLOOKUP($A97,'Data shares'!$C:$FB,10)*100</f>
        <v>2.17</v>
      </c>
      <c r="D97" s="49">
        <f>VLOOKUP($A97,'Data shares'!$C:$FB,66)</f>
        <v>0</v>
      </c>
      <c r="E97" s="49">
        <f>VLOOKUP($A97,'Data shares'!$C:$FB,67)</f>
        <v>0</v>
      </c>
      <c r="F97" s="50">
        <f>VLOOKUP($A97,'Data shares'!$C:$FB,69)*100</f>
        <v>0</v>
      </c>
      <c r="G97" s="49">
        <f>VLOOKUP($A97,'Data shares'!$C:$FB,42)</f>
        <v>0</v>
      </c>
      <c r="H97" s="49">
        <f>VLOOKUP($A97,'Data shares'!$C:$FB,43)</f>
        <v>0</v>
      </c>
      <c r="I97" s="50">
        <f>VLOOKUP($A97,'Data shares'!$C:$FB,45)*100</f>
        <v>0</v>
      </c>
      <c r="J97" s="49">
        <f>VLOOKUP($A97,'Data shares'!$C:$FB,58)</f>
        <v>0</v>
      </c>
      <c r="K97" s="49">
        <f>VLOOKUP($A97,'Data shares'!$C:$FB,59)</f>
        <v>0</v>
      </c>
      <c r="L97" s="50">
        <f>VLOOKUP($A97,'Data shares'!$C:$FB,61)*100</f>
        <v>0</v>
      </c>
      <c r="M97" s="49">
        <f>VLOOKUP($A97,'Data shares'!$C:$FB,62)</f>
        <v>0</v>
      </c>
      <c r="N97" s="49">
        <f>VLOOKUP($A97,'Data shares'!$C:$FB,63)</f>
        <v>0</v>
      </c>
      <c r="O97" s="140">
        <f>VLOOKUP($A97,'Data shares'!$C:$FB,65)*100</f>
        <v>0</v>
      </c>
    </row>
    <row r="98" spans="1:15" x14ac:dyDescent="0.25">
      <c r="A98" s="101" t="str">
        <f>'Data Vlaue (Cr)'!C93</f>
        <v>INDIGO</v>
      </c>
      <c r="B98" s="50">
        <f>VLOOKUP($A98,'Data shares'!$C:$FB,7)</f>
        <v>4251.7</v>
      </c>
      <c r="C98" s="50">
        <f>VLOOKUP($A98,'Data shares'!$C:$FB,10)*100</f>
        <v>-2.2800000000000002</v>
      </c>
      <c r="D98" s="49">
        <f>VLOOKUP($A98,'Data shares'!$C:$FB,66)</f>
        <v>16545600</v>
      </c>
      <c r="E98" s="49">
        <f>VLOOKUP($A98,'Data shares'!$C:$FB,67)</f>
        <v>30472950</v>
      </c>
      <c r="F98" s="50">
        <f>VLOOKUP($A98,'Data shares'!$C:$FB,69)*100</f>
        <v>-45.7</v>
      </c>
      <c r="G98" s="49">
        <f>VLOOKUP($A98,'Data shares'!$C:$FB,42)</f>
        <v>2209950</v>
      </c>
      <c r="H98" s="49">
        <f>VLOOKUP($A98,'Data shares'!$C:$FB,43)</f>
        <v>3399300</v>
      </c>
      <c r="I98" s="50">
        <f>VLOOKUP($A98,'Data shares'!$C:$FB,45)*100</f>
        <v>-34.99</v>
      </c>
      <c r="J98" s="49">
        <f>VLOOKUP($A98,'Data shares'!$C:$FB,58)</f>
        <v>6636450</v>
      </c>
      <c r="K98" s="49">
        <f>VLOOKUP($A98,'Data shares'!$C:$FB,59)</f>
        <v>14629350</v>
      </c>
      <c r="L98" s="50">
        <f>VLOOKUP($A98,'Data shares'!$C:$FB,61)*100</f>
        <v>-54.64</v>
      </c>
      <c r="M98" s="49">
        <f>VLOOKUP($A98,'Data shares'!$C:$FB,62)</f>
        <v>7699200</v>
      </c>
      <c r="N98" s="49">
        <f>VLOOKUP($A98,'Data shares'!$C:$FB,63)</f>
        <v>12444300</v>
      </c>
      <c r="O98" s="140">
        <f>VLOOKUP($A98,'Data shares'!$C:$FB,65)*100</f>
        <v>-38.129999999999995</v>
      </c>
    </row>
    <row r="99" spans="1:15" x14ac:dyDescent="0.25">
      <c r="A99" s="101" t="str">
        <f>'Data Vlaue (Cr)'!C94</f>
        <v>INDUSINDBK</v>
      </c>
      <c r="B99" s="50">
        <f>VLOOKUP($A99,'Data shares'!$C:$FB,7)</f>
        <v>831.35</v>
      </c>
      <c r="C99" s="50">
        <f>VLOOKUP($A99,'Data shares'!$C:$FB,10)*100</f>
        <v>-5.2200000000000006</v>
      </c>
      <c r="D99" s="49">
        <f>VLOOKUP($A99,'Data shares'!$C:$FB,66)</f>
        <v>59757600</v>
      </c>
      <c r="E99" s="49">
        <f>VLOOKUP($A99,'Data shares'!$C:$FB,67)</f>
        <v>20575800</v>
      </c>
      <c r="F99" s="50">
        <f>VLOOKUP($A99,'Data shares'!$C:$FB,69)*100</f>
        <v>190.43</v>
      </c>
      <c r="G99" s="49">
        <f>VLOOKUP($A99,'Data shares'!$C:$FB,42)</f>
        <v>14884100</v>
      </c>
      <c r="H99" s="49">
        <f>VLOOKUP($A99,'Data shares'!$C:$FB,43)</f>
        <v>6995800</v>
      </c>
      <c r="I99" s="50">
        <f>VLOOKUP($A99,'Data shares'!$C:$FB,45)*100</f>
        <v>112.75999999999999</v>
      </c>
      <c r="J99" s="49">
        <f>VLOOKUP($A99,'Data shares'!$C:$FB,58)</f>
        <v>23011100</v>
      </c>
      <c r="K99" s="49">
        <f>VLOOKUP($A99,'Data shares'!$C:$FB,59)</f>
        <v>8157100</v>
      </c>
      <c r="L99" s="50">
        <f>VLOOKUP($A99,'Data shares'!$C:$FB,61)*100</f>
        <v>182.1</v>
      </c>
      <c r="M99" s="49">
        <f>VLOOKUP($A99,'Data shares'!$C:$FB,62)</f>
        <v>21862400</v>
      </c>
      <c r="N99" s="49">
        <f>VLOOKUP($A99,'Data shares'!$C:$FB,63)</f>
        <v>5422900</v>
      </c>
      <c r="O99" s="140">
        <f>VLOOKUP($A99,'Data shares'!$C:$FB,65)*100</f>
        <v>303.14999999999998</v>
      </c>
    </row>
    <row r="100" spans="1:15" x14ac:dyDescent="0.25">
      <c r="A100" s="101" t="str">
        <f>'Data Vlaue (Cr)'!C95</f>
        <v>INDUSTOWER</v>
      </c>
      <c r="B100" s="50">
        <f>VLOOKUP($A100,'Data shares'!$C:$FB,7)</f>
        <v>442.05</v>
      </c>
      <c r="C100" s="50">
        <f>VLOOKUP($A100,'Data shares'!$C:$FB,10)*100</f>
        <v>0.75</v>
      </c>
      <c r="D100" s="49">
        <f>VLOOKUP($A100,'Data shares'!$C:$FB,66)</f>
        <v>42981100</v>
      </c>
      <c r="E100" s="49">
        <f>VLOOKUP($A100,'Data shares'!$C:$FB,67)</f>
        <v>18251200</v>
      </c>
      <c r="F100" s="50">
        <f>VLOOKUP($A100,'Data shares'!$C:$FB,69)*100</f>
        <v>135.5</v>
      </c>
      <c r="G100" s="49">
        <f>VLOOKUP($A100,'Data shares'!$C:$FB,42)</f>
        <v>11014300</v>
      </c>
      <c r="H100" s="49">
        <f>VLOOKUP($A100,'Data shares'!$C:$FB,43)</f>
        <v>5771500</v>
      </c>
      <c r="I100" s="50">
        <f>VLOOKUP($A100,'Data shares'!$C:$FB,45)*100</f>
        <v>90.84</v>
      </c>
      <c r="J100" s="49">
        <f>VLOOKUP($A100,'Data shares'!$C:$FB,58)</f>
        <v>20024300</v>
      </c>
      <c r="K100" s="49">
        <f>VLOOKUP($A100,'Data shares'!$C:$FB,59)</f>
        <v>8705700</v>
      </c>
      <c r="L100" s="50">
        <f>VLOOKUP($A100,'Data shares'!$C:$FB,61)*100</f>
        <v>130.01</v>
      </c>
      <c r="M100" s="49">
        <f>VLOOKUP($A100,'Data shares'!$C:$FB,62)</f>
        <v>11942500</v>
      </c>
      <c r="N100" s="49">
        <f>VLOOKUP($A100,'Data shares'!$C:$FB,63)</f>
        <v>3774000</v>
      </c>
      <c r="O100" s="140">
        <f>VLOOKUP($A100,'Data shares'!$C:$FB,65)*100</f>
        <v>216.44</v>
      </c>
    </row>
    <row r="101" spans="1:15" x14ac:dyDescent="0.25">
      <c r="A101" s="101" t="str">
        <f>'Data Vlaue (Cr)'!C96</f>
        <v>INFY</v>
      </c>
      <c r="B101" s="50">
        <f>VLOOKUP($A101,'Data shares'!$C:$FB,7)</f>
        <v>1265.8</v>
      </c>
      <c r="C101" s="50">
        <f>VLOOKUP($A101,'Data shares'!$C:$FB,10)*100</f>
        <v>-0.82000000000000006</v>
      </c>
      <c r="D101" s="49">
        <f>VLOOKUP($A101,'Data shares'!$C:$FB,66)</f>
        <v>53620400</v>
      </c>
      <c r="E101" s="49">
        <f>VLOOKUP($A101,'Data shares'!$C:$FB,67)</f>
        <v>46398400</v>
      </c>
      <c r="F101" s="50">
        <f>VLOOKUP($A101,'Data shares'!$C:$FB,69)*100</f>
        <v>15.57</v>
      </c>
      <c r="G101" s="49">
        <f>VLOOKUP($A101,'Data shares'!$C:$FB,42)</f>
        <v>11283600</v>
      </c>
      <c r="H101" s="49">
        <f>VLOOKUP($A101,'Data shares'!$C:$FB,43)</f>
        <v>8419200</v>
      </c>
      <c r="I101" s="50">
        <f>VLOOKUP($A101,'Data shares'!$C:$FB,45)*100</f>
        <v>34.020000000000003</v>
      </c>
      <c r="J101" s="49">
        <f>VLOOKUP($A101,'Data shares'!$C:$FB,58)</f>
        <v>27806800</v>
      </c>
      <c r="K101" s="49">
        <f>VLOOKUP($A101,'Data shares'!$C:$FB,59)</f>
        <v>23953200</v>
      </c>
      <c r="L101" s="50">
        <f>VLOOKUP($A101,'Data shares'!$C:$FB,61)*100</f>
        <v>16.09</v>
      </c>
      <c r="M101" s="49">
        <f>VLOOKUP($A101,'Data shares'!$C:$FB,62)</f>
        <v>14530000</v>
      </c>
      <c r="N101" s="49">
        <f>VLOOKUP($A101,'Data shares'!$C:$FB,63)</f>
        <v>14026000</v>
      </c>
      <c r="O101" s="140">
        <f>VLOOKUP($A101,'Data shares'!$C:$FB,65)*100</f>
        <v>3.5900000000000003</v>
      </c>
    </row>
    <row r="102" spans="1:15" x14ac:dyDescent="0.25">
      <c r="A102" s="101" t="str">
        <f>'Data Vlaue (Cr)'!C97</f>
        <v>INOXWIND</v>
      </c>
      <c r="B102" s="50">
        <f>VLOOKUP($A102,'Data shares'!$C:$FB,7)</f>
        <v>83.68</v>
      </c>
      <c r="C102" s="50">
        <f>VLOOKUP($A102,'Data shares'!$C:$FB,10)*100</f>
        <v>1.73</v>
      </c>
      <c r="D102" s="49">
        <f>VLOOKUP($A102,'Data shares'!$C:$FB,66)</f>
        <v>86028800</v>
      </c>
      <c r="E102" s="49">
        <f>VLOOKUP($A102,'Data shares'!$C:$FB,67)</f>
        <v>41670200</v>
      </c>
      <c r="F102" s="50">
        <f>VLOOKUP($A102,'Data shares'!$C:$FB,69)*100</f>
        <v>106.45</v>
      </c>
      <c r="G102" s="49">
        <f>VLOOKUP($A102,'Data shares'!$C:$FB,42)</f>
        <v>20134400</v>
      </c>
      <c r="H102" s="49">
        <f>VLOOKUP($A102,'Data shares'!$C:$FB,43)</f>
        <v>10178025</v>
      </c>
      <c r="I102" s="50">
        <f>VLOOKUP($A102,'Data shares'!$C:$FB,45)*100</f>
        <v>97.82</v>
      </c>
      <c r="J102" s="49">
        <f>VLOOKUP($A102,'Data shares'!$C:$FB,58)</f>
        <v>54064725</v>
      </c>
      <c r="K102" s="49">
        <f>VLOOKUP($A102,'Data shares'!$C:$FB,59)</f>
        <v>23941775</v>
      </c>
      <c r="L102" s="50">
        <f>VLOOKUP($A102,'Data shares'!$C:$FB,61)*100</f>
        <v>125.82</v>
      </c>
      <c r="M102" s="49">
        <f>VLOOKUP($A102,'Data shares'!$C:$FB,62)</f>
        <v>11829675</v>
      </c>
      <c r="N102" s="49">
        <f>VLOOKUP($A102,'Data shares'!$C:$FB,63)</f>
        <v>7550400</v>
      </c>
      <c r="O102" s="140">
        <f>VLOOKUP($A102,'Data shares'!$C:$FB,65)*100</f>
        <v>56.68</v>
      </c>
    </row>
    <row r="103" spans="1:15" x14ac:dyDescent="0.25">
      <c r="A103" s="101" t="str">
        <f>'Data Vlaue (Cr)'!C98</f>
        <v>IOC</v>
      </c>
      <c r="B103" s="50">
        <f>VLOOKUP($A103,'Data shares'!$C:$FB,7)</f>
        <v>160.16</v>
      </c>
      <c r="C103" s="50">
        <f>VLOOKUP($A103,'Data shares'!$C:$FB,10)*100</f>
        <v>-0.28999999999999998</v>
      </c>
      <c r="D103" s="49">
        <f>VLOOKUP($A103,'Data shares'!$C:$FB,66)</f>
        <v>139737000</v>
      </c>
      <c r="E103" s="49">
        <f>VLOOKUP($A103,'Data shares'!$C:$FB,67)</f>
        <v>119242500</v>
      </c>
      <c r="F103" s="50">
        <f>VLOOKUP($A103,'Data shares'!$C:$FB,69)*100</f>
        <v>17.190000000000001</v>
      </c>
      <c r="G103" s="49">
        <f>VLOOKUP($A103,'Data shares'!$C:$FB,42)</f>
        <v>23478000</v>
      </c>
      <c r="H103" s="49">
        <f>VLOOKUP($A103,'Data shares'!$C:$FB,43)</f>
        <v>25086750</v>
      </c>
      <c r="I103" s="50">
        <f>VLOOKUP($A103,'Data shares'!$C:$FB,45)*100</f>
        <v>-6.41</v>
      </c>
      <c r="J103" s="49">
        <f>VLOOKUP($A103,'Data shares'!$C:$FB,58)</f>
        <v>57978375</v>
      </c>
      <c r="K103" s="49">
        <f>VLOOKUP($A103,'Data shares'!$C:$FB,59)</f>
        <v>48618375</v>
      </c>
      <c r="L103" s="50">
        <f>VLOOKUP($A103,'Data shares'!$C:$FB,61)*100</f>
        <v>19.25</v>
      </c>
      <c r="M103" s="49">
        <f>VLOOKUP($A103,'Data shares'!$C:$FB,62)</f>
        <v>58280625</v>
      </c>
      <c r="N103" s="49">
        <f>VLOOKUP($A103,'Data shares'!$C:$FB,63)</f>
        <v>45537375</v>
      </c>
      <c r="O103" s="140">
        <f>VLOOKUP($A103,'Data shares'!$C:$FB,65)*100</f>
        <v>27.98</v>
      </c>
    </row>
    <row r="104" spans="1:15" x14ac:dyDescent="0.25">
      <c r="A104" s="101" t="str">
        <f>'Data Vlaue (Cr)'!C99</f>
        <v>IREDA</v>
      </c>
      <c r="B104" s="50">
        <f>VLOOKUP($A104,'Data shares'!$C:$FB,7)</f>
        <v>117.03</v>
      </c>
      <c r="C104" s="50">
        <f>VLOOKUP($A104,'Data shares'!$C:$FB,10)*100</f>
        <v>1.94</v>
      </c>
      <c r="D104" s="49">
        <f>VLOOKUP($A104,'Data shares'!$C:$FB,66)</f>
        <v>30356550</v>
      </c>
      <c r="E104" s="49">
        <f>VLOOKUP($A104,'Data shares'!$C:$FB,67)</f>
        <v>18585150</v>
      </c>
      <c r="F104" s="50">
        <f>VLOOKUP($A104,'Data shares'!$C:$FB,69)*100</f>
        <v>63.339999999999996</v>
      </c>
      <c r="G104" s="49">
        <f>VLOOKUP($A104,'Data shares'!$C:$FB,42)</f>
        <v>9704850</v>
      </c>
      <c r="H104" s="49">
        <f>VLOOKUP($A104,'Data shares'!$C:$FB,43)</f>
        <v>6499800</v>
      </c>
      <c r="I104" s="50">
        <f>VLOOKUP($A104,'Data shares'!$C:$FB,45)*100</f>
        <v>49.309999999999995</v>
      </c>
      <c r="J104" s="49">
        <f>VLOOKUP($A104,'Data shares'!$C:$FB,58)</f>
        <v>16887750</v>
      </c>
      <c r="K104" s="49">
        <f>VLOOKUP($A104,'Data shares'!$C:$FB,59)</f>
        <v>9518550</v>
      </c>
      <c r="L104" s="50">
        <f>VLOOKUP($A104,'Data shares'!$C:$FB,61)*100</f>
        <v>77.42</v>
      </c>
      <c r="M104" s="49">
        <f>VLOOKUP($A104,'Data shares'!$C:$FB,62)</f>
        <v>3763950</v>
      </c>
      <c r="N104" s="49">
        <f>VLOOKUP($A104,'Data shares'!$C:$FB,63)</f>
        <v>2566800</v>
      </c>
      <c r="O104" s="140">
        <f>VLOOKUP($A104,'Data shares'!$C:$FB,65)*100</f>
        <v>46.64</v>
      </c>
    </row>
    <row r="105" spans="1:15" x14ac:dyDescent="0.25">
      <c r="A105" s="101" t="str">
        <f>'Data Vlaue (Cr)'!C100</f>
        <v>IRFC</v>
      </c>
      <c r="B105" s="50">
        <f>VLOOKUP($A105,'Data shares'!$C:$FB,7)</f>
        <v>99.92</v>
      </c>
      <c r="C105" s="50">
        <f>VLOOKUP($A105,'Data shares'!$C:$FB,10)*100</f>
        <v>0.67999999999999994</v>
      </c>
      <c r="D105" s="49">
        <f>VLOOKUP($A105,'Data shares'!$C:$FB,66)</f>
        <v>72968250</v>
      </c>
      <c r="E105" s="49">
        <f>VLOOKUP($A105,'Data shares'!$C:$FB,67)</f>
        <v>60061000</v>
      </c>
      <c r="F105" s="50">
        <f>VLOOKUP($A105,'Data shares'!$C:$FB,69)*100</f>
        <v>21.490000000000002</v>
      </c>
      <c r="G105" s="49">
        <f>VLOOKUP($A105,'Data shares'!$C:$FB,42)</f>
        <v>13816750</v>
      </c>
      <c r="H105" s="49">
        <f>VLOOKUP($A105,'Data shares'!$C:$FB,43)</f>
        <v>11326250</v>
      </c>
      <c r="I105" s="50">
        <f>VLOOKUP($A105,'Data shares'!$C:$FB,45)*100</f>
        <v>21.990000000000002</v>
      </c>
      <c r="J105" s="49">
        <f>VLOOKUP($A105,'Data shares'!$C:$FB,58)</f>
        <v>44280750</v>
      </c>
      <c r="K105" s="49">
        <f>VLOOKUP($A105,'Data shares'!$C:$FB,59)</f>
        <v>36129250</v>
      </c>
      <c r="L105" s="50">
        <f>VLOOKUP($A105,'Data shares'!$C:$FB,61)*100</f>
        <v>22.56</v>
      </c>
      <c r="M105" s="49">
        <f>VLOOKUP($A105,'Data shares'!$C:$FB,62)</f>
        <v>14870750</v>
      </c>
      <c r="N105" s="49">
        <f>VLOOKUP($A105,'Data shares'!$C:$FB,63)</f>
        <v>12605500</v>
      </c>
      <c r="O105" s="140">
        <f>VLOOKUP($A105,'Data shares'!$C:$FB,65)*100</f>
        <v>17.97</v>
      </c>
    </row>
    <row r="106" spans="1:15" x14ac:dyDescent="0.25">
      <c r="A106" s="101" t="str">
        <f>'Data Vlaue (Cr)'!C101</f>
        <v>ITC</v>
      </c>
      <c r="B106" s="50">
        <f>VLOOKUP($A106,'Data shares'!$C:$FB,7)</f>
        <v>304.10000000000002</v>
      </c>
      <c r="C106" s="50">
        <f>VLOOKUP($A106,'Data shares'!$C:$FB,10)*100</f>
        <v>-1.59</v>
      </c>
      <c r="D106" s="49">
        <f>VLOOKUP($A106,'Data shares'!$C:$FB,66)</f>
        <v>110051200</v>
      </c>
      <c r="E106" s="49">
        <f>VLOOKUP($A106,'Data shares'!$C:$FB,67)</f>
        <v>72800000</v>
      </c>
      <c r="F106" s="50">
        <f>VLOOKUP($A106,'Data shares'!$C:$FB,69)*100</f>
        <v>51.17</v>
      </c>
      <c r="G106" s="49">
        <f>VLOOKUP($A106,'Data shares'!$C:$FB,42)</f>
        <v>14620800</v>
      </c>
      <c r="H106" s="49">
        <f>VLOOKUP($A106,'Data shares'!$C:$FB,43)</f>
        <v>10976000</v>
      </c>
      <c r="I106" s="50">
        <f>VLOOKUP($A106,'Data shares'!$C:$FB,45)*100</f>
        <v>33.21</v>
      </c>
      <c r="J106" s="49">
        <f>VLOOKUP($A106,'Data shares'!$C:$FB,58)</f>
        <v>70763200</v>
      </c>
      <c r="K106" s="49">
        <f>VLOOKUP($A106,'Data shares'!$C:$FB,59)</f>
        <v>43654400</v>
      </c>
      <c r="L106" s="50">
        <f>VLOOKUP($A106,'Data shares'!$C:$FB,61)*100</f>
        <v>62.1</v>
      </c>
      <c r="M106" s="49">
        <f>VLOOKUP($A106,'Data shares'!$C:$FB,62)</f>
        <v>24667200</v>
      </c>
      <c r="N106" s="49">
        <f>VLOOKUP($A106,'Data shares'!$C:$FB,63)</f>
        <v>18169600</v>
      </c>
      <c r="O106" s="140">
        <f>VLOOKUP($A106,'Data shares'!$C:$FB,65)*100</f>
        <v>35.76</v>
      </c>
    </row>
    <row r="107" spans="1:15" x14ac:dyDescent="0.25">
      <c r="A107" s="101" t="str">
        <f>'Data Vlaue (Cr)'!C102</f>
        <v>JINDALSTEL</v>
      </c>
      <c r="B107" s="50">
        <f>VLOOKUP($A107,'Data shares'!$C:$FB,7)</f>
        <v>1225</v>
      </c>
      <c r="C107" s="50">
        <f>VLOOKUP($A107,'Data shares'!$C:$FB,10)*100</f>
        <v>3.2</v>
      </c>
      <c r="D107" s="49">
        <f>VLOOKUP($A107,'Data shares'!$C:$FB,66)</f>
        <v>14536250</v>
      </c>
      <c r="E107" s="49">
        <f>VLOOKUP($A107,'Data shares'!$C:$FB,67)</f>
        <v>9065000</v>
      </c>
      <c r="F107" s="50">
        <f>VLOOKUP($A107,'Data shares'!$C:$FB,69)*100</f>
        <v>60.36</v>
      </c>
      <c r="G107" s="49">
        <f>VLOOKUP($A107,'Data shares'!$C:$FB,42)</f>
        <v>3053125</v>
      </c>
      <c r="H107" s="49">
        <f>VLOOKUP($A107,'Data shares'!$C:$FB,43)</f>
        <v>1801250</v>
      </c>
      <c r="I107" s="50">
        <f>VLOOKUP($A107,'Data shares'!$C:$FB,45)*100</f>
        <v>69.5</v>
      </c>
      <c r="J107" s="49">
        <f>VLOOKUP($A107,'Data shares'!$C:$FB,58)</f>
        <v>7139375</v>
      </c>
      <c r="K107" s="49">
        <f>VLOOKUP($A107,'Data shares'!$C:$FB,59)</f>
        <v>4431875</v>
      </c>
      <c r="L107" s="50">
        <f>VLOOKUP($A107,'Data shares'!$C:$FB,61)*100</f>
        <v>61.09</v>
      </c>
      <c r="M107" s="49">
        <f>VLOOKUP($A107,'Data shares'!$C:$FB,62)</f>
        <v>4343750</v>
      </c>
      <c r="N107" s="49">
        <f>VLOOKUP($A107,'Data shares'!$C:$FB,63)</f>
        <v>2831875</v>
      </c>
      <c r="O107" s="140">
        <f>VLOOKUP($A107,'Data shares'!$C:$FB,65)*100</f>
        <v>53.39</v>
      </c>
    </row>
    <row r="108" spans="1:15" x14ac:dyDescent="0.25">
      <c r="A108" s="101" t="str">
        <f>'Data Vlaue (Cr)'!C103</f>
        <v>JIOFIN</v>
      </c>
      <c r="B108" s="50">
        <f>VLOOKUP($A108,'Data shares'!$C:$FB,7)</f>
        <v>242.2</v>
      </c>
      <c r="C108" s="50">
        <f>VLOOKUP($A108,'Data shares'!$C:$FB,10)*100</f>
        <v>1.47</v>
      </c>
      <c r="D108" s="49">
        <f>VLOOKUP($A108,'Data shares'!$C:$FB,66)</f>
        <v>101033550</v>
      </c>
      <c r="E108" s="49">
        <f>VLOOKUP($A108,'Data shares'!$C:$FB,67)</f>
        <v>117937100</v>
      </c>
      <c r="F108" s="50">
        <f>VLOOKUP($A108,'Data shares'!$C:$FB,69)*100</f>
        <v>-14.330000000000002</v>
      </c>
      <c r="G108" s="49">
        <f>VLOOKUP($A108,'Data shares'!$C:$FB,42)</f>
        <v>18708350</v>
      </c>
      <c r="H108" s="49">
        <f>VLOOKUP($A108,'Data shares'!$C:$FB,43)</f>
        <v>21690500</v>
      </c>
      <c r="I108" s="50">
        <f>VLOOKUP($A108,'Data shares'!$C:$FB,45)*100</f>
        <v>-13.750000000000002</v>
      </c>
      <c r="J108" s="49">
        <f>VLOOKUP($A108,'Data shares'!$C:$FB,58)</f>
        <v>62032950</v>
      </c>
      <c r="K108" s="49">
        <f>VLOOKUP($A108,'Data shares'!$C:$FB,59)</f>
        <v>71449400</v>
      </c>
      <c r="L108" s="50">
        <f>VLOOKUP($A108,'Data shares'!$C:$FB,61)*100</f>
        <v>-13.18</v>
      </c>
      <c r="M108" s="49">
        <f>VLOOKUP($A108,'Data shares'!$C:$FB,62)</f>
        <v>20292250</v>
      </c>
      <c r="N108" s="49">
        <f>VLOOKUP($A108,'Data shares'!$C:$FB,63)</f>
        <v>24797200</v>
      </c>
      <c r="O108" s="140">
        <f>VLOOKUP($A108,'Data shares'!$C:$FB,65)*100</f>
        <v>-18.170000000000002</v>
      </c>
    </row>
    <row r="109" spans="1:15" x14ac:dyDescent="0.25">
      <c r="A109" s="101" t="str">
        <f>'Data Vlaue (Cr)'!C104</f>
        <v>JSWENERGY</v>
      </c>
      <c r="B109" s="50">
        <f>VLOOKUP($A109,'Data shares'!$C:$FB,7)</f>
        <v>518.29999999999995</v>
      </c>
      <c r="C109" s="50">
        <f>VLOOKUP($A109,'Data shares'!$C:$FB,10)*100</f>
        <v>6.21</v>
      </c>
      <c r="D109" s="49">
        <f>VLOOKUP($A109,'Data shares'!$C:$FB,66)</f>
        <v>111300000</v>
      </c>
      <c r="E109" s="49">
        <f>VLOOKUP($A109,'Data shares'!$C:$FB,67)</f>
        <v>8414000</v>
      </c>
      <c r="F109" s="50">
        <f>VLOOKUP($A109,'Data shares'!$C:$FB,69)*100</f>
        <v>1222.8</v>
      </c>
      <c r="G109" s="49">
        <f>VLOOKUP($A109,'Data shares'!$C:$FB,42)</f>
        <v>12888000</v>
      </c>
      <c r="H109" s="49">
        <f>VLOOKUP($A109,'Data shares'!$C:$FB,43)</f>
        <v>2204000</v>
      </c>
      <c r="I109" s="50">
        <f>VLOOKUP($A109,'Data shares'!$C:$FB,45)*100</f>
        <v>484.75</v>
      </c>
      <c r="J109" s="49">
        <f>VLOOKUP($A109,'Data shares'!$C:$FB,58)</f>
        <v>77476000</v>
      </c>
      <c r="K109" s="49">
        <f>VLOOKUP($A109,'Data shares'!$C:$FB,59)</f>
        <v>4496000</v>
      </c>
      <c r="L109" s="50">
        <f>VLOOKUP($A109,'Data shares'!$C:$FB,61)*100</f>
        <v>1623.2199999999998</v>
      </c>
      <c r="M109" s="49">
        <f>VLOOKUP($A109,'Data shares'!$C:$FB,62)</f>
        <v>20936000</v>
      </c>
      <c r="N109" s="49">
        <f>VLOOKUP($A109,'Data shares'!$C:$FB,63)</f>
        <v>1714000</v>
      </c>
      <c r="O109" s="140">
        <f>VLOOKUP($A109,'Data shares'!$C:$FB,65)*100</f>
        <v>1121.47</v>
      </c>
    </row>
    <row r="110" spans="1:15" x14ac:dyDescent="0.25">
      <c r="A110" s="101" t="str">
        <f>'Data Vlaue (Cr)'!C105</f>
        <v>JSWSTEEL</v>
      </c>
      <c r="B110" s="50">
        <f>VLOOKUP($A110,'Data shares'!$C:$FB,7)</f>
        <v>1172.5999999999999</v>
      </c>
      <c r="C110" s="50">
        <f>VLOOKUP($A110,'Data shares'!$C:$FB,10)*100</f>
        <v>-0.53</v>
      </c>
      <c r="D110" s="49">
        <f>VLOOKUP($A110,'Data shares'!$C:$FB,66)</f>
        <v>13065975</v>
      </c>
      <c r="E110" s="49">
        <f>VLOOKUP($A110,'Data shares'!$C:$FB,67)</f>
        <v>15662700</v>
      </c>
      <c r="F110" s="50">
        <f>VLOOKUP($A110,'Data shares'!$C:$FB,69)*100</f>
        <v>-16.580000000000002</v>
      </c>
      <c r="G110" s="49">
        <f>VLOOKUP($A110,'Data shares'!$C:$FB,42)</f>
        <v>4377375</v>
      </c>
      <c r="H110" s="49">
        <f>VLOOKUP($A110,'Data shares'!$C:$FB,43)</f>
        <v>5327775</v>
      </c>
      <c r="I110" s="50">
        <f>VLOOKUP($A110,'Data shares'!$C:$FB,45)*100</f>
        <v>-17.84</v>
      </c>
      <c r="J110" s="49">
        <f>VLOOKUP($A110,'Data shares'!$C:$FB,58)</f>
        <v>5563350</v>
      </c>
      <c r="K110" s="49">
        <f>VLOOKUP($A110,'Data shares'!$C:$FB,59)</f>
        <v>5819850</v>
      </c>
      <c r="L110" s="50">
        <f>VLOOKUP($A110,'Data shares'!$C:$FB,61)*100</f>
        <v>-4.41</v>
      </c>
      <c r="M110" s="49">
        <f>VLOOKUP($A110,'Data shares'!$C:$FB,62)</f>
        <v>3125250</v>
      </c>
      <c r="N110" s="49">
        <f>VLOOKUP($A110,'Data shares'!$C:$FB,63)</f>
        <v>4515075</v>
      </c>
      <c r="O110" s="140">
        <f>VLOOKUP($A110,'Data shares'!$C:$FB,65)*100</f>
        <v>-30.78</v>
      </c>
    </row>
    <row r="111" spans="1:15" x14ac:dyDescent="0.25">
      <c r="A111" s="101" t="str">
        <f>'Data Vlaue (Cr)'!C106</f>
        <v>JUBLFOOD</v>
      </c>
      <c r="B111" s="50">
        <f>VLOOKUP($A111,'Data shares'!$C:$FB,7)</f>
        <v>461.75</v>
      </c>
      <c r="C111" s="50">
        <f>VLOOKUP($A111,'Data shares'!$C:$FB,10)*100</f>
        <v>-2.4299999999999997</v>
      </c>
      <c r="D111" s="49">
        <f>VLOOKUP($A111,'Data shares'!$C:$FB,66)</f>
        <v>38280000</v>
      </c>
      <c r="E111" s="49">
        <f>VLOOKUP($A111,'Data shares'!$C:$FB,67)</f>
        <v>21872500</v>
      </c>
      <c r="F111" s="50">
        <f>VLOOKUP($A111,'Data shares'!$C:$FB,69)*100</f>
        <v>75.010000000000005</v>
      </c>
      <c r="G111" s="49">
        <f>VLOOKUP($A111,'Data shares'!$C:$FB,42)</f>
        <v>9613750</v>
      </c>
      <c r="H111" s="49">
        <f>VLOOKUP($A111,'Data shares'!$C:$FB,43)</f>
        <v>5651250</v>
      </c>
      <c r="I111" s="50">
        <f>VLOOKUP($A111,'Data shares'!$C:$FB,45)*100</f>
        <v>70.12</v>
      </c>
      <c r="J111" s="49">
        <f>VLOOKUP($A111,'Data shares'!$C:$FB,58)</f>
        <v>12538750</v>
      </c>
      <c r="K111" s="49">
        <f>VLOOKUP($A111,'Data shares'!$C:$FB,59)</f>
        <v>7522500</v>
      </c>
      <c r="L111" s="50">
        <f>VLOOKUP($A111,'Data shares'!$C:$FB,61)*100</f>
        <v>66.679999999999993</v>
      </c>
      <c r="M111" s="49">
        <f>VLOOKUP($A111,'Data shares'!$C:$FB,62)</f>
        <v>16127500</v>
      </c>
      <c r="N111" s="49">
        <f>VLOOKUP($A111,'Data shares'!$C:$FB,63)</f>
        <v>8698750</v>
      </c>
      <c r="O111" s="140">
        <f>VLOOKUP($A111,'Data shares'!$C:$FB,65)*100</f>
        <v>85.399999999999991</v>
      </c>
    </row>
    <row r="112" spans="1:15" x14ac:dyDescent="0.25">
      <c r="A112" s="101" t="str">
        <f>'Data Vlaue (Cr)'!C107</f>
        <v>KALYANKJIL</v>
      </c>
      <c r="B112" s="50">
        <f>VLOOKUP($A112,'Data shares'!$C:$FB,7)</f>
        <v>389.95</v>
      </c>
      <c r="C112" s="50">
        <f>VLOOKUP($A112,'Data shares'!$C:$FB,10)*100</f>
        <v>-0.13999999999999999</v>
      </c>
      <c r="D112" s="49">
        <f>VLOOKUP($A112,'Data shares'!$C:$FB,66)</f>
        <v>15135175</v>
      </c>
      <c r="E112" s="49">
        <f>VLOOKUP($A112,'Data shares'!$C:$FB,67)</f>
        <v>16619200</v>
      </c>
      <c r="F112" s="50">
        <f>VLOOKUP($A112,'Data shares'!$C:$FB,69)*100</f>
        <v>-8.93</v>
      </c>
      <c r="G112" s="49">
        <f>VLOOKUP($A112,'Data shares'!$C:$FB,42)</f>
        <v>3306450</v>
      </c>
      <c r="H112" s="49">
        <f>VLOOKUP($A112,'Data shares'!$C:$FB,43)</f>
        <v>2928100</v>
      </c>
      <c r="I112" s="50">
        <f>VLOOKUP($A112,'Data shares'!$C:$FB,45)*100</f>
        <v>12.920000000000002</v>
      </c>
      <c r="J112" s="49">
        <f>VLOOKUP($A112,'Data shares'!$C:$FB,58)</f>
        <v>7561125</v>
      </c>
      <c r="K112" s="49">
        <f>VLOOKUP($A112,'Data shares'!$C:$FB,59)</f>
        <v>9842975</v>
      </c>
      <c r="L112" s="50">
        <f>VLOOKUP($A112,'Data shares'!$C:$FB,61)*100</f>
        <v>-23.18</v>
      </c>
      <c r="M112" s="49">
        <f>VLOOKUP($A112,'Data shares'!$C:$FB,62)</f>
        <v>4267600</v>
      </c>
      <c r="N112" s="49">
        <f>VLOOKUP($A112,'Data shares'!$C:$FB,63)</f>
        <v>3848125</v>
      </c>
      <c r="O112" s="140">
        <f>VLOOKUP($A112,'Data shares'!$C:$FB,65)*100</f>
        <v>10.9</v>
      </c>
    </row>
    <row r="113" spans="1:15" x14ac:dyDescent="0.25">
      <c r="A113" s="101" t="str">
        <f>'Data Vlaue (Cr)'!C108</f>
        <v>KAYNES</v>
      </c>
      <c r="B113" s="50">
        <f>VLOOKUP($A113,'Data shares'!$C:$FB,7)</f>
        <v>3700.3</v>
      </c>
      <c r="C113" s="50">
        <f>VLOOKUP($A113,'Data shares'!$C:$FB,10)*100</f>
        <v>-0.69</v>
      </c>
      <c r="D113" s="49">
        <f>VLOOKUP($A113,'Data shares'!$C:$FB,66)</f>
        <v>5244500</v>
      </c>
      <c r="E113" s="49">
        <f>VLOOKUP($A113,'Data shares'!$C:$FB,67)</f>
        <v>6351400</v>
      </c>
      <c r="F113" s="50">
        <f>VLOOKUP($A113,'Data shares'!$C:$FB,69)*100</f>
        <v>-17.43</v>
      </c>
      <c r="G113" s="49">
        <f>VLOOKUP($A113,'Data shares'!$C:$FB,42)</f>
        <v>954300</v>
      </c>
      <c r="H113" s="49">
        <f>VLOOKUP($A113,'Data shares'!$C:$FB,43)</f>
        <v>961800</v>
      </c>
      <c r="I113" s="50">
        <f>VLOOKUP($A113,'Data shares'!$C:$FB,45)*100</f>
        <v>-0.77999999999999992</v>
      </c>
      <c r="J113" s="49">
        <f>VLOOKUP($A113,'Data shares'!$C:$FB,58)</f>
        <v>3207300</v>
      </c>
      <c r="K113" s="49">
        <f>VLOOKUP($A113,'Data shares'!$C:$FB,59)</f>
        <v>4322400</v>
      </c>
      <c r="L113" s="50">
        <f>VLOOKUP($A113,'Data shares'!$C:$FB,61)*100</f>
        <v>-25.8</v>
      </c>
      <c r="M113" s="49">
        <f>VLOOKUP($A113,'Data shares'!$C:$FB,62)</f>
        <v>1082900</v>
      </c>
      <c r="N113" s="49">
        <f>VLOOKUP($A113,'Data shares'!$C:$FB,63)</f>
        <v>1067200</v>
      </c>
      <c r="O113" s="140">
        <f>VLOOKUP($A113,'Data shares'!$C:$FB,65)*100</f>
        <v>1.47</v>
      </c>
    </row>
    <row r="114" spans="1:15" x14ac:dyDescent="0.25">
      <c r="A114" s="101" t="str">
        <f>'Data Vlaue (Cr)'!C109</f>
        <v>KEI</v>
      </c>
      <c r="B114" s="50">
        <f>VLOOKUP($A114,'Data shares'!$C:$FB,7)</f>
        <v>4330</v>
      </c>
      <c r="C114" s="50">
        <f>VLOOKUP($A114,'Data shares'!$C:$FB,10)*100</f>
        <v>0.21</v>
      </c>
      <c r="D114" s="49">
        <f>VLOOKUP($A114,'Data shares'!$C:$FB,66)</f>
        <v>3704575</v>
      </c>
      <c r="E114" s="49">
        <f>VLOOKUP($A114,'Data shares'!$C:$FB,67)</f>
        <v>5779200</v>
      </c>
      <c r="F114" s="50">
        <f>VLOOKUP($A114,'Data shares'!$C:$FB,69)*100</f>
        <v>-35.9</v>
      </c>
      <c r="G114" s="49">
        <f>VLOOKUP($A114,'Data shares'!$C:$FB,42)</f>
        <v>838425</v>
      </c>
      <c r="H114" s="49">
        <f>VLOOKUP($A114,'Data shares'!$C:$FB,43)</f>
        <v>1058400</v>
      </c>
      <c r="I114" s="50">
        <f>VLOOKUP($A114,'Data shares'!$C:$FB,45)*100</f>
        <v>-20.78</v>
      </c>
      <c r="J114" s="49">
        <f>VLOOKUP($A114,'Data shares'!$C:$FB,58)</f>
        <v>1938475</v>
      </c>
      <c r="K114" s="49">
        <f>VLOOKUP($A114,'Data shares'!$C:$FB,59)</f>
        <v>1760675</v>
      </c>
      <c r="L114" s="50">
        <f>VLOOKUP($A114,'Data shares'!$C:$FB,61)*100</f>
        <v>10.100000000000001</v>
      </c>
      <c r="M114" s="49">
        <f>VLOOKUP($A114,'Data shares'!$C:$FB,62)</f>
        <v>927675</v>
      </c>
      <c r="N114" s="49">
        <f>VLOOKUP($A114,'Data shares'!$C:$FB,63)</f>
        <v>2960125</v>
      </c>
      <c r="O114" s="140">
        <f>VLOOKUP($A114,'Data shares'!$C:$FB,65)*100</f>
        <v>-68.66</v>
      </c>
    </row>
    <row r="115" spans="1:15" x14ac:dyDescent="0.25">
      <c r="A115" s="101" t="str">
        <f>'Data Vlaue (Cr)'!C110</f>
        <v>KFINTECH</v>
      </c>
      <c r="B115" s="50">
        <f>VLOOKUP($A115,'Data shares'!$C:$FB,7)</f>
        <v>907.6</v>
      </c>
      <c r="C115" s="50">
        <f>VLOOKUP($A115,'Data shares'!$C:$FB,10)*100</f>
        <v>-2.08</v>
      </c>
      <c r="D115" s="49">
        <f>VLOOKUP($A115,'Data shares'!$C:$FB,66)</f>
        <v>2547000</v>
      </c>
      <c r="E115" s="49">
        <f>VLOOKUP($A115,'Data shares'!$C:$FB,67)</f>
        <v>1446500</v>
      </c>
      <c r="F115" s="50">
        <f>VLOOKUP($A115,'Data shares'!$C:$FB,69)*100</f>
        <v>76.08</v>
      </c>
      <c r="G115" s="49">
        <f>VLOOKUP($A115,'Data shares'!$C:$FB,42)</f>
        <v>979000</v>
      </c>
      <c r="H115" s="49">
        <f>VLOOKUP($A115,'Data shares'!$C:$FB,43)</f>
        <v>562000</v>
      </c>
      <c r="I115" s="50">
        <f>VLOOKUP($A115,'Data shares'!$C:$FB,45)*100</f>
        <v>74.2</v>
      </c>
      <c r="J115" s="49">
        <f>VLOOKUP($A115,'Data shares'!$C:$FB,58)</f>
        <v>955000</v>
      </c>
      <c r="K115" s="49">
        <f>VLOOKUP($A115,'Data shares'!$C:$FB,59)</f>
        <v>599000</v>
      </c>
      <c r="L115" s="50">
        <f>VLOOKUP($A115,'Data shares'!$C:$FB,61)*100</f>
        <v>59.430000000000007</v>
      </c>
      <c r="M115" s="49">
        <f>VLOOKUP($A115,'Data shares'!$C:$FB,62)</f>
        <v>613000</v>
      </c>
      <c r="N115" s="49">
        <f>VLOOKUP($A115,'Data shares'!$C:$FB,63)</f>
        <v>285500</v>
      </c>
      <c r="O115" s="140">
        <f>VLOOKUP($A115,'Data shares'!$C:$FB,65)*100</f>
        <v>114.71000000000001</v>
      </c>
    </row>
    <row r="116" spans="1:15" x14ac:dyDescent="0.25">
      <c r="A116" s="101" t="str">
        <f>'Data Vlaue (Cr)'!C111</f>
        <v>KOTAKBANK</v>
      </c>
      <c r="B116" s="50">
        <f>VLOOKUP($A116,'Data shares'!$C:$FB,7)</f>
        <v>375.3</v>
      </c>
      <c r="C116" s="50">
        <f>VLOOKUP($A116,'Data shares'!$C:$FB,10)*100</f>
        <v>-2.06</v>
      </c>
      <c r="D116" s="49">
        <f>VLOOKUP($A116,'Data shares'!$C:$FB,66)</f>
        <v>75882000</v>
      </c>
      <c r="E116" s="49">
        <f>VLOOKUP($A116,'Data shares'!$C:$FB,67)</f>
        <v>77326000</v>
      </c>
      <c r="F116" s="50">
        <f>VLOOKUP($A116,'Data shares'!$C:$FB,69)*100</f>
        <v>-1.87</v>
      </c>
      <c r="G116" s="49">
        <f>VLOOKUP($A116,'Data shares'!$C:$FB,42)</f>
        <v>25442000</v>
      </c>
      <c r="H116" s="49">
        <f>VLOOKUP($A116,'Data shares'!$C:$FB,43)</f>
        <v>18634000</v>
      </c>
      <c r="I116" s="50">
        <f>VLOOKUP($A116,'Data shares'!$C:$FB,45)*100</f>
        <v>36.54</v>
      </c>
      <c r="J116" s="49">
        <f>VLOOKUP($A116,'Data shares'!$C:$FB,58)</f>
        <v>31052000</v>
      </c>
      <c r="K116" s="49">
        <f>VLOOKUP($A116,'Data shares'!$C:$FB,59)</f>
        <v>31932000</v>
      </c>
      <c r="L116" s="50">
        <f>VLOOKUP($A116,'Data shares'!$C:$FB,61)*100</f>
        <v>-2.76</v>
      </c>
      <c r="M116" s="49">
        <f>VLOOKUP($A116,'Data shares'!$C:$FB,62)</f>
        <v>19388000</v>
      </c>
      <c r="N116" s="49">
        <f>VLOOKUP($A116,'Data shares'!$C:$FB,63)</f>
        <v>26760000</v>
      </c>
      <c r="O116" s="140">
        <f>VLOOKUP($A116,'Data shares'!$C:$FB,65)*100</f>
        <v>-27.55</v>
      </c>
    </row>
    <row r="117" spans="1:15" x14ac:dyDescent="0.25">
      <c r="A117" s="101" t="str">
        <f>'Data Vlaue (Cr)'!C112</f>
        <v>KPITTECH</v>
      </c>
      <c r="B117" s="50">
        <f>VLOOKUP($A117,'Data shares'!$C:$FB,7)</f>
        <v>671.25</v>
      </c>
      <c r="C117" s="50">
        <f>VLOOKUP($A117,'Data shares'!$C:$FB,10)*100</f>
        <v>-1.68</v>
      </c>
      <c r="D117" s="49">
        <f>VLOOKUP($A117,'Data shares'!$C:$FB,66)</f>
        <v>7044800</v>
      </c>
      <c r="E117" s="49">
        <f>VLOOKUP($A117,'Data shares'!$C:$FB,67)</f>
        <v>9978150</v>
      </c>
      <c r="F117" s="50">
        <f>VLOOKUP($A117,'Data shares'!$C:$FB,69)*100</f>
        <v>-29.4</v>
      </c>
      <c r="G117" s="49">
        <f>VLOOKUP($A117,'Data shares'!$C:$FB,42)</f>
        <v>1075675</v>
      </c>
      <c r="H117" s="49">
        <f>VLOOKUP($A117,'Data shares'!$C:$FB,43)</f>
        <v>1514700</v>
      </c>
      <c r="I117" s="50">
        <f>VLOOKUP($A117,'Data shares'!$C:$FB,45)*100</f>
        <v>-28.98</v>
      </c>
      <c r="J117" s="49">
        <f>VLOOKUP($A117,'Data shares'!$C:$FB,58)</f>
        <v>4828000</v>
      </c>
      <c r="K117" s="49">
        <f>VLOOKUP($A117,'Data shares'!$C:$FB,59)</f>
        <v>6465100</v>
      </c>
      <c r="L117" s="50">
        <f>VLOOKUP($A117,'Data shares'!$C:$FB,61)*100</f>
        <v>-25.319999999999997</v>
      </c>
      <c r="M117" s="49">
        <f>VLOOKUP($A117,'Data shares'!$C:$FB,62)</f>
        <v>1141125</v>
      </c>
      <c r="N117" s="49">
        <f>VLOOKUP($A117,'Data shares'!$C:$FB,63)</f>
        <v>1998350</v>
      </c>
      <c r="O117" s="140">
        <f>VLOOKUP($A117,'Data shares'!$C:$FB,65)*100</f>
        <v>-42.9</v>
      </c>
    </row>
    <row r="118" spans="1:15" x14ac:dyDescent="0.25">
      <c r="A118" s="101" t="str">
        <f>'Data Vlaue (Cr)'!C113</f>
        <v>LAURUSLABS</v>
      </c>
      <c r="B118" s="50">
        <f>VLOOKUP($A118,'Data shares'!$C:$FB,7)</f>
        <v>1046.8</v>
      </c>
      <c r="C118" s="50">
        <f>VLOOKUP($A118,'Data shares'!$C:$FB,10)*100</f>
        <v>0.55999999999999994</v>
      </c>
      <c r="D118" s="49">
        <f>VLOOKUP($A118,'Data shares'!$C:$FB,66)</f>
        <v>15013550</v>
      </c>
      <c r="E118" s="49">
        <f>VLOOKUP($A118,'Data shares'!$C:$FB,67)</f>
        <v>30836300</v>
      </c>
      <c r="F118" s="50">
        <f>VLOOKUP($A118,'Data shares'!$C:$FB,69)*100</f>
        <v>-51.31</v>
      </c>
      <c r="G118" s="49">
        <f>VLOOKUP($A118,'Data shares'!$C:$FB,42)</f>
        <v>3466300</v>
      </c>
      <c r="H118" s="49">
        <f>VLOOKUP($A118,'Data shares'!$C:$FB,43)</f>
        <v>4738750</v>
      </c>
      <c r="I118" s="50">
        <f>VLOOKUP($A118,'Data shares'!$C:$FB,45)*100</f>
        <v>-26.85</v>
      </c>
      <c r="J118" s="49">
        <f>VLOOKUP($A118,'Data shares'!$C:$FB,58)</f>
        <v>8511900</v>
      </c>
      <c r="K118" s="49">
        <f>VLOOKUP($A118,'Data shares'!$C:$FB,59)</f>
        <v>19291600</v>
      </c>
      <c r="L118" s="50">
        <f>VLOOKUP($A118,'Data shares'!$C:$FB,61)*100</f>
        <v>-55.879999999999995</v>
      </c>
      <c r="M118" s="49">
        <f>VLOOKUP($A118,'Data shares'!$C:$FB,62)</f>
        <v>3035350</v>
      </c>
      <c r="N118" s="49">
        <f>VLOOKUP($A118,'Data shares'!$C:$FB,63)</f>
        <v>6805950</v>
      </c>
      <c r="O118" s="140">
        <f>VLOOKUP($A118,'Data shares'!$C:$FB,65)*100</f>
        <v>-55.400000000000006</v>
      </c>
    </row>
    <row r="119" spans="1:15" x14ac:dyDescent="0.25">
      <c r="A119" s="101" t="str">
        <f>'Data Vlaue (Cr)'!C114</f>
        <v>LICHSGFIN</v>
      </c>
      <c r="B119" s="50">
        <f>VLOOKUP($A119,'Data shares'!$C:$FB,7)</f>
        <v>498.5</v>
      </c>
      <c r="C119" s="50">
        <f>VLOOKUP($A119,'Data shares'!$C:$FB,10)*100</f>
        <v>-1.37</v>
      </c>
      <c r="D119" s="49">
        <f>VLOOKUP($A119,'Data shares'!$C:$FB,66)</f>
        <v>10485000</v>
      </c>
      <c r="E119" s="49">
        <f>VLOOKUP($A119,'Data shares'!$C:$FB,67)</f>
        <v>10168000</v>
      </c>
      <c r="F119" s="50">
        <f>VLOOKUP($A119,'Data shares'!$C:$FB,69)*100</f>
        <v>3.1199999999999997</v>
      </c>
      <c r="G119" s="49">
        <f>VLOOKUP($A119,'Data shares'!$C:$FB,42)</f>
        <v>2851000</v>
      </c>
      <c r="H119" s="49">
        <f>VLOOKUP($A119,'Data shares'!$C:$FB,43)</f>
        <v>2190000</v>
      </c>
      <c r="I119" s="50">
        <f>VLOOKUP($A119,'Data shares'!$C:$FB,45)*100</f>
        <v>30.18</v>
      </c>
      <c r="J119" s="49">
        <f>VLOOKUP($A119,'Data shares'!$C:$FB,58)</f>
        <v>4213000</v>
      </c>
      <c r="K119" s="49">
        <f>VLOOKUP($A119,'Data shares'!$C:$FB,59)</f>
        <v>4095000</v>
      </c>
      <c r="L119" s="50">
        <f>VLOOKUP($A119,'Data shares'!$C:$FB,61)*100</f>
        <v>2.88</v>
      </c>
      <c r="M119" s="49">
        <f>VLOOKUP($A119,'Data shares'!$C:$FB,62)</f>
        <v>3421000</v>
      </c>
      <c r="N119" s="49">
        <f>VLOOKUP($A119,'Data shares'!$C:$FB,63)</f>
        <v>3883000</v>
      </c>
      <c r="O119" s="140">
        <f>VLOOKUP($A119,'Data shares'!$C:$FB,65)*100</f>
        <v>-11.899999999999999</v>
      </c>
    </row>
    <row r="120" spans="1:15" x14ac:dyDescent="0.25">
      <c r="A120" s="101" t="str">
        <f>'Data Vlaue (Cr)'!C115</f>
        <v>LICI</v>
      </c>
      <c r="B120" s="50">
        <f>VLOOKUP($A120,'Data shares'!$C:$FB,7)</f>
        <v>796.65</v>
      </c>
      <c r="C120" s="50">
        <f>VLOOKUP($A120,'Data shares'!$C:$FB,10)*100</f>
        <v>-0.72</v>
      </c>
      <c r="D120" s="49">
        <f>VLOOKUP($A120,'Data shares'!$C:$FB,66)</f>
        <v>4568200</v>
      </c>
      <c r="E120" s="49">
        <f>VLOOKUP($A120,'Data shares'!$C:$FB,67)</f>
        <v>4269300</v>
      </c>
      <c r="F120" s="50">
        <f>VLOOKUP($A120,'Data shares'!$C:$FB,69)*100</f>
        <v>7.0000000000000009</v>
      </c>
      <c r="G120" s="49">
        <f>VLOOKUP($A120,'Data shares'!$C:$FB,42)</f>
        <v>1206800</v>
      </c>
      <c r="H120" s="49">
        <f>VLOOKUP($A120,'Data shares'!$C:$FB,43)</f>
        <v>1518300</v>
      </c>
      <c r="I120" s="50">
        <f>VLOOKUP($A120,'Data shares'!$C:$FB,45)*100</f>
        <v>-20.52</v>
      </c>
      <c r="J120" s="49">
        <f>VLOOKUP($A120,'Data shares'!$C:$FB,58)</f>
        <v>2222500</v>
      </c>
      <c r="K120" s="49">
        <f>VLOOKUP($A120,'Data shares'!$C:$FB,59)</f>
        <v>1749300</v>
      </c>
      <c r="L120" s="50">
        <f>VLOOKUP($A120,'Data shares'!$C:$FB,61)*100</f>
        <v>27.05</v>
      </c>
      <c r="M120" s="49">
        <f>VLOOKUP($A120,'Data shares'!$C:$FB,62)</f>
        <v>1138900</v>
      </c>
      <c r="N120" s="49">
        <f>VLOOKUP($A120,'Data shares'!$C:$FB,63)</f>
        <v>1001700</v>
      </c>
      <c r="O120" s="140">
        <f>VLOOKUP($A120,'Data shares'!$C:$FB,65)*100</f>
        <v>13.700000000000001</v>
      </c>
    </row>
    <row r="121" spans="1:15" x14ac:dyDescent="0.25">
      <c r="A121" s="101" t="str">
        <f>'Data Vlaue (Cr)'!C116</f>
        <v>LODHA</v>
      </c>
      <c r="B121" s="50">
        <f>VLOOKUP($A121,'Data shares'!$C:$FB,7)</f>
        <v>869.05</v>
      </c>
      <c r="C121" s="50">
        <f>VLOOKUP($A121,'Data shares'!$C:$FB,10)*100</f>
        <v>-1.29</v>
      </c>
      <c r="D121" s="49">
        <f>VLOOKUP($A121,'Data shares'!$C:$FB,66)</f>
        <v>3447900</v>
      </c>
      <c r="E121" s="49">
        <f>VLOOKUP($A121,'Data shares'!$C:$FB,67)</f>
        <v>3735000</v>
      </c>
      <c r="F121" s="50">
        <f>VLOOKUP($A121,'Data shares'!$C:$FB,69)*100</f>
        <v>-7.6899999999999995</v>
      </c>
      <c r="G121" s="49">
        <f>VLOOKUP($A121,'Data shares'!$C:$FB,42)</f>
        <v>846900</v>
      </c>
      <c r="H121" s="49">
        <f>VLOOKUP($A121,'Data shares'!$C:$FB,43)</f>
        <v>1010700</v>
      </c>
      <c r="I121" s="50">
        <f>VLOOKUP($A121,'Data shares'!$C:$FB,45)*100</f>
        <v>-16.21</v>
      </c>
      <c r="J121" s="49">
        <f>VLOOKUP($A121,'Data shares'!$C:$FB,58)</f>
        <v>1681200</v>
      </c>
      <c r="K121" s="49">
        <f>VLOOKUP($A121,'Data shares'!$C:$FB,59)</f>
        <v>1863000</v>
      </c>
      <c r="L121" s="50">
        <f>VLOOKUP($A121,'Data shares'!$C:$FB,61)*100</f>
        <v>-9.76</v>
      </c>
      <c r="M121" s="49">
        <f>VLOOKUP($A121,'Data shares'!$C:$FB,62)</f>
        <v>919800</v>
      </c>
      <c r="N121" s="49">
        <f>VLOOKUP($A121,'Data shares'!$C:$FB,63)</f>
        <v>861300</v>
      </c>
      <c r="O121" s="140">
        <f>VLOOKUP($A121,'Data shares'!$C:$FB,65)*100</f>
        <v>6.79</v>
      </c>
    </row>
    <row r="122" spans="1:15" x14ac:dyDescent="0.25">
      <c r="A122" s="101" t="str">
        <f>'Data Vlaue (Cr)'!C117</f>
        <v>LT</v>
      </c>
      <c r="B122" s="50">
        <f>VLOOKUP($A122,'Data shares'!$C:$FB,7)</f>
        <v>3719.5</v>
      </c>
      <c r="C122" s="50">
        <f>VLOOKUP($A122,'Data shares'!$C:$FB,10)*100</f>
        <v>-3.11</v>
      </c>
      <c r="D122" s="49">
        <f>VLOOKUP($A122,'Data shares'!$C:$FB,66)</f>
        <v>21964075</v>
      </c>
      <c r="E122" s="49">
        <f>VLOOKUP($A122,'Data shares'!$C:$FB,67)</f>
        <v>11861675</v>
      </c>
      <c r="F122" s="50">
        <f>VLOOKUP($A122,'Data shares'!$C:$FB,69)*100</f>
        <v>85.17</v>
      </c>
      <c r="G122" s="49">
        <f>VLOOKUP($A122,'Data shares'!$C:$FB,42)</f>
        <v>3393250</v>
      </c>
      <c r="H122" s="49">
        <f>VLOOKUP($A122,'Data shares'!$C:$FB,43)</f>
        <v>1889650</v>
      </c>
      <c r="I122" s="50">
        <f>VLOOKUP($A122,'Data shares'!$C:$FB,45)*100</f>
        <v>79.569999999999993</v>
      </c>
      <c r="J122" s="49">
        <f>VLOOKUP($A122,'Data shares'!$C:$FB,58)</f>
        <v>11564350</v>
      </c>
      <c r="K122" s="49">
        <f>VLOOKUP($A122,'Data shares'!$C:$FB,59)</f>
        <v>6086325</v>
      </c>
      <c r="L122" s="50">
        <f>VLOOKUP($A122,'Data shares'!$C:$FB,61)*100</f>
        <v>90.01</v>
      </c>
      <c r="M122" s="49">
        <f>VLOOKUP($A122,'Data shares'!$C:$FB,62)</f>
        <v>7006475</v>
      </c>
      <c r="N122" s="49">
        <f>VLOOKUP($A122,'Data shares'!$C:$FB,63)</f>
        <v>3885700</v>
      </c>
      <c r="O122" s="140">
        <f>VLOOKUP($A122,'Data shares'!$C:$FB,65)*100</f>
        <v>80.31</v>
      </c>
    </row>
    <row r="123" spans="1:15" x14ac:dyDescent="0.25">
      <c r="A123" s="101" t="str">
        <f>'Data Vlaue (Cr)'!C118</f>
        <v>LTF</v>
      </c>
      <c r="B123" s="50">
        <f>VLOOKUP($A123,'Data shares'!$C:$FB,7)</f>
        <v>265.5</v>
      </c>
      <c r="C123" s="50">
        <f>VLOOKUP($A123,'Data shares'!$C:$FB,10)*100</f>
        <v>-0.43</v>
      </c>
      <c r="D123" s="49">
        <f>VLOOKUP($A123,'Data shares'!$C:$FB,66)</f>
        <v>42684750</v>
      </c>
      <c r="E123" s="49">
        <f>VLOOKUP($A123,'Data shares'!$C:$FB,67)</f>
        <v>38355750</v>
      </c>
      <c r="F123" s="50">
        <f>VLOOKUP($A123,'Data shares'!$C:$FB,69)*100</f>
        <v>11.29</v>
      </c>
      <c r="G123" s="49">
        <f>VLOOKUP($A123,'Data shares'!$C:$FB,42)</f>
        <v>11394000</v>
      </c>
      <c r="H123" s="49">
        <f>VLOOKUP($A123,'Data shares'!$C:$FB,43)</f>
        <v>8030250</v>
      </c>
      <c r="I123" s="50">
        <f>VLOOKUP($A123,'Data shares'!$C:$FB,45)*100</f>
        <v>41.89</v>
      </c>
      <c r="J123" s="49">
        <f>VLOOKUP($A123,'Data shares'!$C:$FB,58)</f>
        <v>23224500</v>
      </c>
      <c r="K123" s="49">
        <f>VLOOKUP($A123,'Data shares'!$C:$FB,59)</f>
        <v>23202000</v>
      </c>
      <c r="L123" s="50">
        <f>VLOOKUP($A123,'Data shares'!$C:$FB,61)*100</f>
        <v>0.1</v>
      </c>
      <c r="M123" s="49">
        <f>VLOOKUP($A123,'Data shares'!$C:$FB,62)</f>
        <v>8066250</v>
      </c>
      <c r="N123" s="49">
        <f>VLOOKUP($A123,'Data shares'!$C:$FB,63)</f>
        <v>7123500</v>
      </c>
      <c r="O123" s="140">
        <f>VLOOKUP($A123,'Data shares'!$C:$FB,65)*100</f>
        <v>13.23</v>
      </c>
    </row>
    <row r="124" spans="1:15" x14ac:dyDescent="0.25">
      <c r="A124" s="101" t="str">
        <f>'Data Vlaue (Cr)'!C119</f>
        <v>LTM</v>
      </c>
      <c r="B124" s="50">
        <f>VLOOKUP($A124,'Data shares'!$C:$FB,7)</f>
        <v>4323.6000000000004</v>
      </c>
      <c r="C124" s="50">
        <f>VLOOKUP($A124,'Data shares'!$C:$FB,10)*100</f>
        <v>1.43</v>
      </c>
      <c r="D124" s="49">
        <f>VLOOKUP($A124,'Data shares'!$C:$FB,66)</f>
        <v>1952550</v>
      </c>
      <c r="E124" s="49">
        <f>VLOOKUP($A124,'Data shares'!$C:$FB,67)</f>
        <v>1630350</v>
      </c>
      <c r="F124" s="50">
        <f>VLOOKUP($A124,'Data shares'!$C:$FB,69)*100</f>
        <v>19.759999999999998</v>
      </c>
      <c r="G124" s="49">
        <f>VLOOKUP($A124,'Data shares'!$C:$FB,42)</f>
        <v>536250</v>
      </c>
      <c r="H124" s="49">
        <f>VLOOKUP($A124,'Data shares'!$C:$FB,43)</f>
        <v>364800</v>
      </c>
      <c r="I124" s="50">
        <f>VLOOKUP($A124,'Data shares'!$C:$FB,45)*100</f>
        <v>47</v>
      </c>
      <c r="J124" s="49">
        <f>VLOOKUP($A124,'Data shares'!$C:$FB,58)</f>
        <v>1003200</v>
      </c>
      <c r="K124" s="49">
        <f>VLOOKUP($A124,'Data shares'!$C:$FB,59)</f>
        <v>897900</v>
      </c>
      <c r="L124" s="50">
        <f>VLOOKUP($A124,'Data shares'!$C:$FB,61)*100</f>
        <v>11.73</v>
      </c>
      <c r="M124" s="49">
        <f>VLOOKUP($A124,'Data shares'!$C:$FB,62)</f>
        <v>413100</v>
      </c>
      <c r="N124" s="49">
        <f>VLOOKUP($A124,'Data shares'!$C:$FB,63)</f>
        <v>367650</v>
      </c>
      <c r="O124" s="140">
        <f>VLOOKUP($A124,'Data shares'!$C:$FB,65)*100</f>
        <v>12.36</v>
      </c>
    </row>
    <row r="125" spans="1:15" x14ac:dyDescent="0.25">
      <c r="A125" s="101" t="str">
        <f>'Data Vlaue (Cr)'!C120</f>
        <v>LUPIN</v>
      </c>
      <c r="B125" s="50">
        <f>VLOOKUP($A125,'Data shares'!$C:$FB,7)</f>
        <v>2357.3000000000002</v>
      </c>
      <c r="C125" s="50">
        <f>VLOOKUP($A125,'Data shares'!$C:$FB,10)*100</f>
        <v>0.54</v>
      </c>
      <c r="D125" s="49">
        <f>VLOOKUP($A125,'Data shares'!$C:$FB,66)</f>
        <v>7991275</v>
      </c>
      <c r="E125" s="49">
        <f>VLOOKUP($A125,'Data shares'!$C:$FB,67)</f>
        <v>13580875</v>
      </c>
      <c r="F125" s="50">
        <f>VLOOKUP($A125,'Data shares'!$C:$FB,69)*100</f>
        <v>-41.160000000000004</v>
      </c>
      <c r="G125" s="49">
        <f>VLOOKUP($A125,'Data shares'!$C:$FB,42)</f>
        <v>1333225</v>
      </c>
      <c r="H125" s="49">
        <f>VLOOKUP($A125,'Data shares'!$C:$FB,43)</f>
        <v>1894225</v>
      </c>
      <c r="I125" s="50">
        <f>VLOOKUP($A125,'Data shares'!$C:$FB,45)*100</f>
        <v>-29.62</v>
      </c>
      <c r="J125" s="49">
        <f>VLOOKUP($A125,'Data shares'!$C:$FB,58)</f>
        <v>4364325</v>
      </c>
      <c r="K125" s="49">
        <f>VLOOKUP($A125,'Data shares'!$C:$FB,59)</f>
        <v>8895250</v>
      </c>
      <c r="L125" s="50">
        <f>VLOOKUP($A125,'Data shares'!$C:$FB,61)*100</f>
        <v>-50.94</v>
      </c>
      <c r="M125" s="49">
        <f>VLOOKUP($A125,'Data shares'!$C:$FB,62)</f>
        <v>2293725</v>
      </c>
      <c r="N125" s="49">
        <f>VLOOKUP($A125,'Data shares'!$C:$FB,63)</f>
        <v>2791400</v>
      </c>
      <c r="O125" s="140">
        <f>VLOOKUP($A125,'Data shares'!$C:$FB,65)*100</f>
        <v>-17.829999999999998</v>
      </c>
    </row>
    <row r="126" spans="1:15" x14ac:dyDescent="0.25">
      <c r="A126" s="101" t="str">
        <f>'Data Vlaue (Cr)'!C121</f>
        <v>M&amp;M</v>
      </c>
      <c r="B126" s="50">
        <f>VLOOKUP($A126,'Data shares'!$C:$FB,7)</f>
        <v>3031.2</v>
      </c>
      <c r="C126" s="50">
        <f>VLOOKUP($A126,'Data shares'!$C:$FB,10)*100</f>
        <v>-4.32</v>
      </c>
      <c r="D126" s="49">
        <f>VLOOKUP($A126,'Data shares'!$C:$FB,66)</f>
        <v>23287600</v>
      </c>
      <c r="E126" s="49">
        <f>VLOOKUP($A126,'Data shares'!$C:$FB,67)</f>
        <v>14470400</v>
      </c>
      <c r="F126" s="50">
        <f>VLOOKUP($A126,'Data shares'!$C:$FB,69)*100</f>
        <v>60.929999999999993</v>
      </c>
      <c r="G126" s="49">
        <f>VLOOKUP($A126,'Data shares'!$C:$FB,42)</f>
        <v>3780200</v>
      </c>
      <c r="H126" s="49">
        <f>VLOOKUP($A126,'Data shares'!$C:$FB,43)</f>
        <v>2183600</v>
      </c>
      <c r="I126" s="50">
        <f>VLOOKUP($A126,'Data shares'!$C:$FB,45)*100</f>
        <v>73.11999999999999</v>
      </c>
      <c r="J126" s="49">
        <f>VLOOKUP($A126,'Data shares'!$C:$FB,58)</f>
        <v>10706200</v>
      </c>
      <c r="K126" s="49">
        <f>VLOOKUP($A126,'Data shares'!$C:$FB,59)</f>
        <v>6710800</v>
      </c>
      <c r="L126" s="50">
        <f>VLOOKUP($A126,'Data shares'!$C:$FB,61)*100</f>
        <v>59.540000000000006</v>
      </c>
      <c r="M126" s="49">
        <f>VLOOKUP($A126,'Data shares'!$C:$FB,62)</f>
        <v>8801200</v>
      </c>
      <c r="N126" s="49">
        <f>VLOOKUP($A126,'Data shares'!$C:$FB,63)</f>
        <v>5576000</v>
      </c>
      <c r="O126" s="140">
        <f>VLOOKUP($A126,'Data shares'!$C:$FB,65)*100</f>
        <v>57.84</v>
      </c>
    </row>
    <row r="127" spans="1:15" x14ac:dyDescent="0.25">
      <c r="A127" s="101" t="str">
        <f>'Data Vlaue (Cr)'!C122</f>
        <v>MANAPPURAM</v>
      </c>
      <c r="B127" s="50">
        <f>VLOOKUP($A127,'Data shares'!$C:$FB,7)</f>
        <v>255.55</v>
      </c>
      <c r="C127" s="50">
        <f>VLOOKUP($A127,'Data shares'!$C:$FB,10)*100</f>
        <v>-0.95</v>
      </c>
      <c r="D127" s="49">
        <f>VLOOKUP($A127,'Data shares'!$C:$FB,66)</f>
        <v>19485000</v>
      </c>
      <c r="E127" s="49">
        <f>VLOOKUP($A127,'Data shares'!$C:$FB,67)</f>
        <v>27576000</v>
      </c>
      <c r="F127" s="50">
        <f>VLOOKUP($A127,'Data shares'!$C:$FB,69)*100</f>
        <v>-29.34</v>
      </c>
      <c r="G127" s="49">
        <f>VLOOKUP($A127,'Data shares'!$C:$FB,42)</f>
        <v>8328000</v>
      </c>
      <c r="H127" s="49">
        <f>VLOOKUP($A127,'Data shares'!$C:$FB,43)</f>
        <v>9051000</v>
      </c>
      <c r="I127" s="50">
        <f>VLOOKUP($A127,'Data shares'!$C:$FB,45)*100</f>
        <v>-7.99</v>
      </c>
      <c r="J127" s="49">
        <f>VLOOKUP($A127,'Data shares'!$C:$FB,58)</f>
        <v>7614000</v>
      </c>
      <c r="K127" s="49">
        <f>VLOOKUP($A127,'Data shares'!$C:$FB,59)</f>
        <v>11676000</v>
      </c>
      <c r="L127" s="50">
        <f>VLOOKUP($A127,'Data shares'!$C:$FB,61)*100</f>
        <v>-34.79</v>
      </c>
      <c r="M127" s="49">
        <f>VLOOKUP($A127,'Data shares'!$C:$FB,62)</f>
        <v>3543000</v>
      </c>
      <c r="N127" s="49">
        <f>VLOOKUP($A127,'Data shares'!$C:$FB,63)</f>
        <v>6849000</v>
      </c>
      <c r="O127" s="140">
        <f>VLOOKUP($A127,'Data shares'!$C:$FB,65)*100</f>
        <v>-48.27</v>
      </c>
    </row>
    <row r="128" spans="1:15" x14ac:dyDescent="0.25">
      <c r="A128" s="101" t="str">
        <f>'Data Vlaue (Cr)'!C123</f>
        <v>MANKIND</v>
      </c>
      <c r="B128" s="50">
        <f>VLOOKUP($A128,'Data shares'!$C:$FB,7)</f>
        <v>2207.9</v>
      </c>
      <c r="C128" s="50">
        <f>VLOOKUP($A128,'Data shares'!$C:$FB,10)*100</f>
        <v>-1.6</v>
      </c>
      <c r="D128" s="49">
        <f>VLOOKUP($A128,'Data shares'!$C:$FB,66)</f>
        <v>1458000</v>
      </c>
      <c r="E128" s="49">
        <f>VLOOKUP($A128,'Data shares'!$C:$FB,67)</f>
        <v>2179350</v>
      </c>
      <c r="F128" s="50">
        <f>VLOOKUP($A128,'Data shares'!$C:$FB,69)*100</f>
        <v>-33.1</v>
      </c>
      <c r="G128" s="49">
        <f>VLOOKUP($A128,'Data shares'!$C:$FB,42)</f>
        <v>391725</v>
      </c>
      <c r="H128" s="49">
        <f>VLOOKUP($A128,'Data shares'!$C:$FB,43)</f>
        <v>345375</v>
      </c>
      <c r="I128" s="50">
        <f>VLOOKUP($A128,'Data shares'!$C:$FB,45)*100</f>
        <v>13.420000000000002</v>
      </c>
      <c r="J128" s="49">
        <f>VLOOKUP($A128,'Data shares'!$C:$FB,58)</f>
        <v>835875</v>
      </c>
      <c r="K128" s="49">
        <f>VLOOKUP($A128,'Data shares'!$C:$FB,59)</f>
        <v>1555650</v>
      </c>
      <c r="L128" s="50">
        <f>VLOOKUP($A128,'Data shares'!$C:$FB,61)*100</f>
        <v>-46.27</v>
      </c>
      <c r="M128" s="49">
        <f>VLOOKUP($A128,'Data shares'!$C:$FB,62)</f>
        <v>230400</v>
      </c>
      <c r="N128" s="49">
        <f>VLOOKUP($A128,'Data shares'!$C:$FB,63)</f>
        <v>278325</v>
      </c>
      <c r="O128" s="140">
        <f>VLOOKUP($A128,'Data shares'!$C:$FB,65)*100</f>
        <v>-17.22</v>
      </c>
    </row>
    <row r="129" spans="1:15" x14ac:dyDescent="0.25">
      <c r="A129" s="101" t="str">
        <f>'Data Vlaue (Cr)'!C124</f>
        <v>MARICO</v>
      </c>
      <c r="B129" s="50">
        <f>VLOOKUP($A129,'Data shares'!$C:$FB,7)</f>
        <v>757.15</v>
      </c>
      <c r="C129" s="50">
        <f>VLOOKUP($A129,'Data shares'!$C:$FB,10)*100</f>
        <v>-0.57999999999999996</v>
      </c>
      <c r="D129" s="49">
        <f>VLOOKUP($A129,'Data shares'!$C:$FB,66)</f>
        <v>44691600</v>
      </c>
      <c r="E129" s="49">
        <f>VLOOKUP($A129,'Data shares'!$C:$FB,67)</f>
        <v>14521200</v>
      </c>
      <c r="F129" s="50">
        <f>VLOOKUP($A129,'Data shares'!$C:$FB,69)*100</f>
        <v>207.77</v>
      </c>
      <c r="G129" s="49">
        <f>VLOOKUP($A129,'Data shares'!$C:$FB,42)</f>
        <v>9853200</v>
      </c>
      <c r="H129" s="49">
        <f>VLOOKUP($A129,'Data shares'!$C:$FB,43)</f>
        <v>3375600</v>
      </c>
      <c r="I129" s="50">
        <f>VLOOKUP($A129,'Data shares'!$C:$FB,45)*100</f>
        <v>191.89000000000001</v>
      </c>
      <c r="J129" s="49">
        <f>VLOOKUP($A129,'Data shares'!$C:$FB,58)</f>
        <v>17497200</v>
      </c>
      <c r="K129" s="49">
        <f>VLOOKUP($A129,'Data shares'!$C:$FB,59)</f>
        <v>5286000</v>
      </c>
      <c r="L129" s="50">
        <f>VLOOKUP($A129,'Data shares'!$C:$FB,61)*100</f>
        <v>231.01</v>
      </c>
      <c r="M129" s="49">
        <f>VLOOKUP($A129,'Data shares'!$C:$FB,62)</f>
        <v>17341200</v>
      </c>
      <c r="N129" s="49">
        <f>VLOOKUP($A129,'Data shares'!$C:$FB,63)</f>
        <v>5859600</v>
      </c>
      <c r="O129" s="140">
        <f>VLOOKUP($A129,'Data shares'!$C:$FB,65)*100</f>
        <v>195.95</v>
      </c>
    </row>
    <row r="130" spans="1:15" x14ac:dyDescent="0.25">
      <c r="A130" s="101" t="str">
        <f>'Data Vlaue (Cr)'!C125</f>
        <v>MARUTI</v>
      </c>
      <c r="B130" s="50">
        <f>VLOOKUP($A130,'Data shares'!$C:$FB,7)</f>
        <v>13011</v>
      </c>
      <c r="C130" s="50">
        <f>VLOOKUP($A130,'Data shares'!$C:$FB,10)*100</f>
        <v>-3.5999999999999996</v>
      </c>
      <c r="D130" s="49">
        <f>VLOOKUP($A130,'Data shares'!$C:$FB,66)</f>
        <v>7348000</v>
      </c>
      <c r="E130" s="49">
        <f>VLOOKUP($A130,'Data shares'!$C:$FB,67)</f>
        <v>5411850</v>
      </c>
      <c r="F130" s="50">
        <f>VLOOKUP($A130,'Data shares'!$C:$FB,69)*100</f>
        <v>35.78</v>
      </c>
      <c r="G130" s="49">
        <f>VLOOKUP($A130,'Data shares'!$C:$FB,42)</f>
        <v>731850</v>
      </c>
      <c r="H130" s="49">
        <f>VLOOKUP($A130,'Data shares'!$C:$FB,43)</f>
        <v>501300</v>
      </c>
      <c r="I130" s="50">
        <f>VLOOKUP($A130,'Data shares'!$C:$FB,45)*100</f>
        <v>45.989999999999995</v>
      </c>
      <c r="J130" s="49">
        <f>VLOOKUP($A130,'Data shares'!$C:$FB,58)</f>
        <v>3868900</v>
      </c>
      <c r="K130" s="49">
        <f>VLOOKUP($A130,'Data shares'!$C:$FB,59)</f>
        <v>2737700</v>
      </c>
      <c r="L130" s="50">
        <f>VLOOKUP($A130,'Data shares'!$C:$FB,61)*100</f>
        <v>41.32</v>
      </c>
      <c r="M130" s="49">
        <f>VLOOKUP($A130,'Data shares'!$C:$FB,62)</f>
        <v>2747250</v>
      </c>
      <c r="N130" s="49">
        <f>VLOOKUP($A130,'Data shares'!$C:$FB,63)</f>
        <v>2172850</v>
      </c>
      <c r="O130" s="140">
        <f>VLOOKUP($A130,'Data shares'!$C:$FB,65)*100</f>
        <v>26.44</v>
      </c>
    </row>
    <row r="131" spans="1:15" x14ac:dyDescent="0.25">
      <c r="A131" s="101" t="str">
        <f>'Data Vlaue (Cr)'!C126</f>
        <v>MAXHEALTH</v>
      </c>
      <c r="B131" s="50">
        <f>VLOOKUP($A131,'Data shares'!$C:$FB,7)</f>
        <v>1020.4</v>
      </c>
      <c r="C131" s="50">
        <f>VLOOKUP($A131,'Data shares'!$C:$FB,10)*100</f>
        <v>-1.1400000000000001</v>
      </c>
      <c r="D131" s="49">
        <f>VLOOKUP($A131,'Data shares'!$C:$FB,66)</f>
        <v>6460125</v>
      </c>
      <c r="E131" s="49">
        <f>VLOOKUP($A131,'Data shares'!$C:$FB,67)</f>
        <v>6564600</v>
      </c>
      <c r="F131" s="50">
        <f>VLOOKUP($A131,'Data shares'!$C:$FB,69)*100</f>
        <v>-1.59</v>
      </c>
      <c r="G131" s="49">
        <f>VLOOKUP($A131,'Data shares'!$C:$FB,42)</f>
        <v>1611225</v>
      </c>
      <c r="H131" s="49">
        <f>VLOOKUP($A131,'Data shares'!$C:$FB,43)</f>
        <v>1349250</v>
      </c>
      <c r="I131" s="50">
        <f>VLOOKUP($A131,'Data shares'!$C:$FB,45)*100</f>
        <v>19.420000000000002</v>
      </c>
      <c r="J131" s="49">
        <f>VLOOKUP($A131,'Data shares'!$C:$FB,58)</f>
        <v>2799825</v>
      </c>
      <c r="K131" s="49">
        <f>VLOOKUP($A131,'Data shares'!$C:$FB,59)</f>
        <v>2859675</v>
      </c>
      <c r="L131" s="50">
        <f>VLOOKUP($A131,'Data shares'!$C:$FB,61)*100</f>
        <v>-2.09</v>
      </c>
      <c r="M131" s="49">
        <f>VLOOKUP($A131,'Data shares'!$C:$FB,62)</f>
        <v>2049075</v>
      </c>
      <c r="N131" s="49">
        <f>VLOOKUP($A131,'Data shares'!$C:$FB,63)</f>
        <v>2355675</v>
      </c>
      <c r="O131" s="140">
        <f>VLOOKUP($A131,'Data shares'!$C:$FB,65)*100</f>
        <v>-13.020000000000001</v>
      </c>
    </row>
    <row r="132" spans="1:15" x14ac:dyDescent="0.25">
      <c r="A132" s="101" t="str">
        <f>'Data Vlaue (Cr)'!C127</f>
        <v>MAZDOCK</v>
      </c>
      <c r="B132" s="50">
        <f>VLOOKUP($A132,'Data shares'!$C:$FB,7)</f>
        <v>2443.3000000000002</v>
      </c>
      <c r="C132" s="50">
        <f>VLOOKUP($A132,'Data shares'!$C:$FB,10)*100</f>
        <v>0.3</v>
      </c>
      <c r="D132" s="49">
        <f>VLOOKUP($A132,'Data shares'!$C:$FB,66)</f>
        <v>12380800</v>
      </c>
      <c r="E132" s="49">
        <f>VLOOKUP($A132,'Data shares'!$C:$FB,67)</f>
        <v>14599200</v>
      </c>
      <c r="F132" s="50">
        <f>VLOOKUP($A132,'Data shares'!$C:$FB,69)*100</f>
        <v>-15.2</v>
      </c>
      <c r="G132" s="49">
        <f>VLOOKUP($A132,'Data shares'!$C:$FB,42)</f>
        <v>2473800</v>
      </c>
      <c r="H132" s="49">
        <f>VLOOKUP($A132,'Data shares'!$C:$FB,43)</f>
        <v>1562000</v>
      </c>
      <c r="I132" s="50">
        <f>VLOOKUP($A132,'Data shares'!$C:$FB,45)*100</f>
        <v>58.37</v>
      </c>
      <c r="J132" s="49">
        <f>VLOOKUP($A132,'Data shares'!$C:$FB,58)</f>
        <v>6926800</v>
      </c>
      <c r="K132" s="49">
        <f>VLOOKUP($A132,'Data shares'!$C:$FB,59)</f>
        <v>9561000</v>
      </c>
      <c r="L132" s="50">
        <f>VLOOKUP($A132,'Data shares'!$C:$FB,61)*100</f>
        <v>-27.55</v>
      </c>
      <c r="M132" s="49">
        <f>VLOOKUP($A132,'Data shares'!$C:$FB,62)</f>
        <v>2980200</v>
      </c>
      <c r="N132" s="49">
        <f>VLOOKUP($A132,'Data shares'!$C:$FB,63)</f>
        <v>3476200</v>
      </c>
      <c r="O132" s="140">
        <f>VLOOKUP($A132,'Data shares'!$C:$FB,65)*100</f>
        <v>-14.27</v>
      </c>
    </row>
    <row r="133" spans="1:15" x14ac:dyDescent="0.25">
      <c r="A133" s="101" t="str">
        <f>'Data Vlaue (Cr)'!C128</f>
        <v>MCX</v>
      </c>
      <c r="B133" s="50">
        <f>VLOOKUP($A133,'Data shares'!$C:$FB,7)</f>
        <v>2526.1</v>
      </c>
      <c r="C133" s="50">
        <f>VLOOKUP($A133,'Data shares'!$C:$FB,10)*100</f>
        <v>-0.22</v>
      </c>
      <c r="D133" s="49">
        <f>VLOOKUP($A133,'Data shares'!$C:$FB,66)</f>
        <v>16658125</v>
      </c>
      <c r="E133" s="49">
        <f>VLOOKUP($A133,'Data shares'!$C:$FB,67)</f>
        <v>17020625</v>
      </c>
      <c r="F133" s="50">
        <f>VLOOKUP($A133,'Data shares'!$C:$FB,69)*100</f>
        <v>-2.13</v>
      </c>
      <c r="G133" s="49">
        <f>VLOOKUP($A133,'Data shares'!$C:$FB,42)</f>
        <v>3386875</v>
      </c>
      <c r="H133" s="49">
        <f>VLOOKUP($A133,'Data shares'!$C:$FB,43)</f>
        <v>3406250</v>
      </c>
      <c r="I133" s="50">
        <f>VLOOKUP($A133,'Data shares'!$C:$FB,45)*100</f>
        <v>-0.57000000000000006</v>
      </c>
      <c r="J133" s="49">
        <f>VLOOKUP($A133,'Data shares'!$C:$FB,58)</f>
        <v>8107500</v>
      </c>
      <c r="K133" s="49">
        <f>VLOOKUP($A133,'Data shares'!$C:$FB,59)</f>
        <v>8156875</v>
      </c>
      <c r="L133" s="50">
        <f>VLOOKUP($A133,'Data shares'!$C:$FB,61)*100</f>
        <v>-0.61</v>
      </c>
      <c r="M133" s="49">
        <f>VLOOKUP($A133,'Data shares'!$C:$FB,62)</f>
        <v>5163750</v>
      </c>
      <c r="N133" s="49">
        <f>VLOOKUP($A133,'Data shares'!$C:$FB,63)</f>
        <v>5457500</v>
      </c>
      <c r="O133" s="140">
        <f>VLOOKUP($A133,'Data shares'!$C:$FB,65)*100</f>
        <v>-5.38</v>
      </c>
    </row>
    <row r="134" spans="1:15" x14ac:dyDescent="0.25">
      <c r="A134" s="101" t="str">
        <f>'Data Vlaue (Cr)'!C129</f>
        <v>MFSL</v>
      </c>
      <c r="B134" s="50">
        <f>VLOOKUP($A134,'Data shares'!$C:$FB,7)</f>
        <v>1696.2</v>
      </c>
      <c r="C134" s="50">
        <f>VLOOKUP($A134,'Data shares'!$C:$FB,10)*100</f>
        <v>-1.7000000000000002</v>
      </c>
      <c r="D134" s="49">
        <f>VLOOKUP($A134,'Data shares'!$C:$FB,66)</f>
        <v>2114800</v>
      </c>
      <c r="E134" s="49">
        <f>VLOOKUP($A134,'Data shares'!$C:$FB,67)</f>
        <v>2383600</v>
      </c>
      <c r="F134" s="50">
        <f>VLOOKUP($A134,'Data shares'!$C:$FB,69)*100</f>
        <v>-11.28</v>
      </c>
      <c r="G134" s="49">
        <f>VLOOKUP($A134,'Data shares'!$C:$FB,42)</f>
        <v>828400</v>
      </c>
      <c r="H134" s="49">
        <f>VLOOKUP($A134,'Data shares'!$C:$FB,43)</f>
        <v>1282400</v>
      </c>
      <c r="I134" s="50">
        <f>VLOOKUP($A134,'Data shares'!$C:$FB,45)*100</f>
        <v>-35.4</v>
      </c>
      <c r="J134" s="49">
        <f>VLOOKUP($A134,'Data shares'!$C:$FB,58)</f>
        <v>751200</v>
      </c>
      <c r="K134" s="49">
        <f>VLOOKUP($A134,'Data shares'!$C:$FB,59)</f>
        <v>725200</v>
      </c>
      <c r="L134" s="50">
        <f>VLOOKUP($A134,'Data shares'!$C:$FB,61)*100</f>
        <v>3.5900000000000003</v>
      </c>
      <c r="M134" s="49">
        <f>VLOOKUP($A134,'Data shares'!$C:$FB,62)</f>
        <v>535200</v>
      </c>
      <c r="N134" s="49">
        <f>VLOOKUP($A134,'Data shares'!$C:$FB,63)</f>
        <v>376000</v>
      </c>
      <c r="O134" s="140">
        <f>VLOOKUP($A134,'Data shares'!$C:$FB,65)*100</f>
        <v>42.34</v>
      </c>
    </row>
    <row r="135" spans="1:15" x14ac:dyDescent="0.25">
      <c r="A135" s="101" t="str">
        <f>'Data Vlaue (Cr)'!C130</f>
        <v>MIDCPNIFTY</v>
      </c>
      <c r="B135" s="50">
        <f>VLOOKUP($A135,'Data shares'!$C:$FB,7)</f>
        <v>12961.15</v>
      </c>
      <c r="C135" s="50">
        <f>VLOOKUP($A135,'Data shares'!$C:$FB,10)*100</f>
        <v>-0.01</v>
      </c>
      <c r="D135" s="49">
        <f>VLOOKUP($A135,'Data shares'!$C:$FB,66)</f>
        <v>25557120</v>
      </c>
      <c r="E135" s="49">
        <f>VLOOKUP($A135,'Data shares'!$C:$FB,67)</f>
        <v>25501560</v>
      </c>
      <c r="F135" s="50">
        <f>VLOOKUP($A135,'Data shares'!$C:$FB,69)*100</f>
        <v>0.22</v>
      </c>
      <c r="G135" s="49">
        <f>VLOOKUP($A135,'Data shares'!$C:$FB,42)</f>
        <v>1131720</v>
      </c>
      <c r="H135" s="49">
        <f>VLOOKUP($A135,'Data shares'!$C:$FB,43)</f>
        <v>760080</v>
      </c>
      <c r="I135" s="50">
        <f>VLOOKUP($A135,'Data shares'!$C:$FB,45)*100</f>
        <v>48.89</v>
      </c>
      <c r="J135" s="49">
        <f>VLOOKUP($A135,'Data shares'!$C:$FB,58)</f>
        <v>11904600</v>
      </c>
      <c r="K135" s="49">
        <f>VLOOKUP($A135,'Data shares'!$C:$FB,59)</f>
        <v>12104520</v>
      </c>
      <c r="L135" s="50">
        <f>VLOOKUP($A135,'Data shares'!$C:$FB,61)*100</f>
        <v>-1.6500000000000001</v>
      </c>
      <c r="M135" s="49">
        <f>VLOOKUP($A135,'Data shares'!$C:$FB,62)</f>
        <v>12520800</v>
      </c>
      <c r="N135" s="49">
        <f>VLOOKUP($A135,'Data shares'!$C:$FB,63)</f>
        <v>12636960</v>
      </c>
      <c r="O135" s="140">
        <f>VLOOKUP($A135,'Data shares'!$C:$FB,65)*100</f>
        <v>-0.91999999999999993</v>
      </c>
    </row>
    <row r="136" spans="1:15" x14ac:dyDescent="0.25">
      <c r="A136" s="101" t="str">
        <f>'Data Vlaue (Cr)'!C131</f>
        <v>MOTHERSON</v>
      </c>
      <c r="B136" s="50">
        <f>VLOOKUP($A136,'Data shares'!$C:$FB,7)</f>
        <v>120.17</v>
      </c>
      <c r="C136" s="50">
        <f>VLOOKUP($A136,'Data shares'!$C:$FB,10)*100</f>
        <v>-1.01</v>
      </c>
      <c r="D136" s="49">
        <f>VLOOKUP($A136,'Data shares'!$C:$FB,66)</f>
        <v>101290500</v>
      </c>
      <c r="E136" s="49">
        <f>VLOOKUP($A136,'Data shares'!$C:$FB,67)</f>
        <v>84802350</v>
      </c>
      <c r="F136" s="50">
        <f>VLOOKUP($A136,'Data shares'!$C:$FB,69)*100</f>
        <v>19.439999999999998</v>
      </c>
      <c r="G136" s="49">
        <f>VLOOKUP($A136,'Data shares'!$C:$FB,42)</f>
        <v>40054950</v>
      </c>
      <c r="H136" s="49">
        <f>VLOOKUP($A136,'Data shares'!$C:$FB,43)</f>
        <v>31125150</v>
      </c>
      <c r="I136" s="50">
        <f>VLOOKUP($A136,'Data shares'!$C:$FB,45)*100</f>
        <v>28.689999999999998</v>
      </c>
      <c r="J136" s="49">
        <f>VLOOKUP($A136,'Data shares'!$C:$FB,58)</f>
        <v>36647850</v>
      </c>
      <c r="K136" s="49">
        <f>VLOOKUP($A136,'Data shares'!$C:$FB,59)</f>
        <v>35024250</v>
      </c>
      <c r="L136" s="50">
        <f>VLOOKUP($A136,'Data shares'!$C:$FB,61)*100</f>
        <v>4.6399999999999997</v>
      </c>
      <c r="M136" s="49">
        <f>VLOOKUP($A136,'Data shares'!$C:$FB,62)</f>
        <v>24587700</v>
      </c>
      <c r="N136" s="49">
        <f>VLOOKUP($A136,'Data shares'!$C:$FB,63)</f>
        <v>18652950</v>
      </c>
      <c r="O136" s="140">
        <f>VLOOKUP($A136,'Data shares'!$C:$FB,65)*100</f>
        <v>31.819999999999997</v>
      </c>
    </row>
    <row r="137" spans="1:15" x14ac:dyDescent="0.25">
      <c r="A137" s="101" t="str">
        <f>'Data Vlaue (Cr)'!C132</f>
        <v>MPHASIS</v>
      </c>
      <c r="B137" s="50">
        <f>VLOOKUP($A137,'Data shares'!$C:$FB,7)</f>
        <v>2185.1999999999998</v>
      </c>
      <c r="C137" s="50">
        <f>VLOOKUP($A137,'Data shares'!$C:$FB,10)*100</f>
        <v>0.01</v>
      </c>
      <c r="D137" s="49">
        <f>VLOOKUP($A137,'Data shares'!$C:$FB,66)</f>
        <v>2484350</v>
      </c>
      <c r="E137" s="49">
        <f>VLOOKUP($A137,'Data shares'!$C:$FB,67)</f>
        <v>1574100</v>
      </c>
      <c r="F137" s="50">
        <f>VLOOKUP($A137,'Data shares'!$C:$FB,69)*100</f>
        <v>57.830000000000005</v>
      </c>
      <c r="G137" s="49">
        <f>VLOOKUP($A137,'Data shares'!$C:$FB,42)</f>
        <v>561000</v>
      </c>
      <c r="H137" s="49">
        <f>VLOOKUP($A137,'Data shares'!$C:$FB,43)</f>
        <v>578875</v>
      </c>
      <c r="I137" s="50">
        <f>VLOOKUP($A137,'Data shares'!$C:$FB,45)*100</f>
        <v>-3.09</v>
      </c>
      <c r="J137" s="49">
        <f>VLOOKUP($A137,'Data shares'!$C:$FB,58)</f>
        <v>1240800</v>
      </c>
      <c r="K137" s="49">
        <f>VLOOKUP($A137,'Data shares'!$C:$FB,59)</f>
        <v>509025</v>
      </c>
      <c r="L137" s="50">
        <f>VLOOKUP($A137,'Data shares'!$C:$FB,61)*100</f>
        <v>143.76</v>
      </c>
      <c r="M137" s="49">
        <f>VLOOKUP($A137,'Data shares'!$C:$FB,62)</f>
        <v>682550</v>
      </c>
      <c r="N137" s="49">
        <f>VLOOKUP($A137,'Data shares'!$C:$FB,63)</f>
        <v>486200</v>
      </c>
      <c r="O137" s="140">
        <f>VLOOKUP($A137,'Data shares'!$C:$FB,65)*100</f>
        <v>40.380000000000003</v>
      </c>
    </row>
    <row r="138" spans="1:15" x14ac:dyDescent="0.25">
      <c r="A138" s="101" t="str">
        <f>'Data Vlaue (Cr)'!C133</f>
        <v>MUTHOOTFIN</v>
      </c>
      <c r="B138" s="50">
        <f>VLOOKUP($A138,'Data shares'!$C:$FB,7)</f>
        <v>3244</v>
      </c>
      <c r="C138" s="50">
        <f>VLOOKUP($A138,'Data shares'!$C:$FB,10)*100</f>
        <v>2.5299999999999998</v>
      </c>
      <c r="D138" s="49">
        <f>VLOOKUP($A138,'Data shares'!$C:$FB,66)</f>
        <v>6390450</v>
      </c>
      <c r="E138" s="49">
        <f>VLOOKUP($A138,'Data shares'!$C:$FB,67)</f>
        <v>6197675</v>
      </c>
      <c r="F138" s="50">
        <f>VLOOKUP($A138,'Data shares'!$C:$FB,69)*100</f>
        <v>3.11</v>
      </c>
      <c r="G138" s="49">
        <f>VLOOKUP($A138,'Data shares'!$C:$FB,42)</f>
        <v>1101100</v>
      </c>
      <c r="H138" s="49">
        <f>VLOOKUP($A138,'Data shares'!$C:$FB,43)</f>
        <v>1314775</v>
      </c>
      <c r="I138" s="50">
        <f>VLOOKUP($A138,'Data shares'!$C:$FB,45)*100</f>
        <v>-16.25</v>
      </c>
      <c r="J138" s="49">
        <f>VLOOKUP($A138,'Data shares'!$C:$FB,58)</f>
        <v>3741925</v>
      </c>
      <c r="K138" s="49">
        <f>VLOOKUP($A138,'Data shares'!$C:$FB,59)</f>
        <v>3139125</v>
      </c>
      <c r="L138" s="50">
        <f>VLOOKUP($A138,'Data shares'!$C:$FB,61)*100</f>
        <v>19.2</v>
      </c>
      <c r="M138" s="49">
        <f>VLOOKUP($A138,'Data shares'!$C:$FB,62)</f>
        <v>1547425</v>
      </c>
      <c r="N138" s="49">
        <f>VLOOKUP($A138,'Data shares'!$C:$FB,63)</f>
        <v>1743775</v>
      </c>
      <c r="O138" s="140">
        <f>VLOOKUP($A138,'Data shares'!$C:$FB,65)*100</f>
        <v>-11.26</v>
      </c>
    </row>
    <row r="139" spans="1:15" x14ac:dyDescent="0.25">
      <c r="A139" s="101" t="str">
        <f>'Data Vlaue (Cr)'!C134</f>
        <v>NATIONALUM</v>
      </c>
      <c r="B139" s="50">
        <f>VLOOKUP($A139,'Data shares'!$C:$FB,7)</f>
        <v>409.15</v>
      </c>
      <c r="C139" s="50">
        <f>VLOOKUP($A139,'Data shares'!$C:$FB,10)*100</f>
        <v>2.87</v>
      </c>
      <c r="D139" s="49">
        <f>VLOOKUP($A139,'Data shares'!$C:$FB,66)</f>
        <v>168558750</v>
      </c>
      <c r="E139" s="49">
        <f>VLOOKUP($A139,'Data shares'!$C:$FB,67)</f>
        <v>158400000</v>
      </c>
      <c r="F139" s="50">
        <f>VLOOKUP($A139,'Data shares'!$C:$FB,69)*100</f>
        <v>6.41</v>
      </c>
      <c r="G139" s="49">
        <f>VLOOKUP($A139,'Data shares'!$C:$FB,42)</f>
        <v>34436250</v>
      </c>
      <c r="H139" s="49">
        <f>VLOOKUP($A139,'Data shares'!$C:$FB,43)</f>
        <v>27258750</v>
      </c>
      <c r="I139" s="50">
        <f>VLOOKUP($A139,'Data shares'!$C:$FB,45)*100</f>
        <v>26.33</v>
      </c>
      <c r="J139" s="49">
        <f>VLOOKUP($A139,'Data shares'!$C:$FB,58)</f>
        <v>91440000</v>
      </c>
      <c r="K139" s="49">
        <f>VLOOKUP($A139,'Data shares'!$C:$FB,59)</f>
        <v>91323750</v>
      </c>
      <c r="L139" s="50">
        <f>VLOOKUP($A139,'Data shares'!$C:$FB,61)*100</f>
        <v>0.13</v>
      </c>
      <c r="M139" s="49">
        <f>VLOOKUP($A139,'Data shares'!$C:$FB,62)</f>
        <v>42682500</v>
      </c>
      <c r="N139" s="49">
        <f>VLOOKUP($A139,'Data shares'!$C:$FB,63)</f>
        <v>39817500</v>
      </c>
      <c r="O139" s="140">
        <f>VLOOKUP($A139,'Data shares'!$C:$FB,65)*100</f>
        <v>7.1999999999999993</v>
      </c>
    </row>
    <row r="140" spans="1:15" x14ac:dyDescent="0.25">
      <c r="A140" s="101" t="str">
        <f>'Data Vlaue (Cr)'!C135</f>
        <v>NAUKRI</v>
      </c>
      <c r="B140" s="50">
        <f>VLOOKUP($A140,'Data shares'!$C:$FB,7)</f>
        <v>955.4</v>
      </c>
      <c r="C140" s="50">
        <f>VLOOKUP($A140,'Data shares'!$C:$FB,10)*100</f>
        <v>-0.12</v>
      </c>
      <c r="D140" s="49">
        <f>VLOOKUP($A140,'Data shares'!$C:$FB,66)</f>
        <v>5082750</v>
      </c>
      <c r="E140" s="49">
        <f>VLOOKUP($A140,'Data shares'!$C:$FB,67)</f>
        <v>4880625</v>
      </c>
      <c r="F140" s="50">
        <f>VLOOKUP($A140,'Data shares'!$C:$FB,69)*100</f>
        <v>4.1399999999999997</v>
      </c>
      <c r="G140" s="49">
        <f>VLOOKUP($A140,'Data shares'!$C:$FB,42)</f>
        <v>1077750</v>
      </c>
      <c r="H140" s="49">
        <f>VLOOKUP($A140,'Data shares'!$C:$FB,43)</f>
        <v>961875</v>
      </c>
      <c r="I140" s="50">
        <f>VLOOKUP($A140,'Data shares'!$C:$FB,45)*100</f>
        <v>12.049999999999999</v>
      </c>
      <c r="J140" s="49">
        <f>VLOOKUP($A140,'Data shares'!$C:$FB,58)</f>
        <v>2933625</v>
      </c>
      <c r="K140" s="49">
        <f>VLOOKUP($A140,'Data shares'!$C:$FB,59)</f>
        <v>2502375</v>
      </c>
      <c r="L140" s="50">
        <f>VLOOKUP($A140,'Data shares'!$C:$FB,61)*100</f>
        <v>17.23</v>
      </c>
      <c r="M140" s="49">
        <f>VLOOKUP($A140,'Data shares'!$C:$FB,62)</f>
        <v>1071375</v>
      </c>
      <c r="N140" s="49">
        <f>VLOOKUP($A140,'Data shares'!$C:$FB,63)</f>
        <v>1416375</v>
      </c>
      <c r="O140" s="140">
        <f>VLOOKUP($A140,'Data shares'!$C:$FB,65)*100</f>
        <v>-24.36</v>
      </c>
    </row>
    <row r="141" spans="1:15" x14ac:dyDescent="0.25">
      <c r="A141" s="101" t="str">
        <f>'Data Vlaue (Cr)'!C136</f>
        <v>NBCC</v>
      </c>
      <c r="B141" s="50">
        <f>VLOOKUP($A141,'Data shares'!$C:$FB,7)</f>
        <v>86.58</v>
      </c>
      <c r="C141" s="50">
        <f>VLOOKUP($A141,'Data shares'!$C:$FB,10)*100</f>
        <v>0.49</v>
      </c>
      <c r="D141" s="49">
        <f>VLOOKUP($A141,'Data shares'!$C:$FB,66)</f>
        <v>30420000</v>
      </c>
      <c r="E141" s="49">
        <f>VLOOKUP($A141,'Data shares'!$C:$FB,67)</f>
        <v>25109500</v>
      </c>
      <c r="F141" s="50">
        <f>VLOOKUP($A141,'Data shares'!$C:$FB,69)*100</f>
        <v>21.15</v>
      </c>
      <c r="G141" s="49">
        <f>VLOOKUP($A141,'Data shares'!$C:$FB,42)</f>
        <v>9750000</v>
      </c>
      <c r="H141" s="49">
        <f>VLOOKUP($A141,'Data shares'!$C:$FB,43)</f>
        <v>9522500</v>
      </c>
      <c r="I141" s="50">
        <f>VLOOKUP($A141,'Data shares'!$C:$FB,45)*100</f>
        <v>2.39</v>
      </c>
      <c r="J141" s="49">
        <f>VLOOKUP($A141,'Data shares'!$C:$FB,58)</f>
        <v>13604500</v>
      </c>
      <c r="K141" s="49">
        <f>VLOOKUP($A141,'Data shares'!$C:$FB,59)</f>
        <v>9802000</v>
      </c>
      <c r="L141" s="50">
        <f>VLOOKUP($A141,'Data shares'!$C:$FB,61)*100</f>
        <v>38.79</v>
      </c>
      <c r="M141" s="49">
        <f>VLOOKUP($A141,'Data shares'!$C:$FB,62)</f>
        <v>7065500</v>
      </c>
      <c r="N141" s="49">
        <f>VLOOKUP($A141,'Data shares'!$C:$FB,63)</f>
        <v>5785000</v>
      </c>
      <c r="O141" s="140">
        <f>VLOOKUP($A141,'Data shares'!$C:$FB,65)*100</f>
        <v>22.13</v>
      </c>
    </row>
    <row r="142" spans="1:15" x14ac:dyDescent="0.25">
      <c r="A142" s="101" t="str">
        <f>'Data Vlaue (Cr)'!C137</f>
        <v>NESTLEIND</v>
      </c>
      <c r="B142" s="50">
        <f>VLOOKUP($A142,'Data shares'!$C:$FB,7)</f>
        <v>1220.8</v>
      </c>
      <c r="C142" s="50">
        <f>VLOOKUP($A142,'Data shares'!$C:$FB,10)*100</f>
        <v>-1.05</v>
      </c>
      <c r="D142" s="49">
        <f>VLOOKUP($A142,'Data shares'!$C:$FB,66)</f>
        <v>4508000</v>
      </c>
      <c r="E142" s="49">
        <f>VLOOKUP($A142,'Data shares'!$C:$FB,67)</f>
        <v>4098500</v>
      </c>
      <c r="F142" s="50">
        <f>VLOOKUP($A142,'Data shares'!$C:$FB,69)*100</f>
        <v>9.99</v>
      </c>
      <c r="G142" s="49">
        <f>VLOOKUP($A142,'Data shares'!$C:$FB,42)</f>
        <v>1525500</v>
      </c>
      <c r="H142" s="49">
        <f>VLOOKUP($A142,'Data shares'!$C:$FB,43)</f>
        <v>1349500</v>
      </c>
      <c r="I142" s="50">
        <f>VLOOKUP($A142,'Data shares'!$C:$FB,45)*100</f>
        <v>13.04</v>
      </c>
      <c r="J142" s="49">
        <f>VLOOKUP($A142,'Data shares'!$C:$FB,58)</f>
        <v>1670000</v>
      </c>
      <c r="K142" s="49">
        <f>VLOOKUP($A142,'Data shares'!$C:$FB,59)</f>
        <v>1649000</v>
      </c>
      <c r="L142" s="50">
        <f>VLOOKUP($A142,'Data shares'!$C:$FB,61)*100</f>
        <v>1.27</v>
      </c>
      <c r="M142" s="49">
        <f>VLOOKUP($A142,'Data shares'!$C:$FB,62)</f>
        <v>1312500</v>
      </c>
      <c r="N142" s="49">
        <f>VLOOKUP($A142,'Data shares'!$C:$FB,63)</f>
        <v>1100000</v>
      </c>
      <c r="O142" s="140">
        <f>VLOOKUP($A142,'Data shares'!$C:$FB,65)*100</f>
        <v>19.32</v>
      </c>
    </row>
    <row r="143" spans="1:15" x14ac:dyDescent="0.25">
      <c r="A143" s="101" t="str">
        <f>'Data Vlaue (Cr)'!C138</f>
        <v>NHPC</v>
      </c>
      <c r="B143" s="50">
        <f>VLOOKUP($A143,'Data shares'!$C:$FB,7)</f>
        <v>74.78</v>
      </c>
      <c r="C143" s="50">
        <f>VLOOKUP($A143,'Data shares'!$C:$FB,10)*100</f>
        <v>1.7999999999999998</v>
      </c>
      <c r="D143" s="49">
        <f>VLOOKUP($A143,'Data shares'!$C:$FB,66)</f>
        <v>111955200</v>
      </c>
      <c r="E143" s="49">
        <f>VLOOKUP($A143,'Data shares'!$C:$FB,67)</f>
        <v>73414400</v>
      </c>
      <c r="F143" s="50">
        <f>VLOOKUP($A143,'Data shares'!$C:$FB,69)*100</f>
        <v>52.5</v>
      </c>
      <c r="G143" s="49">
        <f>VLOOKUP($A143,'Data shares'!$C:$FB,42)</f>
        <v>20806400</v>
      </c>
      <c r="H143" s="49">
        <f>VLOOKUP($A143,'Data shares'!$C:$FB,43)</f>
        <v>15052800</v>
      </c>
      <c r="I143" s="50">
        <f>VLOOKUP($A143,'Data shares'!$C:$FB,45)*100</f>
        <v>38.22</v>
      </c>
      <c r="J143" s="49">
        <f>VLOOKUP($A143,'Data shares'!$C:$FB,58)</f>
        <v>69536000</v>
      </c>
      <c r="K143" s="49">
        <f>VLOOKUP($A143,'Data shares'!$C:$FB,59)</f>
        <v>42892800</v>
      </c>
      <c r="L143" s="50">
        <f>VLOOKUP($A143,'Data shares'!$C:$FB,61)*100</f>
        <v>62.12</v>
      </c>
      <c r="M143" s="49">
        <f>VLOOKUP($A143,'Data shares'!$C:$FB,62)</f>
        <v>21612800</v>
      </c>
      <c r="N143" s="49">
        <f>VLOOKUP($A143,'Data shares'!$C:$FB,63)</f>
        <v>15468800</v>
      </c>
      <c r="O143" s="140">
        <f>VLOOKUP($A143,'Data shares'!$C:$FB,65)*100</f>
        <v>39.72</v>
      </c>
    </row>
    <row r="144" spans="1:15" x14ac:dyDescent="0.25">
      <c r="A144" s="101" t="str">
        <f>'Data Vlaue (Cr)'!C139</f>
        <v>NIFTY</v>
      </c>
      <c r="B144" s="50">
        <f>VLOOKUP($A144,'Data shares'!$C:$FB,7)</f>
        <v>23639.15</v>
      </c>
      <c r="C144" s="50">
        <f>VLOOKUP($A144,'Data shares'!$C:$FB,10)*100</f>
        <v>-0.95</v>
      </c>
      <c r="D144" s="49">
        <f>VLOOKUP($A144,'Data shares'!$C:$FB,66)</f>
        <v>3201855020</v>
      </c>
      <c r="E144" s="49">
        <f>VLOOKUP($A144,'Data shares'!$C:$FB,67)</f>
        <v>3203394155</v>
      </c>
      <c r="F144" s="50">
        <f>VLOOKUP($A144,'Data shares'!$C:$FB,69)*100</f>
        <v>-0.05</v>
      </c>
      <c r="G144" s="49">
        <f>VLOOKUP($A144,'Data shares'!$C:$FB,42)</f>
        <v>10172370</v>
      </c>
      <c r="H144" s="49">
        <f>VLOOKUP($A144,'Data shares'!$C:$FB,43)</f>
        <v>9483890</v>
      </c>
      <c r="I144" s="50">
        <f>VLOOKUP($A144,'Data shares'!$C:$FB,45)*100</f>
        <v>7.26</v>
      </c>
      <c r="J144" s="49">
        <f>VLOOKUP($A144,'Data shares'!$C:$FB,58)</f>
        <v>1737300695</v>
      </c>
      <c r="K144" s="49">
        <f>VLOOKUP($A144,'Data shares'!$C:$FB,59)</f>
        <v>1501733415</v>
      </c>
      <c r="L144" s="50">
        <f>VLOOKUP($A144,'Data shares'!$C:$FB,61)*100</f>
        <v>15.690000000000001</v>
      </c>
      <c r="M144" s="49">
        <f>VLOOKUP($A144,'Data shares'!$C:$FB,62)</f>
        <v>1454381955</v>
      </c>
      <c r="N144" s="49">
        <f>VLOOKUP($A144,'Data shares'!$C:$FB,63)</f>
        <v>1692176850</v>
      </c>
      <c r="O144" s="140">
        <f>VLOOKUP($A144,'Data shares'!$C:$FB,65)*100</f>
        <v>-14.05</v>
      </c>
    </row>
    <row r="145" spans="1:15" x14ac:dyDescent="0.25">
      <c r="A145" s="101" t="str">
        <f>'Data Vlaue (Cr)'!C140</f>
        <v>NIFTYNXT50</v>
      </c>
      <c r="B145" s="50">
        <f>VLOOKUP($A145,'Data shares'!$C:$FB,7)</f>
        <v>66424.55</v>
      </c>
      <c r="C145" s="50">
        <f>VLOOKUP($A145,'Data shares'!$C:$FB,10)*100</f>
        <v>-0.11</v>
      </c>
      <c r="D145" s="49">
        <f>VLOOKUP($A145,'Data shares'!$C:$FB,66)</f>
        <v>13325</v>
      </c>
      <c r="E145" s="49">
        <f>VLOOKUP($A145,'Data shares'!$C:$FB,67)</f>
        <v>24625</v>
      </c>
      <c r="F145" s="50">
        <f>VLOOKUP($A145,'Data shares'!$C:$FB,69)*100</f>
        <v>-45.89</v>
      </c>
      <c r="G145" s="49">
        <f>VLOOKUP($A145,'Data shares'!$C:$FB,42)</f>
        <v>7875</v>
      </c>
      <c r="H145" s="49">
        <f>VLOOKUP($A145,'Data shares'!$C:$FB,43)</f>
        <v>7650</v>
      </c>
      <c r="I145" s="50">
        <f>VLOOKUP($A145,'Data shares'!$C:$FB,45)*100</f>
        <v>2.94</v>
      </c>
      <c r="J145" s="49">
        <f>VLOOKUP($A145,'Data shares'!$C:$FB,58)</f>
        <v>3525</v>
      </c>
      <c r="K145" s="49">
        <f>VLOOKUP($A145,'Data shares'!$C:$FB,59)</f>
        <v>10550</v>
      </c>
      <c r="L145" s="50">
        <f>VLOOKUP($A145,'Data shares'!$C:$FB,61)*100</f>
        <v>-66.59</v>
      </c>
      <c r="M145" s="49">
        <f>VLOOKUP($A145,'Data shares'!$C:$FB,62)</f>
        <v>1925</v>
      </c>
      <c r="N145" s="49">
        <f>VLOOKUP($A145,'Data shares'!$C:$FB,63)</f>
        <v>6425</v>
      </c>
      <c r="O145" s="140">
        <f>VLOOKUP($A145,'Data shares'!$C:$FB,65)*100</f>
        <v>-70.040000000000006</v>
      </c>
    </row>
    <row r="146" spans="1:15" x14ac:dyDescent="0.25">
      <c r="A146" s="101" t="str">
        <f>'Data Vlaue (Cr)'!C141</f>
        <v>NMDC</v>
      </c>
      <c r="B146" s="50">
        <f>VLOOKUP($A146,'Data shares'!$C:$FB,7)</f>
        <v>80.87</v>
      </c>
      <c r="C146" s="50">
        <f>VLOOKUP($A146,'Data shares'!$C:$FB,10)*100</f>
        <v>1.43</v>
      </c>
      <c r="D146" s="49">
        <f>VLOOKUP($A146,'Data shares'!$C:$FB,66)</f>
        <v>125590500</v>
      </c>
      <c r="E146" s="49">
        <f>VLOOKUP($A146,'Data shares'!$C:$FB,67)</f>
        <v>90949500</v>
      </c>
      <c r="F146" s="50">
        <f>VLOOKUP($A146,'Data shares'!$C:$FB,69)*100</f>
        <v>38.090000000000003</v>
      </c>
      <c r="G146" s="49">
        <f>VLOOKUP($A146,'Data shares'!$C:$FB,42)</f>
        <v>33257250</v>
      </c>
      <c r="H146" s="49">
        <f>VLOOKUP($A146,'Data shares'!$C:$FB,43)</f>
        <v>20614500</v>
      </c>
      <c r="I146" s="50">
        <f>VLOOKUP($A146,'Data shares'!$C:$FB,45)*100</f>
        <v>61.33</v>
      </c>
      <c r="J146" s="49">
        <f>VLOOKUP($A146,'Data shares'!$C:$FB,58)</f>
        <v>68472000</v>
      </c>
      <c r="K146" s="49">
        <f>VLOOKUP($A146,'Data shares'!$C:$FB,59)</f>
        <v>50625000</v>
      </c>
      <c r="L146" s="50">
        <f>VLOOKUP($A146,'Data shares'!$C:$FB,61)*100</f>
        <v>35.25</v>
      </c>
      <c r="M146" s="49">
        <f>VLOOKUP($A146,'Data shares'!$C:$FB,62)</f>
        <v>23861250</v>
      </c>
      <c r="N146" s="49">
        <f>VLOOKUP($A146,'Data shares'!$C:$FB,63)</f>
        <v>19710000</v>
      </c>
      <c r="O146" s="140">
        <f>VLOOKUP($A146,'Data shares'!$C:$FB,65)*100</f>
        <v>21.060000000000002</v>
      </c>
    </row>
    <row r="147" spans="1:15" x14ac:dyDescent="0.25">
      <c r="A147" s="101" t="str">
        <f>'Data Vlaue (Cr)'!C142</f>
        <v>NTPC</v>
      </c>
      <c r="B147" s="50">
        <f>VLOOKUP($A147,'Data shares'!$C:$FB,7)</f>
        <v>390.55</v>
      </c>
      <c r="C147" s="50">
        <f>VLOOKUP($A147,'Data shares'!$C:$FB,10)*100</f>
        <v>2.8000000000000003</v>
      </c>
      <c r="D147" s="49">
        <f>VLOOKUP($A147,'Data shares'!$C:$FB,66)</f>
        <v>344547000</v>
      </c>
      <c r="E147" s="49">
        <f>VLOOKUP($A147,'Data shares'!$C:$FB,67)</f>
        <v>105799500</v>
      </c>
      <c r="F147" s="50">
        <f>VLOOKUP($A147,'Data shares'!$C:$FB,69)*100</f>
        <v>225.66000000000003</v>
      </c>
      <c r="G147" s="49">
        <f>VLOOKUP($A147,'Data shares'!$C:$FB,42)</f>
        <v>28668000</v>
      </c>
      <c r="H147" s="49">
        <f>VLOOKUP($A147,'Data shares'!$C:$FB,43)</f>
        <v>12295500</v>
      </c>
      <c r="I147" s="50">
        <f>VLOOKUP($A147,'Data shares'!$C:$FB,45)*100</f>
        <v>133.16</v>
      </c>
      <c r="J147" s="49">
        <f>VLOOKUP($A147,'Data shares'!$C:$FB,58)</f>
        <v>255328500</v>
      </c>
      <c r="K147" s="49">
        <f>VLOOKUP($A147,'Data shares'!$C:$FB,59)</f>
        <v>68754000</v>
      </c>
      <c r="L147" s="50">
        <f>VLOOKUP($A147,'Data shares'!$C:$FB,61)*100</f>
        <v>271.37</v>
      </c>
      <c r="M147" s="49">
        <f>VLOOKUP($A147,'Data shares'!$C:$FB,62)</f>
        <v>60550500</v>
      </c>
      <c r="N147" s="49">
        <f>VLOOKUP($A147,'Data shares'!$C:$FB,63)</f>
        <v>24750000</v>
      </c>
      <c r="O147" s="140">
        <f>VLOOKUP($A147,'Data shares'!$C:$FB,65)*100</f>
        <v>144.64999999999998</v>
      </c>
    </row>
    <row r="148" spans="1:15" x14ac:dyDescent="0.25">
      <c r="A148" s="101" t="str">
        <f>'Data Vlaue (Cr)'!C143</f>
        <v>NUVAMA</v>
      </c>
      <c r="B148" s="50">
        <f>VLOOKUP($A148,'Data shares'!$C:$FB,7)</f>
        <v>1183.8</v>
      </c>
      <c r="C148" s="50">
        <f>VLOOKUP($A148,'Data shares'!$C:$FB,10)*100</f>
        <v>-2.37</v>
      </c>
      <c r="D148" s="49">
        <f>VLOOKUP($A148,'Data shares'!$C:$FB,66)</f>
        <v>1370000</v>
      </c>
      <c r="E148" s="49">
        <f>VLOOKUP($A148,'Data shares'!$C:$FB,67)</f>
        <v>1382500</v>
      </c>
      <c r="F148" s="50">
        <f>VLOOKUP($A148,'Data shares'!$C:$FB,69)*100</f>
        <v>-0.89999999999999991</v>
      </c>
      <c r="G148" s="49">
        <f>VLOOKUP($A148,'Data shares'!$C:$FB,42)</f>
        <v>594000</v>
      </c>
      <c r="H148" s="49">
        <f>VLOOKUP($A148,'Data shares'!$C:$FB,43)</f>
        <v>484500</v>
      </c>
      <c r="I148" s="50">
        <f>VLOOKUP($A148,'Data shares'!$C:$FB,45)*100</f>
        <v>22.6</v>
      </c>
      <c r="J148" s="49">
        <f>VLOOKUP($A148,'Data shares'!$C:$FB,58)</f>
        <v>600500</v>
      </c>
      <c r="K148" s="49">
        <f>VLOOKUP($A148,'Data shares'!$C:$FB,59)</f>
        <v>719000</v>
      </c>
      <c r="L148" s="50">
        <f>VLOOKUP($A148,'Data shares'!$C:$FB,61)*100</f>
        <v>-16.48</v>
      </c>
      <c r="M148" s="49">
        <f>VLOOKUP($A148,'Data shares'!$C:$FB,62)</f>
        <v>175500</v>
      </c>
      <c r="N148" s="49">
        <f>VLOOKUP($A148,'Data shares'!$C:$FB,63)</f>
        <v>179000</v>
      </c>
      <c r="O148" s="140">
        <f>VLOOKUP($A148,'Data shares'!$C:$FB,65)*100</f>
        <v>-1.96</v>
      </c>
    </row>
    <row r="149" spans="1:15" x14ac:dyDescent="0.25">
      <c r="A149" s="101" t="str">
        <f>'Data Vlaue (Cr)'!C144</f>
        <v>NYKAA</v>
      </c>
      <c r="B149" s="50">
        <f>VLOOKUP($A149,'Data shares'!$C:$FB,7)</f>
        <v>244.95</v>
      </c>
      <c r="C149" s="50">
        <f>VLOOKUP($A149,'Data shares'!$C:$FB,10)*100</f>
        <v>-2.68</v>
      </c>
      <c r="D149" s="49">
        <f>VLOOKUP($A149,'Data shares'!$C:$FB,66)</f>
        <v>11453125</v>
      </c>
      <c r="E149" s="49">
        <f>VLOOKUP($A149,'Data shares'!$C:$FB,67)</f>
        <v>11790625</v>
      </c>
      <c r="F149" s="50">
        <f>VLOOKUP($A149,'Data shares'!$C:$FB,69)*100</f>
        <v>-2.86</v>
      </c>
      <c r="G149" s="49">
        <f>VLOOKUP($A149,'Data shares'!$C:$FB,42)</f>
        <v>3856250</v>
      </c>
      <c r="H149" s="49">
        <f>VLOOKUP($A149,'Data shares'!$C:$FB,43)</f>
        <v>5503125</v>
      </c>
      <c r="I149" s="50">
        <f>VLOOKUP($A149,'Data shares'!$C:$FB,45)*100</f>
        <v>-29.93</v>
      </c>
      <c r="J149" s="49">
        <f>VLOOKUP($A149,'Data shares'!$C:$FB,58)</f>
        <v>5121875</v>
      </c>
      <c r="K149" s="49">
        <f>VLOOKUP($A149,'Data shares'!$C:$FB,59)</f>
        <v>4078125</v>
      </c>
      <c r="L149" s="50">
        <f>VLOOKUP($A149,'Data shares'!$C:$FB,61)*100</f>
        <v>25.590000000000003</v>
      </c>
      <c r="M149" s="49">
        <f>VLOOKUP($A149,'Data shares'!$C:$FB,62)</f>
        <v>2475000</v>
      </c>
      <c r="N149" s="49">
        <f>VLOOKUP($A149,'Data shares'!$C:$FB,63)</f>
        <v>2209375</v>
      </c>
      <c r="O149" s="140">
        <f>VLOOKUP($A149,'Data shares'!$C:$FB,65)*100</f>
        <v>12.02</v>
      </c>
    </row>
    <row r="150" spans="1:15" x14ac:dyDescent="0.25">
      <c r="A150" s="101" t="str">
        <f>'Data Vlaue (Cr)'!C145</f>
        <v>OBEROIRLTY</v>
      </c>
      <c r="B150" s="50">
        <f>VLOOKUP($A150,'Data shares'!$C:$FB,7)</f>
        <v>1470.3</v>
      </c>
      <c r="C150" s="50">
        <f>VLOOKUP($A150,'Data shares'!$C:$FB,10)*100</f>
        <v>-1.24</v>
      </c>
      <c r="D150" s="49">
        <f>VLOOKUP($A150,'Data shares'!$C:$FB,66)</f>
        <v>2295650</v>
      </c>
      <c r="E150" s="49">
        <f>VLOOKUP($A150,'Data shares'!$C:$FB,67)</f>
        <v>3090850</v>
      </c>
      <c r="F150" s="50">
        <f>VLOOKUP($A150,'Data shares'!$C:$FB,69)*100</f>
        <v>-25.729999999999997</v>
      </c>
      <c r="G150" s="49">
        <f>VLOOKUP($A150,'Data shares'!$C:$FB,42)</f>
        <v>1112650</v>
      </c>
      <c r="H150" s="49">
        <f>VLOOKUP($A150,'Data shares'!$C:$FB,43)</f>
        <v>1205050</v>
      </c>
      <c r="I150" s="50">
        <f>VLOOKUP($A150,'Data shares'!$C:$FB,45)*100</f>
        <v>-7.6700000000000008</v>
      </c>
      <c r="J150" s="49">
        <f>VLOOKUP($A150,'Data shares'!$C:$FB,58)</f>
        <v>715050</v>
      </c>
      <c r="K150" s="49">
        <f>VLOOKUP($A150,'Data shares'!$C:$FB,59)</f>
        <v>949900</v>
      </c>
      <c r="L150" s="50">
        <f>VLOOKUP($A150,'Data shares'!$C:$FB,61)*100</f>
        <v>-24.72</v>
      </c>
      <c r="M150" s="49">
        <f>VLOOKUP($A150,'Data shares'!$C:$FB,62)</f>
        <v>467950</v>
      </c>
      <c r="N150" s="49">
        <f>VLOOKUP($A150,'Data shares'!$C:$FB,63)</f>
        <v>935900</v>
      </c>
      <c r="O150" s="140">
        <f>VLOOKUP($A150,'Data shares'!$C:$FB,65)*100</f>
        <v>-50</v>
      </c>
    </row>
    <row r="151" spans="1:15" x14ac:dyDescent="0.25">
      <c r="A151" s="101" t="str">
        <f>'Data Vlaue (Cr)'!C146</f>
        <v>OFSS</v>
      </c>
      <c r="B151" s="50">
        <f>VLOOKUP($A151,'Data shares'!$C:$FB,7)</f>
        <v>6694.5</v>
      </c>
      <c r="C151" s="50">
        <f>VLOOKUP($A151,'Data shares'!$C:$FB,10)*100</f>
        <v>-1.44</v>
      </c>
      <c r="D151" s="49">
        <f>VLOOKUP($A151,'Data shares'!$C:$FB,66)</f>
        <v>1345125</v>
      </c>
      <c r="E151" s="49">
        <f>VLOOKUP($A151,'Data shares'!$C:$FB,67)</f>
        <v>2686875</v>
      </c>
      <c r="F151" s="50">
        <f>VLOOKUP($A151,'Data shares'!$C:$FB,69)*100</f>
        <v>-49.94</v>
      </c>
      <c r="G151" s="49">
        <f>VLOOKUP($A151,'Data shares'!$C:$FB,42)</f>
        <v>156450</v>
      </c>
      <c r="H151" s="49">
        <f>VLOOKUP($A151,'Data shares'!$C:$FB,43)</f>
        <v>338850</v>
      </c>
      <c r="I151" s="50">
        <f>VLOOKUP($A151,'Data shares'!$C:$FB,45)*100</f>
        <v>-53.83</v>
      </c>
      <c r="J151" s="49">
        <f>VLOOKUP($A151,'Data shares'!$C:$FB,58)</f>
        <v>557850</v>
      </c>
      <c r="K151" s="49">
        <f>VLOOKUP($A151,'Data shares'!$C:$FB,59)</f>
        <v>1704300</v>
      </c>
      <c r="L151" s="50">
        <f>VLOOKUP($A151,'Data shares'!$C:$FB,61)*100</f>
        <v>-67.27</v>
      </c>
      <c r="M151" s="49">
        <f>VLOOKUP($A151,'Data shares'!$C:$FB,62)</f>
        <v>630825</v>
      </c>
      <c r="N151" s="49">
        <f>VLOOKUP($A151,'Data shares'!$C:$FB,63)</f>
        <v>643725</v>
      </c>
      <c r="O151" s="140">
        <f>VLOOKUP($A151,'Data shares'!$C:$FB,65)*100</f>
        <v>-2</v>
      </c>
    </row>
    <row r="152" spans="1:15" x14ac:dyDescent="0.25">
      <c r="A152" s="101" t="str">
        <f>'Data Vlaue (Cr)'!C147</f>
        <v>OIL</v>
      </c>
      <c r="B152" s="50">
        <f>VLOOKUP($A152,'Data shares'!$C:$FB,7)</f>
        <v>479.3</v>
      </c>
      <c r="C152" s="50">
        <f>VLOOKUP($A152,'Data shares'!$C:$FB,10)*100</f>
        <v>-0.70000000000000007</v>
      </c>
      <c r="D152" s="49">
        <f>VLOOKUP($A152,'Data shares'!$C:$FB,66)</f>
        <v>43531600</v>
      </c>
      <c r="E152" s="49">
        <f>VLOOKUP($A152,'Data shares'!$C:$FB,67)</f>
        <v>47114200</v>
      </c>
      <c r="F152" s="50">
        <f>VLOOKUP($A152,'Data shares'!$C:$FB,69)*100</f>
        <v>-7.6</v>
      </c>
      <c r="G152" s="49">
        <f>VLOOKUP($A152,'Data shares'!$C:$FB,42)</f>
        <v>6906200</v>
      </c>
      <c r="H152" s="49">
        <f>VLOOKUP($A152,'Data shares'!$C:$FB,43)</f>
        <v>5906600</v>
      </c>
      <c r="I152" s="50">
        <f>VLOOKUP($A152,'Data shares'!$C:$FB,45)*100</f>
        <v>16.919999999999998</v>
      </c>
      <c r="J152" s="49">
        <f>VLOOKUP($A152,'Data shares'!$C:$FB,58)</f>
        <v>28371000</v>
      </c>
      <c r="K152" s="49">
        <f>VLOOKUP($A152,'Data shares'!$C:$FB,59)</f>
        <v>30434600</v>
      </c>
      <c r="L152" s="50">
        <f>VLOOKUP($A152,'Data shares'!$C:$FB,61)*100</f>
        <v>-6.78</v>
      </c>
      <c r="M152" s="49">
        <f>VLOOKUP($A152,'Data shares'!$C:$FB,62)</f>
        <v>8254400</v>
      </c>
      <c r="N152" s="49">
        <f>VLOOKUP($A152,'Data shares'!$C:$FB,63)</f>
        <v>10773000</v>
      </c>
      <c r="O152" s="140">
        <f>VLOOKUP($A152,'Data shares'!$C:$FB,65)*100</f>
        <v>-23.380000000000003</v>
      </c>
    </row>
    <row r="153" spans="1:15" x14ac:dyDescent="0.25">
      <c r="A153" s="101" t="str">
        <f>'Data Vlaue (Cr)'!C148</f>
        <v>ONGC</v>
      </c>
      <c r="B153" s="50">
        <f>VLOOKUP($A153,'Data shares'!$C:$FB,7)</f>
        <v>270.55</v>
      </c>
      <c r="C153" s="50">
        <f>VLOOKUP($A153,'Data shares'!$C:$FB,10)*100</f>
        <v>-6.9999999999999993E-2</v>
      </c>
      <c r="D153" s="49">
        <f>VLOOKUP($A153,'Data shares'!$C:$FB,66)</f>
        <v>111377250</v>
      </c>
      <c r="E153" s="49">
        <f>VLOOKUP($A153,'Data shares'!$C:$FB,67)</f>
        <v>98291250</v>
      </c>
      <c r="F153" s="50">
        <f>VLOOKUP($A153,'Data shares'!$C:$FB,69)*100</f>
        <v>13.309999999999999</v>
      </c>
      <c r="G153" s="49">
        <f>VLOOKUP($A153,'Data shares'!$C:$FB,42)</f>
        <v>21159000</v>
      </c>
      <c r="H153" s="49">
        <f>VLOOKUP($A153,'Data shares'!$C:$FB,43)</f>
        <v>14501250</v>
      </c>
      <c r="I153" s="50">
        <f>VLOOKUP($A153,'Data shares'!$C:$FB,45)*100</f>
        <v>45.910000000000004</v>
      </c>
      <c r="J153" s="49">
        <f>VLOOKUP($A153,'Data shares'!$C:$FB,58)</f>
        <v>67380750</v>
      </c>
      <c r="K153" s="49">
        <f>VLOOKUP($A153,'Data shares'!$C:$FB,59)</f>
        <v>63974250</v>
      </c>
      <c r="L153" s="50">
        <f>VLOOKUP($A153,'Data shares'!$C:$FB,61)*100</f>
        <v>5.3199999999999994</v>
      </c>
      <c r="M153" s="49">
        <f>VLOOKUP($A153,'Data shares'!$C:$FB,62)</f>
        <v>22837500</v>
      </c>
      <c r="N153" s="49">
        <f>VLOOKUP($A153,'Data shares'!$C:$FB,63)</f>
        <v>19815750</v>
      </c>
      <c r="O153" s="140">
        <f>VLOOKUP($A153,'Data shares'!$C:$FB,65)*100</f>
        <v>15.25</v>
      </c>
    </row>
    <row r="154" spans="1:15" x14ac:dyDescent="0.25">
      <c r="A154" s="101" t="str">
        <f>'Data Vlaue (Cr)'!C149</f>
        <v>PAGEIND</v>
      </c>
      <c r="B154" s="50">
        <f>VLOOKUP($A154,'Data shares'!$C:$FB,7)</f>
        <v>30860</v>
      </c>
      <c r="C154" s="50">
        <f>VLOOKUP($A154,'Data shares'!$C:$FB,10)*100</f>
        <v>-2.33</v>
      </c>
      <c r="D154" s="49">
        <f>VLOOKUP($A154,'Data shares'!$C:$FB,66)</f>
        <v>241605</v>
      </c>
      <c r="E154" s="49">
        <f>VLOOKUP($A154,'Data shares'!$C:$FB,67)</f>
        <v>225405</v>
      </c>
      <c r="F154" s="50">
        <f>VLOOKUP($A154,'Data shares'!$C:$FB,69)*100</f>
        <v>7.19</v>
      </c>
      <c r="G154" s="49">
        <f>VLOOKUP($A154,'Data shares'!$C:$FB,42)</f>
        <v>37440</v>
      </c>
      <c r="H154" s="49">
        <f>VLOOKUP($A154,'Data shares'!$C:$FB,43)</f>
        <v>51570</v>
      </c>
      <c r="I154" s="50">
        <f>VLOOKUP($A154,'Data shares'!$C:$FB,45)*100</f>
        <v>-27.400000000000002</v>
      </c>
      <c r="J154" s="49">
        <f>VLOOKUP($A154,'Data shares'!$C:$FB,58)</f>
        <v>144150</v>
      </c>
      <c r="K154" s="49">
        <f>VLOOKUP($A154,'Data shares'!$C:$FB,59)</f>
        <v>122115</v>
      </c>
      <c r="L154" s="50">
        <f>VLOOKUP($A154,'Data shares'!$C:$FB,61)*100</f>
        <v>18.04</v>
      </c>
      <c r="M154" s="49">
        <f>VLOOKUP($A154,'Data shares'!$C:$FB,62)</f>
        <v>60015</v>
      </c>
      <c r="N154" s="49">
        <f>VLOOKUP($A154,'Data shares'!$C:$FB,63)</f>
        <v>51720</v>
      </c>
      <c r="O154" s="140">
        <f>VLOOKUP($A154,'Data shares'!$C:$FB,65)*100</f>
        <v>16.04</v>
      </c>
    </row>
    <row r="155" spans="1:15" x14ac:dyDescent="0.25">
      <c r="A155" s="101" t="str">
        <f>'Data Vlaue (Cr)'!C150</f>
        <v>PATANJALI</v>
      </c>
      <c r="B155" s="50">
        <f>VLOOKUP($A155,'Data shares'!$C:$FB,7)</f>
        <v>490.6</v>
      </c>
      <c r="C155" s="50">
        <f>VLOOKUP($A155,'Data shares'!$C:$FB,10)*100</f>
        <v>-1.46</v>
      </c>
      <c r="D155" s="49">
        <f>VLOOKUP($A155,'Data shares'!$C:$FB,66)</f>
        <v>9160200</v>
      </c>
      <c r="E155" s="49">
        <f>VLOOKUP($A155,'Data shares'!$C:$FB,67)</f>
        <v>6253200</v>
      </c>
      <c r="F155" s="50">
        <f>VLOOKUP($A155,'Data shares'!$C:$FB,69)*100</f>
        <v>46.489999999999995</v>
      </c>
      <c r="G155" s="49">
        <f>VLOOKUP($A155,'Data shares'!$C:$FB,42)</f>
        <v>4206600</v>
      </c>
      <c r="H155" s="49">
        <f>VLOOKUP($A155,'Data shares'!$C:$FB,43)</f>
        <v>1953000</v>
      </c>
      <c r="I155" s="50">
        <f>VLOOKUP($A155,'Data shares'!$C:$FB,45)*100</f>
        <v>115.38999999999999</v>
      </c>
      <c r="J155" s="49">
        <f>VLOOKUP($A155,'Data shares'!$C:$FB,58)</f>
        <v>2799900</v>
      </c>
      <c r="K155" s="49">
        <f>VLOOKUP($A155,'Data shares'!$C:$FB,59)</f>
        <v>2709000</v>
      </c>
      <c r="L155" s="50">
        <f>VLOOKUP($A155,'Data shares'!$C:$FB,61)*100</f>
        <v>3.36</v>
      </c>
      <c r="M155" s="49">
        <f>VLOOKUP($A155,'Data shares'!$C:$FB,62)</f>
        <v>2153700</v>
      </c>
      <c r="N155" s="49">
        <f>VLOOKUP($A155,'Data shares'!$C:$FB,63)</f>
        <v>1591200</v>
      </c>
      <c r="O155" s="140">
        <f>VLOOKUP($A155,'Data shares'!$C:$FB,65)*100</f>
        <v>35.35</v>
      </c>
    </row>
    <row r="156" spans="1:15" x14ac:dyDescent="0.25">
      <c r="A156" s="101" t="str">
        <f>'Data Vlaue (Cr)'!C151</f>
        <v>PAYTM</v>
      </c>
      <c r="B156" s="50">
        <f>VLOOKUP($A156,'Data shares'!$C:$FB,7)</f>
        <v>1009.1</v>
      </c>
      <c r="C156" s="50">
        <f>VLOOKUP($A156,'Data shares'!$C:$FB,10)*100</f>
        <v>-1.6199999999999999</v>
      </c>
      <c r="D156" s="49">
        <f>VLOOKUP($A156,'Data shares'!$C:$FB,66)</f>
        <v>11462250</v>
      </c>
      <c r="E156" s="49">
        <f>VLOOKUP($A156,'Data shares'!$C:$FB,67)</f>
        <v>11366550</v>
      </c>
      <c r="F156" s="50">
        <f>VLOOKUP($A156,'Data shares'!$C:$FB,69)*100</f>
        <v>0.84</v>
      </c>
      <c r="G156" s="49">
        <f>VLOOKUP($A156,'Data shares'!$C:$FB,42)</f>
        <v>2378725</v>
      </c>
      <c r="H156" s="49">
        <f>VLOOKUP($A156,'Data shares'!$C:$FB,43)</f>
        <v>2847075</v>
      </c>
      <c r="I156" s="50">
        <f>VLOOKUP($A156,'Data shares'!$C:$FB,45)*100</f>
        <v>-16.45</v>
      </c>
      <c r="J156" s="49">
        <f>VLOOKUP($A156,'Data shares'!$C:$FB,58)</f>
        <v>5611500</v>
      </c>
      <c r="K156" s="49">
        <f>VLOOKUP($A156,'Data shares'!$C:$FB,59)</f>
        <v>5353400</v>
      </c>
      <c r="L156" s="50">
        <f>VLOOKUP($A156,'Data shares'!$C:$FB,61)*100</f>
        <v>4.82</v>
      </c>
      <c r="M156" s="49">
        <f>VLOOKUP($A156,'Data shares'!$C:$FB,62)</f>
        <v>3472025</v>
      </c>
      <c r="N156" s="49">
        <f>VLOOKUP($A156,'Data shares'!$C:$FB,63)</f>
        <v>3166075</v>
      </c>
      <c r="O156" s="140">
        <f>VLOOKUP($A156,'Data shares'!$C:$FB,65)*100</f>
        <v>9.66</v>
      </c>
    </row>
    <row r="157" spans="1:15" x14ac:dyDescent="0.25">
      <c r="A157" s="101" t="str">
        <f>'Data Vlaue (Cr)'!C152</f>
        <v>PERSISTENT</v>
      </c>
      <c r="B157" s="50">
        <f>VLOOKUP($A157,'Data shares'!$C:$FB,7)</f>
        <v>4714.3999999999996</v>
      </c>
      <c r="C157" s="50">
        <f>VLOOKUP($A157,'Data shares'!$C:$FB,10)*100</f>
        <v>-0.70000000000000007</v>
      </c>
      <c r="D157" s="49">
        <f>VLOOKUP($A157,'Data shares'!$C:$FB,66)</f>
        <v>3261500</v>
      </c>
      <c r="E157" s="49">
        <f>VLOOKUP($A157,'Data shares'!$C:$FB,67)</f>
        <v>2878300</v>
      </c>
      <c r="F157" s="50">
        <f>VLOOKUP($A157,'Data shares'!$C:$FB,69)*100</f>
        <v>13.309999999999999</v>
      </c>
      <c r="G157" s="49">
        <f>VLOOKUP($A157,'Data shares'!$C:$FB,42)</f>
        <v>775600</v>
      </c>
      <c r="H157" s="49">
        <f>VLOOKUP($A157,'Data shares'!$C:$FB,43)</f>
        <v>733700</v>
      </c>
      <c r="I157" s="50">
        <f>VLOOKUP($A157,'Data shares'!$C:$FB,45)*100</f>
        <v>5.71</v>
      </c>
      <c r="J157" s="49">
        <f>VLOOKUP($A157,'Data shares'!$C:$FB,58)</f>
        <v>1634900</v>
      </c>
      <c r="K157" s="49">
        <f>VLOOKUP($A157,'Data shares'!$C:$FB,59)</f>
        <v>1335500</v>
      </c>
      <c r="L157" s="50">
        <f>VLOOKUP($A157,'Data shares'!$C:$FB,61)*100</f>
        <v>22.42</v>
      </c>
      <c r="M157" s="49">
        <f>VLOOKUP($A157,'Data shares'!$C:$FB,62)</f>
        <v>851000</v>
      </c>
      <c r="N157" s="49">
        <f>VLOOKUP($A157,'Data shares'!$C:$FB,63)</f>
        <v>809100</v>
      </c>
      <c r="O157" s="140">
        <f>VLOOKUP($A157,'Data shares'!$C:$FB,65)*100</f>
        <v>5.18</v>
      </c>
    </row>
    <row r="158" spans="1:15" x14ac:dyDescent="0.25">
      <c r="A158" s="101" t="str">
        <f>'Data Vlaue (Cr)'!C153</f>
        <v>PETRONET</v>
      </c>
      <c r="B158" s="50">
        <f>VLOOKUP($A158,'Data shares'!$C:$FB,7)</f>
        <v>296.7</v>
      </c>
      <c r="C158" s="50">
        <f>VLOOKUP($A158,'Data shares'!$C:$FB,10)*100</f>
        <v>2.4299999999999997</v>
      </c>
      <c r="D158" s="49">
        <f>VLOOKUP($A158,'Data shares'!$C:$FB,66)</f>
        <v>70569800</v>
      </c>
      <c r="E158" s="49">
        <f>VLOOKUP($A158,'Data shares'!$C:$FB,67)</f>
        <v>29288500</v>
      </c>
      <c r="F158" s="50">
        <f>VLOOKUP($A158,'Data shares'!$C:$FB,69)*100</f>
        <v>140.94999999999999</v>
      </c>
      <c r="G158" s="49">
        <f>VLOOKUP($A158,'Data shares'!$C:$FB,42)</f>
        <v>9724200</v>
      </c>
      <c r="H158" s="49">
        <f>VLOOKUP($A158,'Data shares'!$C:$FB,43)</f>
        <v>5945100</v>
      </c>
      <c r="I158" s="50">
        <f>VLOOKUP($A158,'Data shares'!$C:$FB,45)*100</f>
        <v>63.570000000000007</v>
      </c>
      <c r="J158" s="49">
        <f>VLOOKUP($A158,'Data shares'!$C:$FB,58)</f>
        <v>43225000</v>
      </c>
      <c r="K158" s="49">
        <f>VLOOKUP($A158,'Data shares'!$C:$FB,59)</f>
        <v>13628700</v>
      </c>
      <c r="L158" s="50">
        <f>VLOOKUP($A158,'Data shares'!$C:$FB,61)*100</f>
        <v>217.16000000000003</v>
      </c>
      <c r="M158" s="49">
        <f>VLOOKUP($A158,'Data shares'!$C:$FB,62)</f>
        <v>17620600</v>
      </c>
      <c r="N158" s="49">
        <f>VLOOKUP($A158,'Data shares'!$C:$FB,63)</f>
        <v>9714700</v>
      </c>
      <c r="O158" s="140">
        <f>VLOOKUP($A158,'Data shares'!$C:$FB,65)*100</f>
        <v>81.38</v>
      </c>
    </row>
    <row r="159" spans="1:15" x14ac:dyDescent="0.25">
      <c r="A159" s="101" t="str">
        <f>'Data Vlaue (Cr)'!C154</f>
        <v>PFC</v>
      </c>
      <c r="B159" s="50">
        <f>VLOOKUP($A159,'Data shares'!$C:$FB,7)</f>
        <v>415.9</v>
      </c>
      <c r="C159" s="50">
        <f>VLOOKUP($A159,'Data shares'!$C:$FB,10)*100</f>
        <v>2.21</v>
      </c>
      <c r="D159" s="49">
        <f>VLOOKUP($A159,'Data shares'!$C:$FB,66)</f>
        <v>87721400</v>
      </c>
      <c r="E159" s="49">
        <f>VLOOKUP($A159,'Data shares'!$C:$FB,67)</f>
        <v>42261700</v>
      </c>
      <c r="F159" s="50">
        <f>VLOOKUP($A159,'Data shares'!$C:$FB,69)*100</f>
        <v>107.57000000000001</v>
      </c>
      <c r="G159" s="49">
        <f>VLOOKUP($A159,'Data shares'!$C:$FB,42)</f>
        <v>17904900</v>
      </c>
      <c r="H159" s="49">
        <f>VLOOKUP($A159,'Data shares'!$C:$FB,43)</f>
        <v>9404200</v>
      </c>
      <c r="I159" s="50">
        <f>VLOOKUP($A159,'Data shares'!$C:$FB,45)*100</f>
        <v>90.39</v>
      </c>
      <c r="J159" s="49">
        <f>VLOOKUP($A159,'Data shares'!$C:$FB,58)</f>
        <v>49284300</v>
      </c>
      <c r="K159" s="49">
        <f>VLOOKUP($A159,'Data shares'!$C:$FB,59)</f>
        <v>21284900</v>
      </c>
      <c r="L159" s="50">
        <f>VLOOKUP($A159,'Data shares'!$C:$FB,61)*100</f>
        <v>131.54999999999998</v>
      </c>
      <c r="M159" s="49">
        <f>VLOOKUP($A159,'Data shares'!$C:$FB,62)</f>
        <v>20532200</v>
      </c>
      <c r="N159" s="49">
        <f>VLOOKUP($A159,'Data shares'!$C:$FB,63)</f>
        <v>11572600</v>
      </c>
      <c r="O159" s="140">
        <f>VLOOKUP($A159,'Data shares'!$C:$FB,65)*100</f>
        <v>77.42</v>
      </c>
    </row>
    <row r="160" spans="1:15" x14ac:dyDescent="0.25">
      <c r="A160" s="101" t="str">
        <f>'Data Vlaue (Cr)'!C155</f>
        <v>PGEL</v>
      </c>
      <c r="B160" s="50">
        <f>VLOOKUP($A160,'Data shares'!$C:$FB,7)</f>
        <v>532.20000000000005</v>
      </c>
      <c r="C160" s="50">
        <f>VLOOKUP($A160,'Data shares'!$C:$FB,10)*100</f>
        <v>-3.25</v>
      </c>
      <c r="D160" s="49">
        <f>VLOOKUP($A160,'Data shares'!$C:$FB,66)</f>
        <v>23010900</v>
      </c>
      <c r="E160" s="49">
        <f>VLOOKUP($A160,'Data shares'!$C:$FB,67)</f>
        <v>35093950</v>
      </c>
      <c r="F160" s="50">
        <f>VLOOKUP($A160,'Data shares'!$C:$FB,69)*100</f>
        <v>-34.43</v>
      </c>
      <c r="G160" s="49">
        <f>VLOOKUP($A160,'Data shares'!$C:$FB,42)</f>
        <v>4935250</v>
      </c>
      <c r="H160" s="49">
        <f>VLOOKUP($A160,'Data shares'!$C:$FB,43)</f>
        <v>6391600</v>
      </c>
      <c r="I160" s="50">
        <f>VLOOKUP($A160,'Data shares'!$C:$FB,45)*100</f>
        <v>-22.79</v>
      </c>
      <c r="J160" s="49">
        <f>VLOOKUP($A160,'Data shares'!$C:$FB,58)</f>
        <v>10382550</v>
      </c>
      <c r="K160" s="49">
        <f>VLOOKUP($A160,'Data shares'!$C:$FB,59)</f>
        <v>21493750</v>
      </c>
      <c r="L160" s="50">
        <f>VLOOKUP($A160,'Data shares'!$C:$FB,61)*100</f>
        <v>-51.7</v>
      </c>
      <c r="M160" s="49">
        <f>VLOOKUP($A160,'Data shares'!$C:$FB,62)</f>
        <v>7693100</v>
      </c>
      <c r="N160" s="49">
        <f>VLOOKUP($A160,'Data shares'!$C:$FB,63)</f>
        <v>7208600</v>
      </c>
      <c r="O160" s="140">
        <f>VLOOKUP($A160,'Data shares'!$C:$FB,65)*100</f>
        <v>6.72</v>
      </c>
    </row>
    <row r="161" spans="1:15" x14ac:dyDescent="0.25">
      <c r="A161" s="101" t="str">
        <f>'Data Vlaue (Cr)'!C156</f>
        <v>PHOENIXLTD</v>
      </c>
      <c r="B161" s="50">
        <f>VLOOKUP($A161,'Data shares'!$C:$FB,7)</f>
        <v>1560.2</v>
      </c>
      <c r="C161" s="50">
        <f>VLOOKUP($A161,'Data shares'!$C:$FB,10)*100</f>
        <v>-0.98</v>
      </c>
      <c r="D161" s="49">
        <f>VLOOKUP($A161,'Data shares'!$C:$FB,66)</f>
        <v>1579200</v>
      </c>
      <c r="E161" s="49">
        <f>VLOOKUP($A161,'Data shares'!$C:$FB,67)</f>
        <v>917350</v>
      </c>
      <c r="F161" s="50">
        <f>VLOOKUP($A161,'Data shares'!$C:$FB,69)*100</f>
        <v>72.150000000000006</v>
      </c>
      <c r="G161" s="49">
        <f>VLOOKUP($A161,'Data shares'!$C:$FB,42)</f>
        <v>620200</v>
      </c>
      <c r="H161" s="49">
        <f>VLOOKUP($A161,'Data shares'!$C:$FB,43)</f>
        <v>335300</v>
      </c>
      <c r="I161" s="50">
        <f>VLOOKUP($A161,'Data shares'!$C:$FB,45)*100</f>
        <v>84.97</v>
      </c>
      <c r="J161" s="49">
        <f>VLOOKUP($A161,'Data shares'!$C:$FB,58)</f>
        <v>821100</v>
      </c>
      <c r="K161" s="49">
        <f>VLOOKUP($A161,'Data shares'!$C:$FB,59)</f>
        <v>413700</v>
      </c>
      <c r="L161" s="50">
        <f>VLOOKUP($A161,'Data shares'!$C:$FB,61)*100</f>
        <v>98.48</v>
      </c>
      <c r="M161" s="49">
        <f>VLOOKUP($A161,'Data shares'!$C:$FB,62)</f>
        <v>137900</v>
      </c>
      <c r="N161" s="49">
        <f>VLOOKUP($A161,'Data shares'!$C:$FB,63)</f>
        <v>168350</v>
      </c>
      <c r="O161" s="140">
        <f>VLOOKUP($A161,'Data shares'!$C:$FB,65)*100</f>
        <v>-18.09</v>
      </c>
    </row>
    <row r="162" spans="1:15" x14ac:dyDescent="0.25">
      <c r="A162" s="101" t="str">
        <f>'Data Vlaue (Cr)'!C157</f>
        <v>PIDILITIND</v>
      </c>
      <c r="B162" s="50">
        <f>VLOOKUP($A162,'Data shares'!$C:$FB,7)</f>
        <v>1387.4</v>
      </c>
      <c r="C162" s="50">
        <f>VLOOKUP($A162,'Data shares'!$C:$FB,10)*100</f>
        <v>-1.1400000000000001</v>
      </c>
      <c r="D162" s="49">
        <f>VLOOKUP($A162,'Data shares'!$C:$FB,66)</f>
        <v>2125000</v>
      </c>
      <c r="E162" s="49">
        <f>VLOOKUP($A162,'Data shares'!$C:$FB,67)</f>
        <v>2408500</v>
      </c>
      <c r="F162" s="50">
        <f>VLOOKUP($A162,'Data shares'!$C:$FB,69)*100</f>
        <v>-11.77</v>
      </c>
      <c r="G162" s="49">
        <f>VLOOKUP($A162,'Data shares'!$C:$FB,42)</f>
        <v>626000</v>
      </c>
      <c r="H162" s="49">
        <f>VLOOKUP($A162,'Data shares'!$C:$FB,43)</f>
        <v>604000</v>
      </c>
      <c r="I162" s="50">
        <f>VLOOKUP($A162,'Data shares'!$C:$FB,45)*100</f>
        <v>3.64</v>
      </c>
      <c r="J162" s="49">
        <f>VLOOKUP($A162,'Data shares'!$C:$FB,58)</f>
        <v>791500</v>
      </c>
      <c r="K162" s="49">
        <f>VLOOKUP($A162,'Data shares'!$C:$FB,59)</f>
        <v>1029500</v>
      </c>
      <c r="L162" s="50">
        <f>VLOOKUP($A162,'Data shares'!$C:$FB,61)*100</f>
        <v>-23.119999999999997</v>
      </c>
      <c r="M162" s="49">
        <f>VLOOKUP($A162,'Data shares'!$C:$FB,62)</f>
        <v>707500</v>
      </c>
      <c r="N162" s="49">
        <f>VLOOKUP($A162,'Data shares'!$C:$FB,63)</f>
        <v>775000</v>
      </c>
      <c r="O162" s="140">
        <f>VLOOKUP($A162,'Data shares'!$C:$FB,65)*100</f>
        <v>-8.7099999999999991</v>
      </c>
    </row>
    <row r="163" spans="1:15" x14ac:dyDescent="0.25">
      <c r="A163" s="101" t="str">
        <f>'Data Vlaue (Cr)'!C158</f>
        <v>PIIND</v>
      </c>
      <c r="B163" s="50">
        <f>VLOOKUP($A163,'Data shares'!$C:$FB,7)</f>
        <v>2952.4</v>
      </c>
      <c r="C163" s="50">
        <f>VLOOKUP($A163,'Data shares'!$C:$FB,10)*100</f>
        <v>-1.9900000000000002</v>
      </c>
      <c r="D163" s="49">
        <f>VLOOKUP($A163,'Data shares'!$C:$FB,66)</f>
        <v>1409450</v>
      </c>
      <c r="E163" s="49">
        <f>VLOOKUP($A163,'Data shares'!$C:$FB,67)</f>
        <v>1471400</v>
      </c>
      <c r="F163" s="50">
        <f>VLOOKUP($A163,'Data shares'!$C:$FB,69)*100</f>
        <v>-4.21</v>
      </c>
      <c r="G163" s="49">
        <f>VLOOKUP($A163,'Data shares'!$C:$FB,42)</f>
        <v>359800</v>
      </c>
      <c r="H163" s="49">
        <f>VLOOKUP($A163,'Data shares'!$C:$FB,43)</f>
        <v>500150</v>
      </c>
      <c r="I163" s="50">
        <f>VLOOKUP($A163,'Data shares'!$C:$FB,45)*100</f>
        <v>-28.060000000000002</v>
      </c>
      <c r="J163" s="49">
        <f>VLOOKUP($A163,'Data shares'!$C:$FB,58)</f>
        <v>694050</v>
      </c>
      <c r="K163" s="49">
        <f>VLOOKUP($A163,'Data shares'!$C:$FB,59)</f>
        <v>507325</v>
      </c>
      <c r="L163" s="50">
        <f>VLOOKUP($A163,'Data shares'!$C:$FB,61)*100</f>
        <v>36.809999999999995</v>
      </c>
      <c r="M163" s="49">
        <f>VLOOKUP($A163,'Data shares'!$C:$FB,62)</f>
        <v>355600</v>
      </c>
      <c r="N163" s="49">
        <f>VLOOKUP($A163,'Data shares'!$C:$FB,63)</f>
        <v>463925</v>
      </c>
      <c r="O163" s="140">
        <f>VLOOKUP($A163,'Data shares'!$C:$FB,65)*100</f>
        <v>-23.35</v>
      </c>
    </row>
    <row r="164" spans="1:15" x14ac:dyDescent="0.25">
      <c r="A164" s="101" t="str">
        <f>'Data Vlaue (Cr)'!C159</f>
        <v>PNB</v>
      </c>
      <c r="B164" s="50">
        <f>VLOOKUP($A164,'Data shares'!$C:$FB,7)</f>
        <v>116.61</v>
      </c>
      <c r="C164" s="50">
        <f>VLOOKUP($A164,'Data shares'!$C:$FB,10)*100</f>
        <v>0.66</v>
      </c>
      <c r="D164" s="49">
        <f>VLOOKUP($A164,'Data shares'!$C:$FB,66)</f>
        <v>171288000</v>
      </c>
      <c r="E164" s="49">
        <f>VLOOKUP($A164,'Data shares'!$C:$FB,67)</f>
        <v>141984000</v>
      </c>
      <c r="F164" s="50">
        <f>VLOOKUP($A164,'Data shares'!$C:$FB,69)*100</f>
        <v>20.64</v>
      </c>
      <c r="G164" s="49">
        <f>VLOOKUP($A164,'Data shares'!$C:$FB,42)</f>
        <v>46720000</v>
      </c>
      <c r="H164" s="49">
        <f>VLOOKUP($A164,'Data shares'!$C:$FB,43)</f>
        <v>34664000</v>
      </c>
      <c r="I164" s="50">
        <f>VLOOKUP($A164,'Data shares'!$C:$FB,45)*100</f>
        <v>34.78</v>
      </c>
      <c r="J164" s="49">
        <f>VLOOKUP($A164,'Data shares'!$C:$FB,58)</f>
        <v>76784000</v>
      </c>
      <c r="K164" s="49">
        <f>VLOOKUP($A164,'Data shares'!$C:$FB,59)</f>
        <v>63360000</v>
      </c>
      <c r="L164" s="50">
        <f>VLOOKUP($A164,'Data shares'!$C:$FB,61)*100</f>
        <v>21.19</v>
      </c>
      <c r="M164" s="49">
        <f>VLOOKUP($A164,'Data shares'!$C:$FB,62)</f>
        <v>47784000</v>
      </c>
      <c r="N164" s="49">
        <f>VLOOKUP($A164,'Data shares'!$C:$FB,63)</f>
        <v>43960000</v>
      </c>
      <c r="O164" s="140">
        <f>VLOOKUP($A164,'Data shares'!$C:$FB,65)*100</f>
        <v>8.6999999999999993</v>
      </c>
    </row>
    <row r="165" spans="1:15" x14ac:dyDescent="0.25">
      <c r="A165" s="101" t="str">
        <f>'Data Vlaue (Cr)'!C160</f>
        <v>PNBHOUSING</v>
      </c>
      <c r="B165" s="50">
        <f>VLOOKUP($A165,'Data shares'!$C:$FB,7)</f>
        <v>780.15</v>
      </c>
      <c r="C165" s="50">
        <f>VLOOKUP($A165,'Data shares'!$C:$FB,10)*100</f>
        <v>0.47000000000000003</v>
      </c>
      <c r="D165" s="49">
        <f>VLOOKUP($A165,'Data shares'!$C:$FB,66)</f>
        <v>7753200</v>
      </c>
      <c r="E165" s="49">
        <f>VLOOKUP($A165,'Data shares'!$C:$FB,67)</f>
        <v>9530950</v>
      </c>
      <c r="F165" s="50">
        <f>VLOOKUP($A165,'Data shares'!$C:$FB,69)*100</f>
        <v>-18.649999999999999</v>
      </c>
      <c r="G165" s="49">
        <f>VLOOKUP($A165,'Data shares'!$C:$FB,42)</f>
        <v>1895400</v>
      </c>
      <c r="H165" s="49">
        <f>VLOOKUP($A165,'Data shares'!$C:$FB,43)</f>
        <v>2048150</v>
      </c>
      <c r="I165" s="50">
        <f>VLOOKUP($A165,'Data shares'!$C:$FB,45)*100</f>
        <v>-7.46</v>
      </c>
      <c r="J165" s="49">
        <f>VLOOKUP($A165,'Data shares'!$C:$FB,58)</f>
        <v>2518750</v>
      </c>
      <c r="K165" s="49">
        <f>VLOOKUP($A165,'Data shares'!$C:$FB,59)</f>
        <v>4223700</v>
      </c>
      <c r="L165" s="50">
        <f>VLOOKUP($A165,'Data shares'!$C:$FB,61)*100</f>
        <v>-40.369999999999997</v>
      </c>
      <c r="M165" s="49">
        <f>VLOOKUP($A165,'Data shares'!$C:$FB,62)</f>
        <v>3339050</v>
      </c>
      <c r="N165" s="49">
        <f>VLOOKUP($A165,'Data shares'!$C:$FB,63)</f>
        <v>3259100</v>
      </c>
      <c r="O165" s="140">
        <f>VLOOKUP($A165,'Data shares'!$C:$FB,65)*100</f>
        <v>2.4500000000000002</v>
      </c>
    </row>
    <row r="166" spans="1:15" x14ac:dyDescent="0.25">
      <c r="A166" s="101" t="str">
        <f>'Data Vlaue (Cr)'!C161</f>
        <v>POLICYBZR</v>
      </c>
      <c r="B166" s="50">
        <f>VLOOKUP($A166,'Data shares'!$C:$FB,7)</f>
        <v>1462.7</v>
      </c>
      <c r="C166" s="50">
        <f>VLOOKUP($A166,'Data shares'!$C:$FB,10)*100</f>
        <v>-0.03</v>
      </c>
      <c r="D166" s="49">
        <f>VLOOKUP($A166,'Data shares'!$C:$FB,66)</f>
        <v>2638650</v>
      </c>
      <c r="E166" s="49">
        <f>VLOOKUP($A166,'Data shares'!$C:$FB,67)</f>
        <v>4427150</v>
      </c>
      <c r="F166" s="50">
        <f>VLOOKUP($A166,'Data shares'!$C:$FB,69)*100</f>
        <v>-40.400000000000006</v>
      </c>
      <c r="G166" s="49">
        <f>VLOOKUP($A166,'Data shares'!$C:$FB,42)</f>
        <v>1013950</v>
      </c>
      <c r="H166" s="49">
        <f>VLOOKUP($A166,'Data shares'!$C:$FB,43)</f>
        <v>1820350</v>
      </c>
      <c r="I166" s="50">
        <f>VLOOKUP($A166,'Data shares'!$C:$FB,45)*100</f>
        <v>-44.3</v>
      </c>
      <c r="J166" s="49">
        <f>VLOOKUP($A166,'Data shares'!$C:$FB,58)</f>
        <v>803600</v>
      </c>
      <c r="K166" s="49">
        <f>VLOOKUP($A166,'Data shares'!$C:$FB,59)</f>
        <v>1627500</v>
      </c>
      <c r="L166" s="50">
        <f>VLOOKUP($A166,'Data shares'!$C:$FB,61)*100</f>
        <v>-50.62</v>
      </c>
      <c r="M166" s="49">
        <f>VLOOKUP($A166,'Data shares'!$C:$FB,62)</f>
        <v>821100</v>
      </c>
      <c r="N166" s="49">
        <f>VLOOKUP($A166,'Data shares'!$C:$FB,63)</f>
        <v>979300</v>
      </c>
      <c r="O166" s="140">
        <f>VLOOKUP($A166,'Data shares'!$C:$FB,65)*100</f>
        <v>-16.150000000000002</v>
      </c>
    </row>
    <row r="167" spans="1:15" x14ac:dyDescent="0.25">
      <c r="A167" s="101" t="str">
        <f>'Data Vlaue (Cr)'!C162</f>
        <v>POLYCAB</v>
      </c>
      <c r="B167" s="50">
        <f>VLOOKUP($A167,'Data shares'!$C:$FB,7)</f>
        <v>7455</v>
      </c>
      <c r="C167" s="50">
        <f>VLOOKUP($A167,'Data shares'!$C:$FB,10)*100</f>
        <v>0.33999999999999997</v>
      </c>
      <c r="D167" s="49">
        <f>VLOOKUP($A167,'Data shares'!$C:$FB,66)</f>
        <v>6195875</v>
      </c>
      <c r="E167" s="49">
        <f>VLOOKUP($A167,'Data shares'!$C:$FB,67)</f>
        <v>12379750</v>
      </c>
      <c r="F167" s="50">
        <f>VLOOKUP($A167,'Data shares'!$C:$FB,69)*100</f>
        <v>-49.95</v>
      </c>
      <c r="G167" s="49">
        <f>VLOOKUP($A167,'Data shares'!$C:$FB,42)</f>
        <v>873625</v>
      </c>
      <c r="H167" s="49">
        <f>VLOOKUP($A167,'Data shares'!$C:$FB,43)</f>
        <v>1580250</v>
      </c>
      <c r="I167" s="50">
        <f>VLOOKUP($A167,'Data shares'!$C:$FB,45)*100</f>
        <v>-44.72</v>
      </c>
      <c r="J167" s="49">
        <f>VLOOKUP($A167,'Data shares'!$C:$FB,58)</f>
        <v>3212125</v>
      </c>
      <c r="K167" s="49">
        <f>VLOOKUP($A167,'Data shares'!$C:$FB,59)</f>
        <v>5025750</v>
      </c>
      <c r="L167" s="50">
        <f>VLOOKUP($A167,'Data shares'!$C:$FB,61)*100</f>
        <v>-36.090000000000003</v>
      </c>
      <c r="M167" s="49">
        <f>VLOOKUP($A167,'Data shares'!$C:$FB,62)</f>
        <v>2110125</v>
      </c>
      <c r="N167" s="49">
        <f>VLOOKUP($A167,'Data shares'!$C:$FB,63)</f>
        <v>5773750</v>
      </c>
      <c r="O167" s="140">
        <f>VLOOKUP($A167,'Data shares'!$C:$FB,65)*100</f>
        <v>-63.449999999999996</v>
      </c>
    </row>
    <row r="168" spans="1:15" x14ac:dyDescent="0.25">
      <c r="A168" s="101" t="str">
        <f>'Data Vlaue (Cr)'!C163</f>
        <v>POWERGRID</v>
      </c>
      <c r="B168" s="50">
        <f>VLOOKUP($A168,'Data shares'!$C:$FB,7)</f>
        <v>303.60000000000002</v>
      </c>
      <c r="C168" s="50">
        <f>VLOOKUP($A168,'Data shares'!$C:$FB,10)*100</f>
        <v>1.6099999999999999</v>
      </c>
      <c r="D168" s="49">
        <f>VLOOKUP($A168,'Data shares'!$C:$FB,66)</f>
        <v>100177500</v>
      </c>
      <c r="E168" s="49">
        <f>VLOOKUP($A168,'Data shares'!$C:$FB,67)</f>
        <v>60942500</v>
      </c>
      <c r="F168" s="50">
        <f>VLOOKUP($A168,'Data shares'!$C:$FB,69)*100</f>
        <v>64.38000000000001</v>
      </c>
      <c r="G168" s="49">
        <f>VLOOKUP($A168,'Data shares'!$C:$FB,42)</f>
        <v>17231100</v>
      </c>
      <c r="H168" s="49">
        <f>VLOOKUP($A168,'Data shares'!$C:$FB,43)</f>
        <v>9587400</v>
      </c>
      <c r="I168" s="50">
        <f>VLOOKUP($A168,'Data shares'!$C:$FB,45)*100</f>
        <v>79.73</v>
      </c>
      <c r="J168" s="49">
        <f>VLOOKUP($A168,'Data shares'!$C:$FB,58)</f>
        <v>67108000</v>
      </c>
      <c r="K168" s="49">
        <f>VLOOKUP($A168,'Data shares'!$C:$FB,59)</f>
        <v>37342600</v>
      </c>
      <c r="L168" s="50">
        <f>VLOOKUP($A168,'Data shares'!$C:$FB,61)*100</f>
        <v>79.710000000000008</v>
      </c>
      <c r="M168" s="49">
        <f>VLOOKUP($A168,'Data shares'!$C:$FB,62)</f>
        <v>15838400</v>
      </c>
      <c r="N168" s="49">
        <f>VLOOKUP($A168,'Data shares'!$C:$FB,63)</f>
        <v>14012500</v>
      </c>
      <c r="O168" s="140">
        <f>VLOOKUP($A168,'Data shares'!$C:$FB,65)*100</f>
        <v>13.03</v>
      </c>
    </row>
    <row r="169" spans="1:15" x14ac:dyDescent="0.25">
      <c r="A169" s="101" t="str">
        <f>'Data Vlaue (Cr)'!C164</f>
        <v>POWERINDIA</v>
      </c>
      <c r="B169" s="50">
        <f>VLOOKUP($A169,'Data shares'!$C:$FB,7)</f>
        <v>24880</v>
      </c>
      <c r="C169" s="50">
        <f>VLOOKUP($A169,'Data shares'!$C:$FB,10)*100</f>
        <v>-0.3</v>
      </c>
      <c r="D169" s="49">
        <f>VLOOKUP($A169,'Data shares'!$C:$FB,66)</f>
        <v>547150</v>
      </c>
      <c r="E169" s="49">
        <f>VLOOKUP($A169,'Data shares'!$C:$FB,67)</f>
        <v>422850</v>
      </c>
      <c r="F169" s="50">
        <f>VLOOKUP($A169,'Data shares'!$C:$FB,69)*100</f>
        <v>29.4</v>
      </c>
      <c r="G169" s="49">
        <f>VLOOKUP($A169,'Data shares'!$C:$FB,42)</f>
        <v>116150</v>
      </c>
      <c r="H169" s="49">
        <f>VLOOKUP($A169,'Data shares'!$C:$FB,43)</f>
        <v>84250</v>
      </c>
      <c r="I169" s="50">
        <f>VLOOKUP($A169,'Data shares'!$C:$FB,45)*100</f>
        <v>37.86</v>
      </c>
      <c r="J169" s="49">
        <f>VLOOKUP($A169,'Data shares'!$C:$FB,58)</f>
        <v>316600</v>
      </c>
      <c r="K169" s="49">
        <f>VLOOKUP($A169,'Data shares'!$C:$FB,59)</f>
        <v>228600</v>
      </c>
      <c r="L169" s="50">
        <f>VLOOKUP($A169,'Data shares'!$C:$FB,61)*100</f>
        <v>38.5</v>
      </c>
      <c r="M169" s="49">
        <f>VLOOKUP($A169,'Data shares'!$C:$FB,62)</f>
        <v>114400</v>
      </c>
      <c r="N169" s="49">
        <f>VLOOKUP($A169,'Data shares'!$C:$FB,63)</f>
        <v>110000</v>
      </c>
      <c r="O169" s="140">
        <f>VLOOKUP($A169,'Data shares'!$C:$FB,65)*100</f>
        <v>4</v>
      </c>
    </row>
    <row r="170" spans="1:15" x14ac:dyDescent="0.25">
      <c r="A170" s="101" t="str">
        <f>'Data Vlaue (Cr)'!C165</f>
        <v>PPLPHARMA</v>
      </c>
      <c r="B170" s="50">
        <f>VLOOKUP($A170,'Data shares'!$C:$FB,7)</f>
        <v>145.54</v>
      </c>
      <c r="C170" s="50">
        <f>VLOOKUP($A170,'Data shares'!$C:$FB,10)*100</f>
        <v>-6.36</v>
      </c>
      <c r="D170" s="49">
        <f>VLOOKUP($A170,'Data shares'!$C:$FB,66)</f>
        <v>34314000</v>
      </c>
      <c r="E170" s="49">
        <f>VLOOKUP($A170,'Data shares'!$C:$FB,67)</f>
        <v>16576875</v>
      </c>
      <c r="F170" s="50">
        <f>VLOOKUP($A170,'Data shares'!$C:$FB,69)*100</f>
        <v>107</v>
      </c>
      <c r="G170" s="49">
        <f>VLOOKUP($A170,'Data shares'!$C:$FB,42)</f>
        <v>7187250</v>
      </c>
      <c r="H170" s="49">
        <f>VLOOKUP($A170,'Data shares'!$C:$FB,43)</f>
        <v>4060875</v>
      </c>
      <c r="I170" s="50">
        <f>VLOOKUP($A170,'Data shares'!$C:$FB,45)*100</f>
        <v>76.990000000000009</v>
      </c>
      <c r="J170" s="49">
        <f>VLOOKUP($A170,'Data shares'!$C:$FB,58)</f>
        <v>13148625</v>
      </c>
      <c r="K170" s="49">
        <f>VLOOKUP($A170,'Data shares'!$C:$FB,59)</f>
        <v>10389750</v>
      </c>
      <c r="L170" s="50">
        <f>VLOOKUP($A170,'Data shares'!$C:$FB,61)*100</f>
        <v>26.55</v>
      </c>
      <c r="M170" s="49">
        <f>VLOOKUP($A170,'Data shares'!$C:$FB,62)</f>
        <v>13978125</v>
      </c>
      <c r="N170" s="49">
        <f>VLOOKUP($A170,'Data shares'!$C:$FB,63)</f>
        <v>2126250</v>
      </c>
      <c r="O170" s="140">
        <f>VLOOKUP($A170,'Data shares'!$C:$FB,65)*100</f>
        <v>557.41</v>
      </c>
    </row>
    <row r="171" spans="1:15" x14ac:dyDescent="0.25">
      <c r="A171" s="101" t="str">
        <f>'Data Vlaue (Cr)'!C166</f>
        <v>PREMIERENE</v>
      </c>
      <c r="B171" s="50">
        <f>VLOOKUP($A171,'Data shares'!$C:$FB,7)</f>
        <v>789.35</v>
      </c>
      <c r="C171" s="50">
        <f>VLOOKUP($A171,'Data shares'!$C:$FB,10)*100</f>
        <v>0.16</v>
      </c>
      <c r="D171" s="49">
        <f>VLOOKUP($A171,'Data shares'!$C:$FB,66)</f>
        <v>10044675</v>
      </c>
      <c r="E171" s="49">
        <f>VLOOKUP($A171,'Data shares'!$C:$FB,67)</f>
        <v>26747275</v>
      </c>
      <c r="F171" s="50">
        <f>VLOOKUP($A171,'Data shares'!$C:$FB,69)*100</f>
        <v>-62.45</v>
      </c>
      <c r="G171" s="49">
        <f>VLOOKUP($A171,'Data shares'!$C:$FB,42)</f>
        <v>2247675</v>
      </c>
      <c r="H171" s="49">
        <f>VLOOKUP($A171,'Data shares'!$C:$FB,43)</f>
        <v>5694225</v>
      </c>
      <c r="I171" s="50">
        <f>VLOOKUP($A171,'Data shares'!$C:$FB,45)*100</f>
        <v>-60.529999999999994</v>
      </c>
      <c r="J171" s="49">
        <f>VLOOKUP($A171,'Data shares'!$C:$FB,58)</f>
        <v>5388325</v>
      </c>
      <c r="K171" s="49">
        <f>VLOOKUP($A171,'Data shares'!$C:$FB,59)</f>
        <v>14707925</v>
      </c>
      <c r="L171" s="50">
        <f>VLOOKUP($A171,'Data shares'!$C:$FB,61)*100</f>
        <v>-63.360000000000007</v>
      </c>
      <c r="M171" s="49">
        <f>VLOOKUP($A171,'Data shares'!$C:$FB,62)</f>
        <v>2408675</v>
      </c>
      <c r="N171" s="49">
        <f>VLOOKUP($A171,'Data shares'!$C:$FB,63)</f>
        <v>6345125</v>
      </c>
      <c r="O171" s="140">
        <f>VLOOKUP($A171,'Data shares'!$C:$FB,65)*100</f>
        <v>-62.039999999999992</v>
      </c>
    </row>
    <row r="172" spans="1:15" x14ac:dyDescent="0.25">
      <c r="A172" s="101" t="str">
        <f>'Data Vlaue (Cr)'!C167</f>
        <v>PRESTIGE</v>
      </c>
      <c r="B172" s="50">
        <f>VLOOKUP($A172,'Data shares'!$C:$FB,7)</f>
        <v>1252.7</v>
      </c>
      <c r="C172" s="50">
        <f>VLOOKUP($A172,'Data shares'!$C:$FB,10)*100</f>
        <v>-1.48</v>
      </c>
      <c r="D172" s="49">
        <f>VLOOKUP($A172,'Data shares'!$C:$FB,66)</f>
        <v>3057750</v>
      </c>
      <c r="E172" s="49">
        <f>VLOOKUP($A172,'Data shares'!$C:$FB,67)</f>
        <v>2809350</v>
      </c>
      <c r="F172" s="50">
        <f>VLOOKUP($A172,'Data shares'!$C:$FB,69)*100</f>
        <v>8.84</v>
      </c>
      <c r="G172" s="49">
        <f>VLOOKUP($A172,'Data shares'!$C:$FB,42)</f>
        <v>1034100</v>
      </c>
      <c r="H172" s="49">
        <f>VLOOKUP($A172,'Data shares'!$C:$FB,43)</f>
        <v>1155150</v>
      </c>
      <c r="I172" s="50">
        <f>VLOOKUP($A172,'Data shares'!$C:$FB,45)*100</f>
        <v>-10.48</v>
      </c>
      <c r="J172" s="49">
        <f>VLOOKUP($A172,'Data shares'!$C:$FB,58)</f>
        <v>1005300</v>
      </c>
      <c r="K172" s="49">
        <f>VLOOKUP($A172,'Data shares'!$C:$FB,59)</f>
        <v>921150</v>
      </c>
      <c r="L172" s="50">
        <f>VLOOKUP($A172,'Data shares'!$C:$FB,61)*100</f>
        <v>9.1399999999999988</v>
      </c>
      <c r="M172" s="49">
        <f>VLOOKUP($A172,'Data shares'!$C:$FB,62)</f>
        <v>1018350</v>
      </c>
      <c r="N172" s="49">
        <f>VLOOKUP($A172,'Data shares'!$C:$FB,63)</f>
        <v>733050</v>
      </c>
      <c r="O172" s="140">
        <f>VLOOKUP($A172,'Data shares'!$C:$FB,65)*100</f>
        <v>38.92</v>
      </c>
    </row>
    <row r="173" spans="1:15" x14ac:dyDescent="0.25">
      <c r="A173" s="101" t="str">
        <f>'Data Vlaue (Cr)'!C168</f>
        <v>RBLBANK</v>
      </c>
      <c r="B173" s="50">
        <f>VLOOKUP($A173,'Data shares'!$C:$FB,7)</f>
        <v>299.8</v>
      </c>
      <c r="C173" s="50">
        <f>VLOOKUP($A173,'Data shares'!$C:$FB,10)*100</f>
        <v>0.71000000000000008</v>
      </c>
      <c r="D173" s="49">
        <f>VLOOKUP($A173,'Data shares'!$C:$FB,66)</f>
        <v>49726850</v>
      </c>
      <c r="E173" s="49">
        <f>VLOOKUP($A173,'Data shares'!$C:$FB,67)</f>
        <v>61394975</v>
      </c>
      <c r="F173" s="50">
        <f>VLOOKUP($A173,'Data shares'!$C:$FB,69)*100</f>
        <v>-19.009999999999998</v>
      </c>
      <c r="G173" s="49">
        <f>VLOOKUP($A173,'Data shares'!$C:$FB,42)</f>
        <v>12506325</v>
      </c>
      <c r="H173" s="49">
        <f>VLOOKUP($A173,'Data shares'!$C:$FB,43)</f>
        <v>13776325</v>
      </c>
      <c r="I173" s="50">
        <f>VLOOKUP($A173,'Data shares'!$C:$FB,45)*100</f>
        <v>-9.2200000000000006</v>
      </c>
      <c r="J173" s="49">
        <f>VLOOKUP($A173,'Data shares'!$C:$FB,58)</f>
        <v>22310725</v>
      </c>
      <c r="K173" s="49">
        <f>VLOOKUP($A173,'Data shares'!$C:$FB,59)</f>
        <v>25488900</v>
      </c>
      <c r="L173" s="50">
        <f>VLOOKUP($A173,'Data shares'!$C:$FB,61)*100</f>
        <v>-12.47</v>
      </c>
      <c r="M173" s="49">
        <f>VLOOKUP($A173,'Data shares'!$C:$FB,62)</f>
        <v>14909800</v>
      </c>
      <c r="N173" s="49">
        <f>VLOOKUP($A173,'Data shares'!$C:$FB,63)</f>
        <v>22129750</v>
      </c>
      <c r="O173" s="140">
        <f>VLOOKUP($A173,'Data shares'!$C:$FB,65)*100</f>
        <v>-32.629999999999995</v>
      </c>
    </row>
    <row r="174" spans="1:15" x14ac:dyDescent="0.25">
      <c r="A174" s="101" t="str">
        <f>'Data Vlaue (Cr)'!C169</f>
        <v>RECLTD</v>
      </c>
      <c r="B174" s="50">
        <f>VLOOKUP($A174,'Data shares'!$C:$FB,7)</f>
        <v>343.5</v>
      </c>
      <c r="C174" s="50">
        <f>VLOOKUP($A174,'Data shares'!$C:$FB,10)*100</f>
        <v>3.1399999999999997</v>
      </c>
      <c r="D174" s="49">
        <f>VLOOKUP($A174,'Data shares'!$C:$FB,66)</f>
        <v>83378400</v>
      </c>
      <c r="E174" s="49">
        <f>VLOOKUP($A174,'Data shares'!$C:$FB,67)</f>
        <v>35476000</v>
      </c>
      <c r="F174" s="50">
        <f>VLOOKUP($A174,'Data shares'!$C:$FB,69)*100</f>
        <v>135.03</v>
      </c>
      <c r="G174" s="49">
        <f>VLOOKUP($A174,'Data shares'!$C:$FB,42)</f>
        <v>16697800</v>
      </c>
      <c r="H174" s="49">
        <f>VLOOKUP($A174,'Data shares'!$C:$FB,43)</f>
        <v>8608600</v>
      </c>
      <c r="I174" s="50">
        <f>VLOOKUP($A174,'Data shares'!$C:$FB,45)*100</f>
        <v>93.97</v>
      </c>
      <c r="J174" s="49">
        <f>VLOOKUP($A174,'Data shares'!$C:$FB,58)</f>
        <v>46468800</v>
      </c>
      <c r="K174" s="49">
        <f>VLOOKUP($A174,'Data shares'!$C:$FB,59)</f>
        <v>17780000</v>
      </c>
      <c r="L174" s="50">
        <f>VLOOKUP($A174,'Data shares'!$C:$FB,61)*100</f>
        <v>161.35</v>
      </c>
      <c r="M174" s="49">
        <f>VLOOKUP($A174,'Data shares'!$C:$FB,62)</f>
        <v>20211800</v>
      </c>
      <c r="N174" s="49">
        <f>VLOOKUP($A174,'Data shares'!$C:$FB,63)</f>
        <v>9087400</v>
      </c>
      <c r="O174" s="140">
        <f>VLOOKUP($A174,'Data shares'!$C:$FB,65)*100</f>
        <v>122.42</v>
      </c>
    </row>
    <row r="175" spans="1:15" x14ac:dyDescent="0.25">
      <c r="A175" s="101" t="str">
        <f>'Data Vlaue (Cr)'!C170</f>
        <v>RELIANCE</v>
      </c>
      <c r="B175" s="50">
        <f>VLOOKUP($A175,'Data shares'!$C:$FB,7)</f>
        <v>1392.2</v>
      </c>
      <c r="C175" s="50">
        <f>VLOOKUP($A175,'Data shares'!$C:$FB,10)*100</f>
        <v>0.13999999999999999</v>
      </c>
      <c r="D175" s="49">
        <f>VLOOKUP($A175,'Data shares'!$C:$FB,66)</f>
        <v>235048500</v>
      </c>
      <c r="E175" s="49">
        <f>VLOOKUP($A175,'Data shares'!$C:$FB,67)</f>
        <v>328499500</v>
      </c>
      <c r="F175" s="50">
        <f>VLOOKUP($A175,'Data shares'!$C:$FB,69)*100</f>
        <v>-28.449999999999996</v>
      </c>
      <c r="G175" s="49">
        <f>VLOOKUP($A175,'Data shares'!$C:$FB,42)</f>
        <v>19688000</v>
      </c>
      <c r="H175" s="49">
        <f>VLOOKUP($A175,'Data shares'!$C:$FB,43)</f>
        <v>27156000</v>
      </c>
      <c r="I175" s="50">
        <f>VLOOKUP($A175,'Data shares'!$C:$FB,45)*100</f>
        <v>-27.500000000000004</v>
      </c>
      <c r="J175" s="49">
        <f>VLOOKUP($A175,'Data shares'!$C:$FB,58)</f>
        <v>144130000</v>
      </c>
      <c r="K175" s="49">
        <f>VLOOKUP($A175,'Data shares'!$C:$FB,59)</f>
        <v>214138500</v>
      </c>
      <c r="L175" s="50">
        <f>VLOOKUP($A175,'Data shares'!$C:$FB,61)*100</f>
        <v>-32.690000000000005</v>
      </c>
      <c r="M175" s="49">
        <f>VLOOKUP($A175,'Data shares'!$C:$FB,62)</f>
        <v>71230500</v>
      </c>
      <c r="N175" s="49">
        <f>VLOOKUP($A175,'Data shares'!$C:$FB,63)</f>
        <v>87205000</v>
      </c>
      <c r="O175" s="140">
        <f>VLOOKUP($A175,'Data shares'!$C:$FB,65)*100</f>
        <v>-18.32</v>
      </c>
    </row>
    <row r="176" spans="1:15" x14ac:dyDescent="0.25">
      <c r="A176" s="101" t="str">
        <f>'Data Vlaue (Cr)'!C171</f>
        <v>RVNL</v>
      </c>
      <c r="B176" s="50">
        <f>VLOOKUP($A176,'Data shares'!$C:$FB,7)</f>
        <v>279.60000000000002</v>
      </c>
      <c r="C176" s="50">
        <f>VLOOKUP($A176,'Data shares'!$C:$FB,10)*100</f>
        <v>0.86999999999999988</v>
      </c>
      <c r="D176" s="49">
        <f>VLOOKUP($A176,'Data shares'!$C:$FB,66)</f>
        <v>43296275</v>
      </c>
      <c r="E176" s="49">
        <f>VLOOKUP($A176,'Data shares'!$C:$FB,67)</f>
        <v>32182075</v>
      </c>
      <c r="F176" s="50">
        <f>VLOOKUP($A176,'Data shares'!$C:$FB,69)*100</f>
        <v>34.54</v>
      </c>
      <c r="G176" s="49">
        <f>VLOOKUP($A176,'Data shares'!$C:$FB,42)</f>
        <v>10351700</v>
      </c>
      <c r="H176" s="49">
        <f>VLOOKUP($A176,'Data shares'!$C:$FB,43)</f>
        <v>7384050</v>
      </c>
      <c r="I176" s="50">
        <f>VLOOKUP($A176,'Data shares'!$C:$FB,45)*100</f>
        <v>40.19</v>
      </c>
      <c r="J176" s="49">
        <f>VLOOKUP($A176,'Data shares'!$C:$FB,58)</f>
        <v>23660375</v>
      </c>
      <c r="K176" s="49">
        <f>VLOOKUP($A176,'Data shares'!$C:$FB,59)</f>
        <v>18182575</v>
      </c>
      <c r="L176" s="50">
        <f>VLOOKUP($A176,'Data shares'!$C:$FB,61)*100</f>
        <v>30.130000000000003</v>
      </c>
      <c r="M176" s="49">
        <f>VLOOKUP($A176,'Data shares'!$C:$FB,62)</f>
        <v>9284200</v>
      </c>
      <c r="N176" s="49">
        <f>VLOOKUP($A176,'Data shares'!$C:$FB,63)</f>
        <v>6615450</v>
      </c>
      <c r="O176" s="140">
        <f>VLOOKUP($A176,'Data shares'!$C:$FB,65)*100</f>
        <v>40.339999999999996</v>
      </c>
    </row>
    <row r="177" spans="1:15" x14ac:dyDescent="0.25">
      <c r="A177" s="101" t="str">
        <f>'Data Vlaue (Cr)'!C172</f>
        <v>SAIL</v>
      </c>
      <c r="B177" s="50">
        <f>VLOOKUP($A177,'Data shares'!$C:$FB,7)</f>
        <v>153.65</v>
      </c>
      <c r="C177" s="50">
        <f>VLOOKUP($A177,'Data shares'!$C:$FB,10)*100</f>
        <v>-0.15</v>
      </c>
      <c r="D177" s="49">
        <f>VLOOKUP($A177,'Data shares'!$C:$FB,66)</f>
        <v>2049200</v>
      </c>
      <c r="E177" s="49">
        <f>VLOOKUP($A177,'Data shares'!$C:$FB,67)</f>
        <v>2378200</v>
      </c>
      <c r="F177" s="50">
        <f>VLOOKUP($A177,'Data shares'!$C:$FB,69)*100</f>
        <v>-13.83</v>
      </c>
      <c r="G177" s="49">
        <f>VLOOKUP($A177,'Data shares'!$C:$FB,42)</f>
        <v>1645000</v>
      </c>
      <c r="H177" s="49">
        <f>VLOOKUP($A177,'Data shares'!$C:$FB,43)</f>
        <v>1959900</v>
      </c>
      <c r="I177" s="50">
        <f>VLOOKUP($A177,'Data shares'!$C:$FB,45)*100</f>
        <v>-16.07</v>
      </c>
      <c r="J177" s="49">
        <f>VLOOKUP($A177,'Data shares'!$C:$FB,58)</f>
        <v>159800</v>
      </c>
      <c r="K177" s="49">
        <f>VLOOKUP($A177,'Data shares'!$C:$FB,59)</f>
        <v>272600</v>
      </c>
      <c r="L177" s="50">
        <f>VLOOKUP($A177,'Data shares'!$C:$FB,61)*100</f>
        <v>-41.38</v>
      </c>
      <c r="M177" s="49">
        <f>VLOOKUP($A177,'Data shares'!$C:$FB,62)</f>
        <v>244400</v>
      </c>
      <c r="N177" s="49">
        <f>VLOOKUP($A177,'Data shares'!$C:$FB,63)</f>
        <v>145700</v>
      </c>
      <c r="O177" s="140">
        <f>VLOOKUP($A177,'Data shares'!$C:$FB,65)*100</f>
        <v>67.739999999999995</v>
      </c>
    </row>
    <row r="178" spans="1:15" x14ac:dyDescent="0.25">
      <c r="A178" s="101" t="str">
        <f>'Data Vlaue (Cr)'!C173</f>
        <v>SAMMAANCAP</v>
      </c>
      <c r="B178" s="50">
        <f>VLOOKUP($A178,'Data shares'!$C:$FB,7)</f>
        <v>142.41999999999999</v>
      </c>
      <c r="C178" s="50">
        <f>VLOOKUP($A178,'Data shares'!$C:$FB,10)*100</f>
        <v>-2.2599999999999998</v>
      </c>
      <c r="D178" s="49">
        <f>VLOOKUP($A178,'Data shares'!$C:$FB,66)</f>
        <v>804100</v>
      </c>
      <c r="E178" s="49">
        <f>VLOOKUP($A178,'Data shares'!$C:$FB,67)</f>
        <v>537500</v>
      </c>
      <c r="F178" s="50">
        <f>VLOOKUP($A178,'Data shares'!$C:$FB,69)*100</f>
        <v>49.6</v>
      </c>
      <c r="G178" s="49">
        <f>VLOOKUP($A178,'Data shares'!$C:$FB,42)</f>
        <v>692300</v>
      </c>
      <c r="H178" s="49">
        <f>VLOOKUP($A178,'Data shares'!$C:$FB,43)</f>
        <v>503100</v>
      </c>
      <c r="I178" s="50">
        <f>VLOOKUP($A178,'Data shares'!$C:$FB,45)*100</f>
        <v>37.61</v>
      </c>
      <c r="J178" s="49">
        <f>VLOOKUP($A178,'Data shares'!$C:$FB,58)</f>
        <v>103200</v>
      </c>
      <c r="K178" s="49">
        <f>VLOOKUP($A178,'Data shares'!$C:$FB,59)</f>
        <v>21500</v>
      </c>
      <c r="L178" s="50">
        <f>VLOOKUP($A178,'Data shares'!$C:$FB,61)*100</f>
        <v>380</v>
      </c>
      <c r="M178" s="49">
        <f>VLOOKUP($A178,'Data shares'!$C:$FB,62)</f>
        <v>8600</v>
      </c>
      <c r="N178" s="49">
        <f>VLOOKUP($A178,'Data shares'!$C:$FB,63)</f>
        <v>12900</v>
      </c>
      <c r="O178" s="140">
        <f>VLOOKUP($A178,'Data shares'!$C:$FB,65)*100</f>
        <v>-33.33</v>
      </c>
    </row>
    <row r="179" spans="1:15" x14ac:dyDescent="0.25">
      <c r="A179" s="101" t="str">
        <f>'Data Vlaue (Cr)'!C174</f>
        <v>SBICARD</v>
      </c>
      <c r="B179" s="50">
        <f>VLOOKUP($A179,'Data shares'!$C:$FB,7)</f>
        <v>710.25</v>
      </c>
      <c r="C179" s="50">
        <f>VLOOKUP($A179,'Data shares'!$C:$FB,10)*100</f>
        <v>-0.66</v>
      </c>
      <c r="D179" s="49">
        <f>VLOOKUP($A179,'Data shares'!$C:$FB,66)</f>
        <v>8013600</v>
      </c>
      <c r="E179" s="49">
        <f>VLOOKUP($A179,'Data shares'!$C:$FB,67)</f>
        <v>8737600</v>
      </c>
      <c r="F179" s="50">
        <f>VLOOKUP($A179,'Data shares'!$C:$FB,69)*100</f>
        <v>-8.2900000000000009</v>
      </c>
      <c r="G179" s="49">
        <f>VLOOKUP($A179,'Data shares'!$C:$FB,42)</f>
        <v>3326400</v>
      </c>
      <c r="H179" s="49">
        <f>VLOOKUP($A179,'Data shares'!$C:$FB,43)</f>
        <v>3312800</v>
      </c>
      <c r="I179" s="50">
        <f>VLOOKUP($A179,'Data shares'!$C:$FB,45)*100</f>
        <v>0.41000000000000003</v>
      </c>
      <c r="J179" s="49">
        <f>VLOOKUP($A179,'Data shares'!$C:$FB,58)</f>
        <v>3204000</v>
      </c>
      <c r="K179" s="49">
        <f>VLOOKUP($A179,'Data shares'!$C:$FB,59)</f>
        <v>3676800</v>
      </c>
      <c r="L179" s="50">
        <f>VLOOKUP($A179,'Data shares'!$C:$FB,61)*100</f>
        <v>-12.86</v>
      </c>
      <c r="M179" s="49">
        <f>VLOOKUP($A179,'Data shares'!$C:$FB,62)</f>
        <v>1483200</v>
      </c>
      <c r="N179" s="49">
        <f>VLOOKUP($A179,'Data shares'!$C:$FB,63)</f>
        <v>1748000</v>
      </c>
      <c r="O179" s="140">
        <f>VLOOKUP($A179,'Data shares'!$C:$FB,65)*100</f>
        <v>-15.15</v>
      </c>
    </row>
    <row r="180" spans="1:15" x14ac:dyDescent="0.25">
      <c r="A180" s="101" t="str">
        <f>'Data Vlaue (Cr)'!C175</f>
        <v>SBILIFE</v>
      </c>
      <c r="B180" s="50">
        <f>VLOOKUP($A180,'Data shares'!$C:$FB,7)</f>
        <v>1939.4</v>
      </c>
      <c r="C180" s="50">
        <f>VLOOKUP($A180,'Data shares'!$C:$FB,10)*100</f>
        <v>0.04</v>
      </c>
      <c r="D180" s="49">
        <f>VLOOKUP($A180,'Data shares'!$C:$FB,66)</f>
        <v>3582750</v>
      </c>
      <c r="E180" s="49">
        <f>VLOOKUP($A180,'Data shares'!$C:$FB,67)</f>
        <v>5625000</v>
      </c>
      <c r="F180" s="50">
        <f>VLOOKUP($A180,'Data shares'!$C:$FB,69)*100</f>
        <v>-36.309999999999995</v>
      </c>
      <c r="G180" s="49">
        <f>VLOOKUP($A180,'Data shares'!$C:$FB,42)</f>
        <v>945000</v>
      </c>
      <c r="H180" s="49">
        <f>VLOOKUP($A180,'Data shares'!$C:$FB,43)</f>
        <v>1054500</v>
      </c>
      <c r="I180" s="50">
        <f>VLOOKUP($A180,'Data shares'!$C:$FB,45)*100</f>
        <v>-10.38</v>
      </c>
      <c r="J180" s="49">
        <f>VLOOKUP($A180,'Data shares'!$C:$FB,58)</f>
        <v>1770000</v>
      </c>
      <c r="K180" s="49">
        <f>VLOOKUP($A180,'Data shares'!$C:$FB,59)</f>
        <v>2890875</v>
      </c>
      <c r="L180" s="50">
        <f>VLOOKUP($A180,'Data shares'!$C:$FB,61)*100</f>
        <v>-38.769999999999996</v>
      </c>
      <c r="M180" s="49">
        <f>VLOOKUP($A180,'Data shares'!$C:$FB,62)</f>
        <v>867750</v>
      </c>
      <c r="N180" s="49">
        <f>VLOOKUP($A180,'Data shares'!$C:$FB,63)</f>
        <v>1679625</v>
      </c>
      <c r="O180" s="140">
        <f>VLOOKUP($A180,'Data shares'!$C:$FB,65)*100</f>
        <v>-48.339999999999996</v>
      </c>
    </row>
    <row r="181" spans="1:15" x14ac:dyDescent="0.25">
      <c r="A181" s="101" t="str">
        <f>'Data Vlaue (Cr)'!C176</f>
        <v>SBIN</v>
      </c>
      <c r="B181" s="50">
        <f>VLOOKUP($A181,'Data shares'!$C:$FB,7)</f>
        <v>1085.2</v>
      </c>
      <c r="C181" s="50">
        <f>VLOOKUP($A181,'Data shares'!$C:$FB,10)*100</f>
        <v>-0.54</v>
      </c>
      <c r="D181" s="49">
        <f>VLOOKUP($A181,'Data shares'!$C:$FB,66)</f>
        <v>141850500</v>
      </c>
      <c r="E181" s="49">
        <f>VLOOKUP($A181,'Data shares'!$C:$FB,67)</f>
        <v>116461500</v>
      </c>
      <c r="F181" s="50">
        <f>VLOOKUP($A181,'Data shares'!$C:$FB,69)*100</f>
        <v>21.8</v>
      </c>
      <c r="G181" s="49">
        <f>VLOOKUP($A181,'Data shares'!$C:$FB,42)</f>
        <v>17421000</v>
      </c>
      <c r="H181" s="49">
        <f>VLOOKUP($A181,'Data shares'!$C:$FB,43)</f>
        <v>12398250</v>
      </c>
      <c r="I181" s="50">
        <f>VLOOKUP($A181,'Data shares'!$C:$FB,45)*100</f>
        <v>40.510000000000005</v>
      </c>
      <c r="J181" s="49">
        <f>VLOOKUP($A181,'Data shares'!$C:$FB,58)</f>
        <v>73656750</v>
      </c>
      <c r="K181" s="49">
        <f>VLOOKUP($A181,'Data shares'!$C:$FB,59)</f>
        <v>55961250</v>
      </c>
      <c r="L181" s="50">
        <f>VLOOKUP($A181,'Data shares'!$C:$FB,61)*100</f>
        <v>31.619999999999997</v>
      </c>
      <c r="M181" s="49">
        <f>VLOOKUP($A181,'Data shares'!$C:$FB,62)</f>
        <v>50772750</v>
      </c>
      <c r="N181" s="49">
        <f>VLOOKUP($A181,'Data shares'!$C:$FB,63)</f>
        <v>48102000</v>
      </c>
      <c r="O181" s="140">
        <f>VLOOKUP($A181,'Data shares'!$C:$FB,65)*100</f>
        <v>5.55</v>
      </c>
    </row>
    <row r="182" spans="1:15" x14ac:dyDescent="0.25">
      <c r="A182" s="101" t="str">
        <f>'Data Vlaue (Cr)'!C177</f>
        <v>SHREECEM</v>
      </c>
      <c r="B182" s="50">
        <f>VLOOKUP($A182,'Data shares'!$C:$FB,7)</f>
        <v>23500</v>
      </c>
      <c r="C182" s="50">
        <f>VLOOKUP($A182,'Data shares'!$C:$FB,10)*100</f>
        <v>-1.01</v>
      </c>
      <c r="D182" s="49">
        <f>VLOOKUP($A182,'Data shares'!$C:$FB,66)</f>
        <v>106750</v>
      </c>
      <c r="E182" s="49">
        <f>VLOOKUP($A182,'Data shares'!$C:$FB,67)</f>
        <v>131575</v>
      </c>
      <c r="F182" s="50">
        <f>VLOOKUP($A182,'Data shares'!$C:$FB,69)*100</f>
        <v>-18.87</v>
      </c>
      <c r="G182" s="49">
        <f>VLOOKUP($A182,'Data shares'!$C:$FB,42)</f>
        <v>57200</v>
      </c>
      <c r="H182" s="49">
        <f>VLOOKUP($A182,'Data shares'!$C:$FB,43)</f>
        <v>65750</v>
      </c>
      <c r="I182" s="50">
        <f>VLOOKUP($A182,'Data shares'!$C:$FB,45)*100</f>
        <v>-13</v>
      </c>
      <c r="J182" s="49">
        <f>VLOOKUP($A182,'Data shares'!$C:$FB,58)</f>
        <v>28050</v>
      </c>
      <c r="K182" s="49">
        <f>VLOOKUP($A182,'Data shares'!$C:$FB,59)</f>
        <v>30475</v>
      </c>
      <c r="L182" s="50">
        <f>VLOOKUP($A182,'Data shares'!$C:$FB,61)*100</f>
        <v>-7.9600000000000009</v>
      </c>
      <c r="M182" s="49">
        <f>VLOOKUP($A182,'Data shares'!$C:$FB,62)</f>
        <v>21500</v>
      </c>
      <c r="N182" s="49">
        <f>VLOOKUP($A182,'Data shares'!$C:$FB,63)</f>
        <v>35350</v>
      </c>
      <c r="O182" s="140">
        <f>VLOOKUP($A182,'Data shares'!$C:$FB,65)*100</f>
        <v>-39.18</v>
      </c>
    </row>
    <row r="183" spans="1:15" x14ac:dyDescent="0.25">
      <c r="A183" s="101" t="str">
        <f>'Data Vlaue (Cr)'!C178</f>
        <v>SHRIRAMFIN</v>
      </c>
      <c r="B183" s="50">
        <f>VLOOKUP($A183,'Data shares'!$C:$FB,7)</f>
        <v>1031.7</v>
      </c>
      <c r="C183" s="50">
        <f>VLOOKUP($A183,'Data shares'!$C:$FB,10)*100</f>
        <v>0</v>
      </c>
      <c r="D183" s="49">
        <f>VLOOKUP($A183,'Data shares'!$C:$FB,66)</f>
        <v>42597225</v>
      </c>
      <c r="E183" s="49">
        <f>VLOOKUP($A183,'Data shares'!$C:$FB,67)</f>
        <v>52531875</v>
      </c>
      <c r="F183" s="50">
        <f>VLOOKUP($A183,'Data shares'!$C:$FB,69)*100</f>
        <v>-18.91</v>
      </c>
      <c r="G183" s="49">
        <f>VLOOKUP($A183,'Data shares'!$C:$FB,42)</f>
        <v>8621250</v>
      </c>
      <c r="H183" s="49">
        <f>VLOOKUP($A183,'Data shares'!$C:$FB,43)</f>
        <v>9836475</v>
      </c>
      <c r="I183" s="50">
        <f>VLOOKUP($A183,'Data shares'!$C:$FB,45)*100</f>
        <v>-12.35</v>
      </c>
      <c r="J183" s="49">
        <f>VLOOKUP($A183,'Data shares'!$C:$FB,58)</f>
        <v>20253750</v>
      </c>
      <c r="K183" s="49">
        <f>VLOOKUP($A183,'Data shares'!$C:$FB,59)</f>
        <v>23774850</v>
      </c>
      <c r="L183" s="50">
        <f>VLOOKUP($A183,'Data shares'!$C:$FB,61)*100</f>
        <v>-14.81</v>
      </c>
      <c r="M183" s="49">
        <f>VLOOKUP($A183,'Data shares'!$C:$FB,62)</f>
        <v>13722225</v>
      </c>
      <c r="N183" s="49">
        <f>VLOOKUP($A183,'Data shares'!$C:$FB,63)</f>
        <v>18920550</v>
      </c>
      <c r="O183" s="140">
        <f>VLOOKUP($A183,'Data shares'!$C:$FB,65)*100</f>
        <v>-27.47</v>
      </c>
    </row>
    <row r="184" spans="1:15" x14ac:dyDescent="0.25">
      <c r="A184" s="101" t="str">
        <f>'Data Vlaue (Cr)'!C179</f>
        <v>SIEMENS</v>
      </c>
      <c r="B184" s="50">
        <f>VLOOKUP($A184,'Data shares'!$C:$FB,7)</f>
        <v>3324.7</v>
      </c>
      <c r="C184" s="50">
        <f>VLOOKUP($A184,'Data shares'!$C:$FB,10)*100</f>
        <v>1.6</v>
      </c>
      <c r="D184" s="49">
        <f>VLOOKUP($A184,'Data shares'!$C:$FB,66)</f>
        <v>5187175</v>
      </c>
      <c r="E184" s="49">
        <f>VLOOKUP($A184,'Data shares'!$C:$FB,67)</f>
        <v>4311650</v>
      </c>
      <c r="F184" s="50">
        <f>VLOOKUP($A184,'Data shares'!$C:$FB,69)*100</f>
        <v>20.309999999999999</v>
      </c>
      <c r="G184" s="49">
        <f>VLOOKUP($A184,'Data shares'!$C:$FB,42)</f>
        <v>585550</v>
      </c>
      <c r="H184" s="49">
        <f>VLOOKUP($A184,'Data shares'!$C:$FB,43)</f>
        <v>494550</v>
      </c>
      <c r="I184" s="50">
        <f>VLOOKUP($A184,'Data shares'!$C:$FB,45)*100</f>
        <v>18.399999999999999</v>
      </c>
      <c r="J184" s="49">
        <f>VLOOKUP($A184,'Data shares'!$C:$FB,58)</f>
        <v>3477425</v>
      </c>
      <c r="K184" s="49">
        <f>VLOOKUP($A184,'Data shares'!$C:$FB,59)</f>
        <v>2730525</v>
      </c>
      <c r="L184" s="50">
        <f>VLOOKUP($A184,'Data shares'!$C:$FB,61)*100</f>
        <v>27.35</v>
      </c>
      <c r="M184" s="49">
        <f>VLOOKUP($A184,'Data shares'!$C:$FB,62)</f>
        <v>1124200</v>
      </c>
      <c r="N184" s="49">
        <f>VLOOKUP($A184,'Data shares'!$C:$FB,63)</f>
        <v>1086575</v>
      </c>
      <c r="O184" s="140">
        <f>VLOOKUP($A184,'Data shares'!$C:$FB,65)*100</f>
        <v>3.46</v>
      </c>
    </row>
    <row r="185" spans="1:15" x14ac:dyDescent="0.25">
      <c r="A185" s="101" t="str">
        <f>'Data Vlaue (Cr)'!C180</f>
        <v>SOLARINDS</v>
      </c>
      <c r="B185" s="50">
        <f>VLOOKUP($A185,'Data shares'!$C:$FB,7)</f>
        <v>14525</v>
      </c>
      <c r="C185" s="50">
        <f>VLOOKUP($A185,'Data shares'!$C:$FB,10)*100</f>
        <v>6.9999999999999993E-2</v>
      </c>
      <c r="D185" s="49">
        <f>VLOOKUP($A185,'Data shares'!$C:$FB,66)</f>
        <v>683750</v>
      </c>
      <c r="E185" s="49">
        <f>VLOOKUP($A185,'Data shares'!$C:$FB,67)</f>
        <v>1020950</v>
      </c>
      <c r="F185" s="50">
        <f>VLOOKUP($A185,'Data shares'!$C:$FB,69)*100</f>
        <v>-33.03</v>
      </c>
      <c r="G185" s="49">
        <f>VLOOKUP($A185,'Data shares'!$C:$FB,42)</f>
        <v>134600</v>
      </c>
      <c r="H185" s="49">
        <f>VLOOKUP($A185,'Data shares'!$C:$FB,43)</f>
        <v>182400</v>
      </c>
      <c r="I185" s="50">
        <f>VLOOKUP($A185,'Data shares'!$C:$FB,45)*100</f>
        <v>-26.21</v>
      </c>
      <c r="J185" s="49">
        <f>VLOOKUP($A185,'Data shares'!$C:$FB,58)</f>
        <v>386800</v>
      </c>
      <c r="K185" s="49">
        <f>VLOOKUP($A185,'Data shares'!$C:$FB,59)</f>
        <v>449700</v>
      </c>
      <c r="L185" s="50">
        <f>VLOOKUP($A185,'Data shares'!$C:$FB,61)*100</f>
        <v>-13.99</v>
      </c>
      <c r="M185" s="49">
        <f>VLOOKUP($A185,'Data shares'!$C:$FB,62)</f>
        <v>162350</v>
      </c>
      <c r="N185" s="49">
        <f>VLOOKUP($A185,'Data shares'!$C:$FB,63)</f>
        <v>388850</v>
      </c>
      <c r="O185" s="140">
        <f>VLOOKUP($A185,'Data shares'!$C:$FB,65)*100</f>
        <v>-58.25</v>
      </c>
    </row>
    <row r="186" spans="1:15" x14ac:dyDescent="0.25">
      <c r="A186" s="101" t="str">
        <f>'Data Vlaue (Cr)'!C181</f>
        <v>SONACOMS</v>
      </c>
      <c r="B186" s="50">
        <f>VLOOKUP($A186,'Data shares'!$C:$FB,7)</f>
        <v>510.3</v>
      </c>
      <c r="C186" s="50">
        <f>VLOOKUP($A186,'Data shares'!$C:$FB,10)*100</f>
        <v>-1.17</v>
      </c>
      <c r="D186" s="49">
        <f>VLOOKUP($A186,'Data shares'!$C:$FB,66)</f>
        <v>8100925</v>
      </c>
      <c r="E186" s="49">
        <f>VLOOKUP($A186,'Data shares'!$C:$FB,67)</f>
        <v>32872875</v>
      </c>
      <c r="F186" s="50">
        <f>VLOOKUP($A186,'Data shares'!$C:$FB,69)*100</f>
        <v>-75.36</v>
      </c>
      <c r="G186" s="49">
        <f>VLOOKUP($A186,'Data shares'!$C:$FB,42)</f>
        <v>1925700</v>
      </c>
      <c r="H186" s="49">
        <f>VLOOKUP($A186,'Data shares'!$C:$FB,43)</f>
        <v>4650100</v>
      </c>
      <c r="I186" s="50">
        <f>VLOOKUP($A186,'Data shares'!$C:$FB,45)*100</f>
        <v>-58.589999999999996</v>
      </c>
      <c r="J186" s="49">
        <f>VLOOKUP($A186,'Data shares'!$C:$FB,58)</f>
        <v>3700725</v>
      </c>
      <c r="K186" s="49">
        <f>VLOOKUP($A186,'Data shares'!$C:$FB,59)</f>
        <v>22781325</v>
      </c>
      <c r="L186" s="50">
        <f>VLOOKUP($A186,'Data shares'!$C:$FB,61)*100</f>
        <v>-83.76</v>
      </c>
      <c r="M186" s="49">
        <f>VLOOKUP($A186,'Data shares'!$C:$FB,62)</f>
        <v>2474500</v>
      </c>
      <c r="N186" s="49">
        <f>VLOOKUP($A186,'Data shares'!$C:$FB,63)</f>
        <v>5441450</v>
      </c>
      <c r="O186" s="140">
        <f>VLOOKUP($A186,'Data shares'!$C:$FB,65)*100</f>
        <v>-54.52</v>
      </c>
    </row>
    <row r="187" spans="1:15" x14ac:dyDescent="0.25">
      <c r="A187" s="101" t="str">
        <f>'Data Vlaue (Cr)'!C182</f>
        <v>SRF</v>
      </c>
      <c r="B187" s="50">
        <f>VLOOKUP($A187,'Data shares'!$C:$FB,7)</f>
        <v>2626.3</v>
      </c>
      <c r="C187" s="50">
        <f>VLOOKUP($A187,'Data shares'!$C:$FB,10)*100</f>
        <v>5.53</v>
      </c>
      <c r="D187" s="49">
        <f>VLOOKUP($A187,'Data shares'!$C:$FB,66)</f>
        <v>12516400</v>
      </c>
      <c r="E187" s="49">
        <f>VLOOKUP($A187,'Data shares'!$C:$FB,67)</f>
        <v>5070800</v>
      </c>
      <c r="F187" s="50">
        <f>VLOOKUP($A187,'Data shares'!$C:$FB,69)*100</f>
        <v>146.82999999999998</v>
      </c>
      <c r="G187" s="49">
        <f>VLOOKUP($A187,'Data shares'!$C:$FB,42)</f>
        <v>1753400</v>
      </c>
      <c r="H187" s="49">
        <f>VLOOKUP($A187,'Data shares'!$C:$FB,43)</f>
        <v>1126400</v>
      </c>
      <c r="I187" s="50">
        <f>VLOOKUP($A187,'Data shares'!$C:$FB,45)*100</f>
        <v>55.66</v>
      </c>
      <c r="J187" s="49">
        <f>VLOOKUP($A187,'Data shares'!$C:$FB,58)</f>
        <v>7313400</v>
      </c>
      <c r="K187" s="49">
        <f>VLOOKUP($A187,'Data shares'!$C:$FB,59)</f>
        <v>1648000</v>
      </c>
      <c r="L187" s="50">
        <f>VLOOKUP($A187,'Data shares'!$C:$FB,61)*100</f>
        <v>343.77</v>
      </c>
      <c r="M187" s="49">
        <f>VLOOKUP($A187,'Data shares'!$C:$FB,62)</f>
        <v>3449600</v>
      </c>
      <c r="N187" s="49">
        <f>VLOOKUP($A187,'Data shares'!$C:$FB,63)</f>
        <v>2296400</v>
      </c>
      <c r="O187" s="140">
        <f>VLOOKUP($A187,'Data shares'!$C:$FB,65)*100</f>
        <v>50.22</v>
      </c>
    </row>
    <row r="188" spans="1:15" x14ac:dyDescent="0.25">
      <c r="A188" s="101" t="str">
        <f>'Data Vlaue (Cr)'!C183</f>
        <v>SUNPHARMA</v>
      </c>
      <c r="B188" s="50">
        <f>VLOOKUP($A188,'Data shares'!$C:$FB,7)</f>
        <v>1825.3</v>
      </c>
      <c r="C188" s="50">
        <f>VLOOKUP($A188,'Data shares'!$C:$FB,10)*100</f>
        <v>-0.03</v>
      </c>
      <c r="D188" s="49">
        <f>VLOOKUP($A188,'Data shares'!$C:$FB,66)</f>
        <v>19887700</v>
      </c>
      <c r="E188" s="49">
        <f>VLOOKUP($A188,'Data shares'!$C:$FB,67)</f>
        <v>26789350</v>
      </c>
      <c r="F188" s="50">
        <f>VLOOKUP($A188,'Data shares'!$C:$FB,69)*100</f>
        <v>-25.759999999999998</v>
      </c>
      <c r="G188" s="49">
        <f>VLOOKUP($A188,'Data shares'!$C:$FB,42)</f>
        <v>2573550</v>
      </c>
      <c r="H188" s="49">
        <f>VLOOKUP($A188,'Data shares'!$C:$FB,43)</f>
        <v>2910950</v>
      </c>
      <c r="I188" s="50">
        <f>VLOOKUP($A188,'Data shares'!$C:$FB,45)*100</f>
        <v>-11.59</v>
      </c>
      <c r="J188" s="49">
        <f>VLOOKUP($A188,'Data shares'!$C:$FB,58)</f>
        <v>10427200</v>
      </c>
      <c r="K188" s="49">
        <f>VLOOKUP($A188,'Data shares'!$C:$FB,59)</f>
        <v>16137800</v>
      </c>
      <c r="L188" s="50">
        <f>VLOOKUP($A188,'Data shares'!$C:$FB,61)*100</f>
        <v>-35.39</v>
      </c>
      <c r="M188" s="49">
        <f>VLOOKUP($A188,'Data shares'!$C:$FB,62)</f>
        <v>6886950</v>
      </c>
      <c r="N188" s="49">
        <f>VLOOKUP($A188,'Data shares'!$C:$FB,63)</f>
        <v>7740600</v>
      </c>
      <c r="O188" s="140">
        <f>VLOOKUP($A188,'Data shares'!$C:$FB,65)*100</f>
        <v>-11.03</v>
      </c>
    </row>
    <row r="189" spans="1:15" x14ac:dyDescent="0.25">
      <c r="A189" s="101" t="str">
        <f>'Data Vlaue (Cr)'!C184</f>
        <v>SUPREMEIND</v>
      </c>
      <c r="B189" s="50">
        <f>VLOOKUP($A189,'Data shares'!$C:$FB,7)</f>
        <v>4043.7</v>
      </c>
      <c r="C189" s="50">
        <f>VLOOKUP($A189,'Data shares'!$C:$FB,10)*100</f>
        <v>0.13999999999999999</v>
      </c>
      <c r="D189" s="49">
        <f>VLOOKUP($A189,'Data shares'!$C:$FB,66)</f>
        <v>2225125</v>
      </c>
      <c r="E189" s="49">
        <f>VLOOKUP($A189,'Data shares'!$C:$FB,67)</f>
        <v>4628575</v>
      </c>
      <c r="F189" s="50">
        <f>VLOOKUP($A189,'Data shares'!$C:$FB,69)*100</f>
        <v>-51.93</v>
      </c>
      <c r="G189" s="49">
        <f>VLOOKUP($A189,'Data shares'!$C:$FB,42)</f>
        <v>634725</v>
      </c>
      <c r="H189" s="49">
        <f>VLOOKUP($A189,'Data shares'!$C:$FB,43)</f>
        <v>736050</v>
      </c>
      <c r="I189" s="50">
        <f>VLOOKUP($A189,'Data shares'!$C:$FB,45)*100</f>
        <v>-13.77</v>
      </c>
      <c r="J189" s="49">
        <f>VLOOKUP($A189,'Data shares'!$C:$FB,58)</f>
        <v>1134525</v>
      </c>
      <c r="K189" s="49">
        <f>VLOOKUP($A189,'Data shares'!$C:$FB,59)</f>
        <v>3225950</v>
      </c>
      <c r="L189" s="50">
        <f>VLOOKUP($A189,'Data shares'!$C:$FB,61)*100</f>
        <v>-64.83</v>
      </c>
      <c r="M189" s="49">
        <f>VLOOKUP($A189,'Data shares'!$C:$FB,62)</f>
        <v>455875</v>
      </c>
      <c r="N189" s="49">
        <f>VLOOKUP($A189,'Data shares'!$C:$FB,63)</f>
        <v>666575</v>
      </c>
      <c r="O189" s="140">
        <f>VLOOKUP($A189,'Data shares'!$C:$FB,65)*100</f>
        <v>-31.61</v>
      </c>
    </row>
    <row r="190" spans="1:15" x14ac:dyDescent="0.25">
      <c r="A190" s="101" t="str">
        <f>'Data Vlaue (Cr)'!C185</f>
        <v>SUZLON</v>
      </c>
      <c r="B190" s="50">
        <f>VLOOKUP($A190,'Data shares'!$C:$FB,7)</f>
        <v>42.43</v>
      </c>
      <c r="C190" s="50">
        <f>VLOOKUP($A190,'Data shares'!$C:$FB,10)*100</f>
        <v>1.95</v>
      </c>
      <c r="D190" s="49">
        <f>VLOOKUP($A190,'Data shares'!$C:$FB,66)</f>
        <v>454760725</v>
      </c>
      <c r="E190" s="49">
        <f>VLOOKUP($A190,'Data shares'!$C:$FB,67)</f>
        <v>320098700</v>
      </c>
      <c r="F190" s="50">
        <f>VLOOKUP($A190,'Data shares'!$C:$FB,69)*100</f>
        <v>42.07</v>
      </c>
      <c r="G190" s="49">
        <f>VLOOKUP($A190,'Data shares'!$C:$FB,42)</f>
        <v>71739725</v>
      </c>
      <c r="H190" s="49">
        <f>VLOOKUP($A190,'Data shares'!$C:$FB,43)</f>
        <v>61731000</v>
      </c>
      <c r="I190" s="50">
        <f>VLOOKUP($A190,'Data shares'!$C:$FB,45)*100</f>
        <v>16.21</v>
      </c>
      <c r="J190" s="49">
        <f>VLOOKUP($A190,'Data shares'!$C:$FB,58)</f>
        <v>310360725</v>
      </c>
      <c r="K190" s="49">
        <f>VLOOKUP($A190,'Data shares'!$C:$FB,59)</f>
        <v>215625300</v>
      </c>
      <c r="L190" s="50">
        <f>VLOOKUP($A190,'Data shares'!$C:$FB,61)*100</f>
        <v>43.94</v>
      </c>
      <c r="M190" s="49">
        <f>VLOOKUP($A190,'Data shares'!$C:$FB,62)</f>
        <v>72660275</v>
      </c>
      <c r="N190" s="49">
        <f>VLOOKUP($A190,'Data shares'!$C:$FB,63)</f>
        <v>42742400</v>
      </c>
      <c r="O190" s="140">
        <f>VLOOKUP($A190,'Data shares'!$C:$FB,65)*100</f>
        <v>70</v>
      </c>
    </row>
    <row r="191" spans="1:15" x14ac:dyDescent="0.25">
      <c r="A191" s="101" t="str">
        <f>'Data Vlaue (Cr)'!C186</f>
        <v>SWIGGY</v>
      </c>
      <c r="B191" s="50">
        <f>VLOOKUP($A191,'Data shares'!$C:$FB,7)</f>
        <v>280.89999999999998</v>
      </c>
      <c r="C191" s="50">
        <f>VLOOKUP($A191,'Data shares'!$C:$FB,10)*100</f>
        <v>-1.3</v>
      </c>
      <c r="D191" s="49">
        <f>VLOOKUP($A191,'Data shares'!$C:$FB,66)</f>
        <v>42242200</v>
      </c>
      <c r="E191" s="49">
        <f>VLOOKUP($A191,'Data shares'!$C:$FB,67)</f>
        <v>20216300</v>
      </c>
      <c r="F191" s="50">
        <f>VLOOKUP($A191,'Data shares'!$C:$FB,69)*100</f>
        <v>108.94999999999999</v>
      </c>
      <c r="G191" s="49">
        <f>VLOOKUP($A191,'Data shares'!$C:$FB,42)</f>
        <v>14630200</v>
      </c>
      <c r="H191" s="49">
        <f>VLOOKUP($A191,'Data shares'!$C:$FB,43)</f>
        <v>8203000</v>
      </c>
      <c r="I191" s="50">
        <f>VLOOKUP($A191,'Data shares'!$C:$FB,45)*100</f>
        <v>78.349999999999994</v>
      </c>
      <c r="J191" s="49">
        <f>VLOOKUP($A191,'Data shares'!$C:$FB,58)</f>
        <v>9639500</v>
      </c>
      <c r="K191" s="49">
        <f>VLOOKUP($A191,'Data shares'!$C:$FB,59)</f>
        <v>5358600</v>
      </c>
      <c r="L191" s="50">
        <f>VLOOKUP($A191,'Data shares'!$C:$FB,61)*100</f>
        <v>79.89</v>
      </c>
      <c r="M191" s="49">
        <f>VLOOKUP($A191,'Data shares'!$C:$FB,62)</f>
        <v>17972500</v>
      </c>
      <c r="N191" s="49">
        <f>VLOOKUP($A191,'Data shares'!$C:$FB,63)</f>
        <v>6654700</v>
      </c>
      <c r="O191" s="140">
        <f>VLOOKUP($A191,'Data shares'!$C:$FB,65)*100</f>
        <v>170.07000000000002</v>
      </c>
    </row>
    <row r="192" spans="1:15" x14ac:dyDescent="0.25">
      <c r="A192" s="101" t="str">
        <f>'Data Vlaue (Cr)'!C187</f>
        <v>SYNGENE</v>
      </c>
      <c r="B192" s="50">
        <f>VLOOKUP($A192,'Data shares'!$C:$FB,7)</f>
        <v>404.1</v>
      </c>
      <c r="C192" s="50">
        <f>VLOOKUP($A192,'Data shares'!$C:$FB,10)*100</f>
        <v>-0.9900000000000001</v>
      </c>
      <c r="D192" s="49">
        <f>VLOOKUP($A192,'Data shares'!$C:$FB,66)</f>
        <v>6118000</v>
      </c>
      <c r="E192" s="49">
        <f>VLOOKUP($A192,'Data shares'!$C:$FB,67)</f>
        <v>5805000</v>
      </c>
      <c r="F192" s="50">
        <f>VLOOKUP($A192,'Data shares'!$C:$FB,69)*100</f>
        <v>5.3900000000000006</v>
      </c>
      <c r="G192" s="49">
        <f>VLOOKUP($A192,'Data shares'!$C:$FB,42)</f>
        <v>1443000</v>
      </c>
      <c r="H192" s="49">
        <f>VLOOKUP($A192,'Data shares'!$C:$FB,43)</f>
        <v>1292000</v>
      </c>
      <c r="I192" s="50">
        <f>VLOOKUP($A192,'Data shares'!$C:$FB,45)*100</f>
        <v>11.690000000000001</v>
      </c>
      <c r="J192" s="49">
        <f>VLOOKUP($A192,'Data shares'!$C:$FB,58)</f>
        <v>2759000</v>
      </c>
      <c r="K192" s="49">
        <f>VLOOKUP($A192,'Data shares'!$C:$FB,59)</f>
        <v>3570000</v>
      </c>
      <c r="L192" s="50">
        <f>VLOOKUP($A192,'Data shares'!$C:$FB,61)*100</f>
        <v>-22.720000000000002</v>
      </c>
      <c r="M192" s="49">
        <f>VLOOKUP($A192,'Data shares'!$C:$FB,62)</f>
        <v>1916000</v>
      </c>
      <c r="N192" s="49">
        <f>VLOOKUP($A192,'Data shares'!$C:$FB,63)</f>
        <v>943000</v>
      </c>
      <c r="O192" s="140">
        <f>VLOOKUP($A192,'Data shares'!$C:$FB,65)*100</f>
        <v>103.18</v>
      </c>
    </row>
    <row r="193" spans="1:15" x14ac:dyDescent="0.25">
      <c r="A193" s="101" t="str">
        <f>'Data Vlaue (Cr)'!C188</f>
        <v>TATACONSUM</v>
      </c>
      <c r="B193" s="50">
        <f>VLOOKUP($A193,'Data shares'!$C:$FB,7)</f>
        <v>1057.8</v>
      </c>
      <c r="C193" s="50">
        <f>VLOOKUP($A193,'Data shares'!$C:$FB,10)*100</f>
        <v>-1.4500000000000002</v>
      </c>
      <c r="D193" s="49">
        <f>VLOOKUP($A193,'Data shares'!$C:$FB,66)</f>
        <v>4094200</v>
      </c>
      <c r="E193" s="49">
        <f>VLOOKUP($A193,'Data shares'!$C:$FB,67)</f>
        <v>7375500</v>
      </c>
      <c r="F193" s="50">
        <f>VLOOKUP($A193,'Data shares'!$C:$FB,69)*100</f>
        <v>-44.49</v>
      </c>
      <c r="G193" s="49">
        <f>VLOOKUP($A193,'Data shares'!$C:$FB,42)</f>
        <v>1266100</v>
      </c>
      <c r="H193" s="49">
        <f>VLOOKUP($A193,'Data shares'!$C:$FB,43)</f>
        <v>1351350</v>
      </c>
      <c r="I193" s="50">
        <f>VLOOKUP($A193,'Data shares'!$C:$FB,45)*100</f>
        <v>-6.3100000000000005</v>
      </c>
      <c r="J193" s="49">
        <f>VLOOKUP($A193,'Data shares'!$C:$FB,58)</f>
        <v>1507000</v>
      </c>
      <c r="K193" s="49">
        <f>VLOOKUP($A193,'Data shares'!$C:$FB,59)</f>
        <v>2344650</v>
      </c>
      <c r="L193" s="50">
        <f>VLOOKUP($A193,'Data shares'!$C:$FB,61)*100</f>
        <v>-35.730000000000004</v>
      </c>
      <c r="M193" s="49">
        <f>VLOOKUP($A193,'Data shares'!$C:$FB,62)</f>
        <v>1321100</v>
      </c>
      <c r="N193" s="49">
        <f>VLOOKUP($A193,'Data shares'!$C:$FB,63)</f>
        <v>3679500</v>
      </c>
      <c r="O193" s="140">
        <f>VLOOKUP($A193,'Data shares'!$C:$FB,65)*100</f>
        <v>-64.099999999999994</v>
      </c>
    </row>
    <row r="194" spans="1:15" x14ac:dyDescent="0.25">
      <c r="A194" s="101" t="str">
        <f>'Data Vlaue (Cr)'!C189</f>
        <v>TATAELXSI</v>
      </c>
      <c r="B194" s="50">
        <f>VLOOKUP($A194,'Data shares'!$C:$FB,7)</f>
        <v>4330</v>
      </c>
      <c r="C194" s="50">
        <f>VLOOKUP($A194,'Data shares'!$C:$FB,10)*100</f>
        <v>-0.31</v>
      </c>
      <c r="D194" s="49">
        <f>VLOOKUP($A194,'Data shares'!$C:$FB,66)</f>
        <v>2628900</v>
      </c>
      <c r="E194" s="49">
        <f>VLOOKUP($A194,'Data shares'!$C:$FB,67)</f>
        <v>3108100</v>
      </c>
      <c r="F194" s="50">
        <f>VLOOKUP($A194,'Data shares'!$C:$FB,69)*100</f>
        <v>-15.42</v>
      </c>
      <c r="G194" s="49">
        <f>VLOOKUP($A194,'Data shares'!$C:$FB,42)</f>
        <v>364600</v>
      </c>
      <c r="H194" s="49">
        <f>VLOOKUP($A194,'Data shares'!$C:$FB,43)</f>
        <v>432200</v>
      </c>
      <c r="I194" s="50">
        <f>VLOOKUP($A194,'Data shares'!$C:$FB,45)*100</f>
        <v>-15.64</v>
      </c>
      <c r="J194" s="49">
        <f>VLOOKUP($A194,'Data shares'!$C:$FB,58)</f>
        <v>1734600</v>
      </c>
      <c r="K194" s="49">
        <f>VLOOKUP($A194,'Data shares'!$C:$FB,59)</f>
        <v>2214600</v>
      </c>
      <c r="L194" s="50">
        <f>VLOOKUP($A194,'Data shares'!$C:$FB,61)*100</f>
        <v>-21.67</v>
      </c>
      <c r="M194" s="49">
        <f>VLOOKUP($A194,'Data shares'!$C:$FB,62)</f>
        <v>529700</v>
      </c>
      <c r="N194" s="49">
        <f>VLOOKUP($A194,'Data shares'!$C:$FB,63)</f>
        <v>461300</v>
      </c>
      <c r="O194" s="140">
        <f>VLOOKUP($A194,'Data shares'!$C:$FB,65)*100</f>
        <v>14.829999999999998</v>
      </c>
    </row>
    <row r="195" spans="1:15" x14ac:dyDescent="0.25">
      <c r="A195" s="101" t="str">
        <f>'Data Vlaue (Cr)'!C190</f>
        <v>TATAPOWER</v>
      </c>
      <c r="B195" s="50">
        <f>VLOOKUP($A195,'Data shares'!$C:$FB,7)</f>
        <v>402.15</v>
      </c>
      <c r="C195" s="50">
        <f>VLOOKUP($A195,'Data shares'!$C:$FB,10)*100</f>
        <v>4.25</v>
      </c>
      <c r="D195" s="49">
        <f>VLOOKUP($A195,'Data shares'!$C:$FB,66)</f>
        <v>319392950</v>
      </c>
      <c r="E195" s="49">
        <f>VLOOKUP($A195,'Data shares'!$C:$FB,67)</f>
        <v>141883950</v>
      </c>
      <c r="F195" s="50">
        <f>VLOOKUP($A195,'Data shares'!$C:$FB,69)*100</f>
        <v>125.11000000000001</v>
      </c>
      <c r="G195" s="49">
        <f>VLOOKUP($A195,'Data shares'!$C:$FB,42)</f>
        <v>31528800</v>
      </c>
      <c r="H195" s="49">
        <f>VLOOKUP($A195,'Data shares'!$C:$FB,43)</f>
        <v>17159300</v>
      </c>
      <c r="I195" s="50">
        <f>VLOOKUP($A195,'Data shares'!$C:$FB,45)*100</f>
        <v>83.740000000000009</v>
      </c>
      <c r="J195" s="49">
        <f>VLOOKUP($A195,'Data shares'!$C:$FB,58)</f>
        <v>210832900</v>
      </c>
      <c r="K195" s="49">
        <f>VLOOKUP($A195,'Data shares'!$C:$FB,59)</f>
        <v>94190550</v>
      </c>
      <c r="L195" s="50">
        <f>VLOOKUP($A195,'Data shares'!$C:$FB,61)*100</f>
        <v>123.83999999999999</v>
      </c>
      <c r="M195" s="49">
        <f>VLOOKUP($A195,'Data shares'!$C:$FB,62)</f>
        <v>77031250</v>
      </c>
      <c r="N195" s="49">
        <f>VLOOKUP($A195,'Data shares'!$C:$FB,63)</f>
        <v>30534100</v>
      </c>
      <c r="O195" s="140">
        <f>VLOOKUP($A195,'Data shares'!$C:$FB,65)*100</f>
        <v>152.28</v>
      </c>
    </row>
    <row r="196" spans="1:15" x14ac:dyDescent="0.25">
      <c r="A196" s="101" t="str">
        <f>'Data Vlaue (Cr)'!C191</f>
        <v>TATASTEEL</v>
      </c>
      <c r="B196" s="50">
        <f>VLOOKUP($A196,'Data shares'!$C:$FB,7)</f>
        <v>193.47</v>
      </c>
      <c r="C196" s="50">
        <f>VLOOKUP($A196,'Data shares'!$C:$FB,10)*100</f>
        <v>-0.65</v>
      </c>
      <c r="D196" s="49">
        <f>VLOOKUP($A196,'Data shares'!$C:$FB,66)</f>
        <v>178293500</v>
      </c>
      <c r="E196" s="49">
        <f>VLOOKUP($A196,'Data shares'!$C:$FB,67)</f>
        <v>247445000</v>
      </c>
      <c r="F196" s="50">
        <f>VLOOKUP($A196,'Data shares'!$C:$FB,69)*100</f>
        <v>-27.950000000000003</v>
      </c>
      <c r="G196" s="49">
        <f>VLOOKUP($A196,'Data shares'!$C:$FB,42)</f>
        <v>37158000</v>
      </c>
      <c r="H196" s="49">
        <f>VLOOKUP($A196,'Data shares'!$C:$FB,43)</f>
        <v>49115000</v>
      </c>
      <c r="I196" s="50">
        <f>VLOOKUP($A196,'Data shares'!$C:$FB,45)*100</f>
        <v>-24.34</v>
      </c>
      <c r="J196" s="49">
        <f>VLOOKUP($A196,'Data shares'!$C:$FB,58)</f>
        <v>90788500</v>
      </c>
      <c r="K196" s="49">
        <f>VLOOKUP($A196,'Data shares'!$C:$FB,59)</f>
        <v>129442500</v>
      </c>
      <c r="L196" s="50">
        <f>VLOOKUP($A196,'Data shares'!$C:$FB,61)*100</f>
        <v>-29.86</v>
      </c>
      <c r="M196" s="49">
        <f>VLOOKUP($A196,'Data shares'!$C:$FB,62)</f>
        <v>50347000</v>
      </c>
      <c r="N196" s="49">
        <f>VLOOKUP($A196,'Data shares'!$C:$FB,63)</f>
        <v>68887500</v>
      </c>
      <c r="O196" s="140">
        <f>VLOOKUP($A196,'Data shares'!$C:$FB,65)*100</f>
        <v>-26.91</v>
      </c>
    </row>
    <row r="197" spans="1:15" x14ac:dyDescent="0.25">
      <c r="A197" s="101" t="str">
        <f>'Data Vlaue (Cr)'!C192</f>
        <v>TATATECH</v>
      </c>
      <c r="B197" s="50">
        <f>VLOOKUP($A197,'Data shares'!$C:$FB,7)</f>
        <v>551.85</v>
      </c>
      <c r="C197" s="50">
        <f>VLOOKUP($A197,'Data shares'!$C:$FB,10)*100</f>
        <v>-0.91</v>
      </c>
      <c r="D197" s="49">
        <f>VLOOKUP($A197,'Data shares'!$C:$FB,66)</f>
        <v>3985600</v>
      </c>
      <c r="E197" s="49">
        <f>VLOOKUP($A197,'Data shares'!$C:$FB,67)</f>
        <v>2663200</v>
      </c>
      <c r="F197" s="50">
        <f>VLOOKUP($A197,'Data shares'!$C:$FB,69)*100</f>
        <v>49.65</v>
      </c>
      <c r="G197" s="49">
        <f>VLOOKUP($A197,'Data shares'!$C:$FB,42)</f>
        <v>1072800</v>
      </c>
      <c r="H197" s="49">
        <f>VLOOKUP($A197,'Data shares'!$C:$FB,43)</f>
        <v>1013600</v>
      </c>
      <c r="I197" s="50">
        <f>VLOOKUP($A197,'Data shares'!$C:$FB,45)*100</f>
        <v>5.84</v>
      </c>
      <c r="J197" s="49">
        <f>VLOOKUP($A197,'Data shares'!$C:$FB,58)</f>
        <v>2200800</v>
      </c>
      <c r="K197" s="49">
        <f>VLOOKUP($A197,'Data shares'!$C:$FB,59)</f>
        <v>1185600</v>
      </c>
      <c r="L197" s="50">
        <f>VLOOKUP($A197,'Data shares'!$C:$FB,61)*100</f>
        <v>85.63</v>
      </c>
      <c r="M197" s="49">
        <f>VLOOKUP($A197,'Data shares'!$C:$FB,62)</f>
        <v>712000</v>
      </c>
      <c r="N197" s="49">
        <f>VLOOKUP($A197,'Data shares'!$C:$FB,63)</f>
        <v>464000</v>
      </c>
      <c r="O197" s="140">
        <f>VLOOKUP($A197,'Data shares'!$C:$FB,65)*100</f>
        <v>53.449999999999996</v>
      </c>
    </row>
    <row r="198" spans="1:15" x14ac:dyDescent="0.25">
      <c r="A198" s="101" t="str">
        <f>'Data Vlaue (Cr)'!C193</f>
        <v>TCS</v>
      </c>
      <c r="B198" s="50">
        <f>VLOOKUP($A198,'Data shares'!$C:$FB,7)</f>
        <v>2442.4</v>
      </c>
      <c r="C198" s="50">
        <f>VLOOKUP($A198,'Data shares'!$C:$FB,10)*100</f>
        <v>-0.91</v>
      </c>
      <c r="D198" s="49">
        <f>VLOOKUP($A198,'Data shares'!$C:$FB,66)</f>
        <v>23670675</v>
      </c>
      <c r="E198" s="49">
        <f>VLOOKUP($A198,'Data shares'!$C:$FB,67)</f>
        <v>24220525</v>
      </c>
      <c r="F198" s="50">
        <f>VLOOKUP($A198,'Data shares'!$C:$FB,69)*100</f>
        <v>-2.27</v>
      </c>
      <c r="G198" s="49">
        <f>VLOOKUP($A198,'Data shares'!$C:$FB,42)</f>
        <v>3219650</v>
      </c>
      <c r="H198" s="49">
        <f>VLOOKUP($A198,'Data shares'!$C:$FB,43)</f>
        <v>4829300</v>
      </c>
      <c r="I198" s="50">
        <f>VLOOKUP($A198,'Data shares'!$C:$FB,45)*100</f>
        <v>-33.33</v>
      </c>
      <c r="J198" s="49">
        <f>VLOOKUP($A198,'Data shares'!$C:$FB,58)</f>
        <v>13169625</v>
      </c>
      <c r="K198" s="49">
        <f>VLOOKUP($A198,'Data shares'!$C:$FB,59)</f>
        <v>12294800</v>
      </c>
      <c r="L198" s="50">
        <f>VLOOKUP($A198,'Data shares'!$C:$FB,61)*100</f>
        <v>7.12</v>
      </c>
      <c r="M198" s="49">
        <f>VLOOKUP($A198,'Data shares'!$C:$FB,62)</f>
        <v>7281400</v>
      </c>
      <c r="N198" s="49">
        <f>VLOOKUP($A198,'Data shares'!$C:$FB,63)</f>
        <v>7096425</v>
      </c>
      <c r="O198" s="140">
        <f>VLOOKUP($A198,'Data shares'!$C:$FB,65)*100</f>
        <v>2.6100000000000003</v>
      </c>
    </row>
    <row r="199" spans="1:15" x14ac:dyDescent="0.25">
      <c r="A199" s="101" t="str">
        <f>'Data Vlaue (Cr)'!C194</f>
        <v>TECHM</v>
      </c>
      <c r="B199" s="50">
        <f>VLOOKUP($A199,'Data shares'!$C:$FB,7)</f>
        <v>1349.8</v>
      </c>
      <c r="C199" s="50">
        <f>VLOOKUP($A199,'Data shares'!$C:$FB,10)*100</f>
        <v>1.1499999999999999</v>
      </c>
      <c r="D199" s="49">
        <f>VLOOKUP($A199,'Data shares'!$C:$FB,66)</f>
        <v>17964600</v>
      </c>
      <c r="E199" s="49">
        <f>VLOOKUP($A199,'Data shares'!$C:$FB,67)</f>
        <v>14103600</v>
      </c>
      <c r="F199" s="50">
        <f>VLOOKUP($A199,'Data shares'!$C:$FB,69)*100</f>
        <v>27.38</v>
      </c>
      <c r="G199" s="49">
        <f>VLOOKUP($A199,'Data shares'!$C:$FB,42)</f>
        <v>3255000</v>
      </c>
      <c r="H199" s="49">
        <f>VLOOKUP($A199,'Data shares'!$C:$FB,43)</f>
        <v>2787600</v>
      </c>
      <c r="I199" s="50">
        <f>VLOOKUP($A199,'Data shares'!$C:$FB,45)*100</f>
        <v>16.77</v>
      </c>
      <c r="J199" s="49">
        <f>VLOOKUP($A199,'Data shares'!$C:$FB,58)</f>
        <v>10909800</v>
      </c>
      <c r="K199" s="49">
        <f>VLOOKUP($A199,'Data shares'!$C:$FB,59)</f>
        <v>7506000</v>
      </c>
      <c r="L199" s="50">
        <f>VLOOKUP($A199,'Data shares'!$C:$FB,61)*100</f>
        <v>45.35</v>
      </c>
      <c r="M199" s="49">
        <f>VLOOKUP($A199,'Data shares'!$C:$FB,62)</f>
        <v>3799800</v>
      </c>
      <c r="N199" s="49">
        <f>VLOOKUP($A199,'Data shares'!$C:$FB,63)</f>
        <v>3810000</v>
      </c>
      <c r="O199" s="140">
        <f>VLOOKUP($A199,'Data shares'!$C:$FB,65)*100</f>
        <v>-0.27</v>
      </c>
    </row>
    <row r="200" spans="1:15" x14ac:dyDescent="0.25">
      <c r="A200" s="101" t="str">
        <f>'Data Vlaue (Cr)'!C195</f>
        <v>TIINDIA</v>
      </c>
      <c r="B200" s="50">
        <f>VLOOKUP($A200,'Data shares'!$C:$FB,7)</f>
        <v>2549.6999999999998</v>
      </c>
      <c r="C200" s="50">
        <f>VLOOKUP($A200,'Data shares'!$C:$FB,10)*100</f>
        <v>-0.64</v>
      </c>
      <c r="D200" s="49">
        <f>VLOOKUP($A200,'Data shares'!$C:$FB,66)</f>
        <v>1132800</v>
      </c>
      <c r="E200" s="49">
        <f>VLOOKUP($A200,'Data shares'!$C:$FB,67)</f>
        <v>1383000</v>
      </c>
      <c r="F200" s="50">
        <f>VLOOKUP($A200,'Data shares'!$C:$FB,69)*100</f>
        <v>-18.09</v>
      </c>
      <c r="G200" s="49">
        <f>VLOOKUP($A200,'Data shares'!$C:$FB,42)</f>
        <v>419800</v>
      </c>
      <c r="H200" s="49">
        <f>VLOOKUP($A200,'Data shares'!$C:$FB,43)</f>
        <v>396600</v>
      </c>
      <c r="I200" s="50">
        <f>VLOOKUP($A200,'Data shares'!$C:$FB,45)*100</f>
        <v>5.8500000000000005</v>
      </c>
      <c r="J200" s="49">
        <f>VLOOKUP($A200,'Data shares'!$C:$FB,58)</f>
        <v>304200</v>
      </c>
      <c r="K200" s="49">
        <f>VLOOKUP($A200,'Data shares'!$C:$FB,59)</f>
        <v>665400</v>
      </c>
      <c r="L200" s="50">
        <f>VLOOKUP($A200,'Data shares'!$C:$FB,61)*100</f>
        <v>-54.279999999999994</v>
      </c>
      <c r="M200" s="49">
        <f>VLOOKUP($A200,'Data shares'!$C:$FB,62)</f>
        <v>408800</v>
      </c>
      <c r="N200" s="49">
        <f>VLOOKUP($A200,'Data shares'!$C:$FB,63)</f>
        <v>321000</v>
      </c>
      <c r="O200" s="140">
        <f>VLOOKUP($A200,'Data shares'!$C:$FB,65)*100</f>
        <v>27.35</v>
      </c>
    </row>
    <row r="201" spans="1:15" x14ac:dyDescent="0.25">
      <c r="A201" s="101" t="str">
        <f>'Data Vlaue (Cr)'!C196</f>
        <v>TITAN</v>
      </c>
      <c r="B201" s="50">
        <f>VLOOKUP($A201,'Data shares'!$C:$FB,7)</f>
        <v>4129.6000000000004</v>
      </c>
      <c r="C201" s="50">
        <f>VLOOKUP($A201,'Data shares'!$C:$FB,10)*100</f>
        <v>-0.26</v>
      </c>
      <c r="D201" s="49">
        <f>VLOOKUP($A201,'Data shares'!$C:$FB,66)</f>
        <v>7650125</v>
      </c>
      <c r="E201" s="49">
        <f>VLOOKUP($A201,'Data shares'!$C:$FB,67)</f>
        <v>3901275</v>
      </c>
      <c r="F201" s="50">
        <f>VLOOKUP($A201,'Data shares'!$C:$FB,69)*100</f>
        <v>96.09</v>
      </c>
      <c r="G201" s="49">
        <f>VLOOKUP($A201,'Data shares'!$C:$FB,42)</f>
        <v>1240925</v>
      </c>
      <c r="H201" s="49">
        <f>VLOOKUP($A201,'Data shares'!$C:$FB,43)</f>
        <v>725375</v>
      </c>
      <c r="I201" s="50">
        <f>VLOOKUP($A201,'Data shares'!$C:$FB,45)*100</f>
        <v>71.069999999999993</v>
      </c>
      <c r="J201" s="49">
        <f>VLOOKUP($A201,'Data shares'!$C:$FB,58)</f>
        <v>3922800</v>
      </c>
      <c r="K201" s="49">
        <f>VLOOKUP($A201,'Data shares'!$C:$FB,59)</f>
        <v>1647975</v>
      </c>
      <c r="L201" s="50">
        <f>VLOOKUP($A201,'Data shares'!$C:$FB,61)*100</f>
        <v>138.04000000000002</v>
      </c>
      <c r="M201" s="49">
        <f>VLOOKUP($A201,'Data shares'!$C:$FB,62)</f>
        <v>2486400</v>
      </c>
      <c r="N201" s="49">
        <f>VLOOKUP($A201,'Data shares'!$C:$FB,63)</f>
        <v>1527925</v>
      </c>
      <c r="O201" s="140">
        <f>VLOOKUP($A201,'Data shares'!$C:$FB,65)*100</f>
        <v>62.73</v>
      </c>
    </row>
    <row r="202" spans="1:15" x14ac:dyDescent="0.25">
      <c r="A202" s="101" t="str">
        <f>'Data Vlaue (Cr)'!C197</f>
        <v>TMPV</v>
      </c>
      <c r="B202" s="50">
        <f>VLOOKUP($A202,'Data shares'!$C:$FB,7)</f>
        <v>324.55</v>
      </c>
      <c r="C202" s="50">
        <f>VLOOKUP($A202,'Data shares'!$C:$FB,10)*100</f>
        <v>-3.2199999999999998</v>
      </c>
      <c r="D202" s="49">
        <f>VLOOKUP($A202,'Data shares'!$C:$FB,66)</f>
        <v>83824800</v>
      </c>
      <c r="E202" s="49">
        <f>VLOOKUP($A202,'Data shares'!$C:$FB,67)</f>
        <v>53236800</v>
      </c>
      <c r="F202" s="50">
        <f>VLOOKUP($A202,'Data shares'!$C:$FB,69)*100</f>
        <v>57.46</v>
      </c>
      <c r="G202" s="49">
        <f>VLOOKUP($A202,'Data shares'!$C:$FB,42)</f>
        <v>14530400</v>
      </c>
      <c r="H202" s="49">
        <f>VLOOKUP($A202,'Data shares'!$C:$FB,43)</f>
        <v>8492000</v>
      </c>
      <c r="I202" s="50">
        <f>VLOOKUP($A202,'Data shares'!$C:$FB,45)*100</f>
        <v>71.11</v>
      </c>
      <c r="J202" s="49">
        <f>VLOOKUP($A202,'Data shares'!$C:$FB,58)</f>
        <v>40811200</v>
      </c>
      <c r="K202" s="49">
        <f>VLOOKUP($A202,'Data shares'!$C:$FB,59)</f>
        <v>28182400</v>
      </c>
      <c r="L202" s="50">
        <f>VLOOKUP($A202,'Data shares'!$C:$FB,61)*100</f>
        <v>44.81</v>
      </c>
      <c r="M202" s="49">
        <f>VLOOKUP($A202,'Data shares'!$C:$FB,62)</f>
        <v>28483200</v>
      </c>
      <c r="N202" s="49">
        <f>VLOOKUP($A202,'Data shares'!$C:$FB,63)</f>
        <v>16562400</v>
      </c>
      <c r="O202" s="140">
        <f>VLOOKUP($A202,'Data shares'!$C:$FB,65)*100</f>
        <v>71.98</v>
      </c>
    </row>
    <row r="203" spans="1:15" x14ac:dyDescent="0.25">
      <c r="A203" s="101" t="str">
        <f>'Data Vlaue (Cr)'!C198</f>
        <v>TORNTPHARM</v>
      </c>
      <c r="B203" s="50">
        <f>VLOOKUP($A203,'Data shares'!$C:$FB,7)</f>
        <v>4446</v>
      </c>
      <c r="C203" s="50">
        <f>VLOOKUP($A203,'Data shares'!$C:$FB,10)*100</f>
        <v>0.33</v>
      </c>
      <c r="D203" s="49">
        <f>VLOOKUP($A203,'Data shares'!$C:$FB,66)</f>
        <v>1600250</v>
      </c>
      <c r="E203" s="49">
        <f>VLOOKUP($A203,'Data shares'!$C:$FB,67)</f>
        <v>1574500</v>
      </c>
      <c r="F203" s="50">
        <f>VLOOKUP($A203,'Data shares'!$C:$FB,69)*100</f>
        <v>1.6400000000000001</v>
      </c>
      <c r="G203" s="49">
        <f>VLOOKUP($A203,'Data shares'!$C:$FB,42)</f>
        <v>378250</v>
      </c>
      <c r="H203" s="49">
        <f>VLOOKUP($A203,'Data shares'!$C:$FB,43)</f>
        <v>431500</v>
      </c>
      <c r="I203" s="50">
        <f>VLOOKUP($A203,'Data shares'!$C:$FB,45)*100</f>
        <v>-12.34</v>
      </c>
      <c r="J203" s="49">
        <f>VLOOKUP($A203,'Data shares'!$C:$FB,58)</f>
        <v>892000</v>
      </c>
      <c r="K203" s="49">
        <f>VLOOKUP($A203,'Data shares'!$C:$FB,59)</f>
        <v>829000</v>
      </c>
      <c r="L203" s="50">
        <f>VLOOKUP($A203,'Data shares'!$C:$FB,61)*100</f>
        <v>7.6</v>
      </c>
      <c r="M203" s="49">
        <f>VLOOKUP($A203,'Data shares'!$C:$FB,62)</f>
        <v>330000</v>
      </c>
      <c r="N203" s="49">
        <f>VLOOKUP($A203,'Data shares'!$C:$FB,63)</f>
        <v>314000</v>
      </c>
      <c r="O203" s="140">
        <f>VLOOKUP($A203,'Data shares'!$C:$FB,65)*100</f>
        <v>5.0999999999999996</v>
      </c>
    </row>
    <row r="204" spans="1:15" x14ac:dyDescent="0.25">
      <c r="A204" s="101" t="str">
        <f>'Data Vlaue (Cr)'!C199</f>
        <v>TORNTPOWER</v>
      </c>
      <c r="B204" s="50">
        <f>VLOOKUP($A204,'Data shares'!$C:$FB,7)</f>
        <v>1506</v>
      </c>
      <c r="C204" s="50">
        <f>VLOOKUP($A204,'Data shares'!$C:$FB,10)*100</f>
        <v>4.66</v>
      </c>
      <c r="D204" s="49">
        <f>VLOOKUP($A204,'Data shares'!$C:$FB,66)</f>
        <v>10727425</v>
      </c>
      <c r="E204" s="49">
        <f>VLOOKUP($A204,'Data shares'!$C:$FB,67)</f>
        <v>1862350</v>
      </c>
      <c r="F204" s="50">
        <f>VLOOKUP($A204,'Data shares'!$C:$FB,69)*100</f>
        <v>476.02000000000004</v>
      </c>
      <c r="G204" s="49">
        <f>VLOOKUP($A204,'Data shares'!$C:$FB,42)</f>
        <v>1303050</v>
      </c>
      <c r="H204" s="49">
        <f>VLOOKUP($A204,'Data shares'!$C:$FB,43)</f>
        <v>612000</v>
      </c>
      <c r="I204" s="50">
        <f>VLOOKUP($A204,'Data shares'!$C:$FB,45)*100</f>
        <v>112.92</v>
      </c>
      <c r="J204" s="49">
        <f>VLOOKUP($A204,'Data shares'!$C:$FB,58)</f>
        <v>7644050</v>
      </c>
      <c r="K204" s="49">
        <f>VLOOKUP($A204,'Data shares'!$C:$FB,59)</f>
        <v>988125</v>
      </c>
      <c r="L204" s="50">
        <f>VLOOKUP($A204,'Data shares'!$C:$FB,61)*100</f>
        <v>673.59</v>
      </c>
      <c r="M204" s="49">
        <f>VLOOKUP($A204,'Data shares'!$C:$FB,62)</f>
        <v>1780325</v>
      </c>
      <c r="N204" s="49">
        <f>VLOOKUP($A204,'Data shares'!$C:$FB,63)</f>
        <v>262225</v>
      </c>
      <c r="O204" s="140">
        <f>VLOOKUP($A204,'Data shares'!$C:$FB,65)*100</f>
        <v>578.92999999999995</v>
      </c>
    </row>
    <row r="205" spans="1:15" x14ac:dyDescent="0.25">
      <c r="A205" s="101" t="str">
        <f>'Data Vlaue (Cr)'!C200</f>
        <v>TRENT</v>
      </c>
      <c r="B205" s="50">
        <f>VLOOKUP($A205,'Data shares'!$C:$FB,7)</f>
        <v>3533.6</v>
      </c>
      <c r="C205" s="50">
        <f>VLOOKUP($A205,'Data shares'!$C:$FB,10)*100</f>
        <v>-2.59</v>
      </c>
      <c r="D205" s="49">
        <f>VLOOKUP($A205,'Data shares'!$C:$FB,66)</f>
        <v>6344800</v>
      </c>
      <c r="E205" s="49">
        <f>VLOOKUP($A205,'Data shares'!$C:$FB,67)</f>
        <v>4015500</v>
      </c>
      <c r="F205" s="50">
        <f>VLOOKUP($A205,'Data shares'!$C:$FB,69)*100</f>
        <v>58.01</v>
      </c>
      <c r="G205" s="49">
        <f>VLOOKUP($A205,'Data shares'!$C:$FB,42)</f>
        <v>794000</v>
      </c>
      <c r="H205" s="49">
        <f>VLOOKUP($A205,'Data shares'!$C:$FB,43)</f>
        <v>646800</v>
      </c>
      <c r="I205" s="50">
        <f>VLOOKUP($A205,'Data shares'!$C:$FB,45)*100</f>
        <v>22.759999999999998</v>
      </c>
      <c r="J205" s="49">
        <f>VLOOKUP($A205,'Data shares'!$C:$FB,58)</f>
        <v>3515700</v>
      </c>
      <c r="K205" s="49">
        <f>VLOOKUP($A205,'Data shares'!$C:$FB,59)</f>
        <v>2231500</v>
      </c>
      <c r="L205" s="50">
        <f>VLOOKUP($A205,'Data shares'!$C:$FB,61)*100</f>
        <v>57.550000000000004</v>
      </c>
      <c r="M205" s="49">
        <f>VLOOKUP($A205,'Data shares'!$C:$FB,62)</f>
        <v>2035100</v>
      </c>
      <c r="N205" s="49">
        <f>VLOOKUP($A205,'Data shares'!$C:$FB,63)</f>
        <v>1137200</v>
      </c>
      <c r="O205" s="140">
        <f>VLOOKUP($A205,'Data shares'!$C:$FB,65)*100</f>
        <v>78.959999999999994</v>
      </c>
    </row>
    <row r="206" spans="1:15" x14ac:dyDescent="0.25">
      <c r="A206" s="101" t="str">
        <f>'Data Vlaue (Cr)'!C201</f>
        <v>TVSMOTOR</v>
      </c>
      <c r="B206" s="50">
        <f>VLOOKUP($A206,'Data shares'!$C:$FB,7)</f>
        <v>3422.6</v>
      </c>
      <c r="C206" s="50">
        <f>VLOOKUP($A206,'Data shares'!$C:$FB,10)*100</f>
        <v>-4.95</v>
      </c>
      <c r="D206" s="49">
        <f>VLOOKUP($A206,'Data shares'!$C:$FB,66)</f>
        <v>10740100</v>
      </c>
      <c r="E206" s="49">
        <f>VLOOKUP($A206,'Data shares'!$C:$FB,67)</f>
        <v>9378425</v>
      </c>
      <c r="F206" s="50">
        <f>VLOOKUP($A206,'Data shares'!$C:$FB,69)*100</f>
        <v>14.52</v>
      </c>
      <c r="G206" s="49">
        <f>VLOOKUP($A206,'Data shares'!$C:$FB,42)</f>
        <v>2188550</v>
      </c>
      <c r="H206" s="49">
        <f>VLOOKUP($A206,'Data shares'!$C:$FB,43)</f>
        <v>1553300</v>
      </c>
      <c r="I206" s="50">
        <f>VLOOKUP($A206,'Data shares'!$C:$FB,45)*100</f>
        <v>40.9</v>
      </c>
      <c r="J206" s="49">
        <f>VLOOKUP($A206,'Data shares'!$C:$FB,58)</f>
        <v>4414375</v>
      </c>
      <c r="K206" s="49">
        <f>VLOOKUP($A206,'Data shares'!$C:$FB,59)</f>
        <v>3867675</v>
      </c>
      <c r="L206" s="50">
        <f>VLOOKUP($A206,'Data shares'!$C:$FB,61)*100</f>
        <v>14.14</v>
      </c>
      <c r="M206" s="49">
        <f>VLOOKUP($A206,'Data shares'!$C:$FB,62)</f>
        <v>4137175</v>
      </c>
      <c r="N206" s="49">
        <f>VLOOKUP($A206,'Data shares'!$C:$FB,63)</f>
        <v>3957450</v>
      </c>
      <c r="O206" s="140">
        <f>VLOOKUP($A206,'Data shares'!$C:$FB,65)*100</f>
        <v>4.54</v>
      </c>
    </row>
    <row r="207" spans="1:15" x14ac:dyDescent="0.25">
      <c r="A207" s="101" t="str">
        <f>'Data Vlaue (Cr)'!C202</f>
        <v>ULTRACEMCO</v>
      </c>
      <c r="B207" s="50">
        <f>VLOOKUP($A207,'Data shares'!$C:$FB,7)</f>
        <v>11089</v>
      </c>
      <c r="C207" s="50">
        <f>VLOOKUP($A207,'Data shares'!$C:$FB,10)*100</f>
        <v>-3.25</v>
      </c>
      <c r="D207" s="49">
        <f>VLOOKUP($A207,'Data shares'!$C:$FB,66)</f>
        <v>1651800</v>
      </c>
      <c r="E207" s="49">
        <f>VLOOKUP($A207,'Data shares'!$C:$FB,67)</f>
        <v>1074400</v>
      </c>
      <c r="F207" s="50">
        <f>VLOOKUP($A207,'Data shares'!$C:$FB,69)*100</f>
        <v>53.74</v>
      </c>
      <c r="G207" s="49">
        <f>VLOOKUP($A207,'Data shares'!$C:$FB,42)</f>
        <v>354050</v>
      </c>
      <c r="H207" s="49">
        <f>VLOOKUP($A207,'Data shares'!$C:$FB,43)</f>
        <v>188300</v>
      </c>
      <c r="I207" s="50">
        <f>VLOOKUP($A207,'Data shares'!$C:$FB,45)*100</f>
        <v>88.02</v>
      </c>
      <c r="J207" s="49">
        <f>VLOOKUP($A207,'Data shares'!$C:$FB,58)</f>
        <v>915000</v>
      </c>
      <c r="K207" s="49">
        <f>VLOOKUP($A207,'Data shares'!$C:$FB,59)</f>
        <v>615300</v>
      </c>
      <c r="L207" s="50">
        <f>VLOOKUP($A207,'Data shares'!$C:$FB,61)*100</f>
        <v>48.71</v>
      </c>
      <c r="M207" s="49">
        <f>VLOOKUP($A207,'Data shares'!$C:$FB,62)</f>
        <v>382750</v>
      </c>
      <c r="N207" s="49">
        <f>VLOOKUP($A207,'Data shares'!$C:$FB,63)</f>
        <v>270800</v>
      </c>
      <c r="O207" s="140">
        <f>VLOOKUP($A207,'Data shares'!$C:$FB,65)*100</f>
        <v>41.339999999999996</v>
      </c>
    </row>
    <row r="208" spans="1:15" x14ac:dyDescent="0.25">
      <c r="A208" s="101" t="str">
        <f>'Data Vlaue (Cr)'!C203</f>
        <v>UNIONBANK</v>
      </c>
      <c r="B208" s="50">
        <f>VLOOKUP($A208,'Data shares'!$C:$FB,7)</f>
        <v>182.1</v>
      </c>
      <c r="C208" s="50">
        <f>VLOOKUP($A208,'Data shares'!$C:$FB,10)*100</f>
        <v>0.65</v>
      </c>
      <c r="D208" s="49">
        <f>VLOOKUP($A208,'Data shares'!$C:$FB,66)</f>
        <v>81358050</v>
      </c>
      <c r="E208" s="49">
        <f>VLOOKUP($A208,'Data shares'!$C:$FB,67)</f>
        <v>66003300</v>
      </c>
      <c r="F208" s="50">
        <f>VLOOKUP($A208,'Data shares'!$C:$FB,69)*100</f>
        <v>23.26</v>
      </c>
      <c r="G208" s="49">
        <f>VLOOKUP($A208,'Data shares'!$C:$FB,42)</f>
        <v>24412725</v>
      </c>
      <c r="H208" s="49">
        <f>VLOOKUP($A208,'Data shares'!$C:$FB,43)</f>
        <v>20120475</v>
      </c>
      <c r="I208" s="50">
        <f>VLOOKUP($A208,'Data shares'!$C:$FB,45)*100</f>
        <v>21.33</v>
      </c>
      <c r="J208" s="49">
        <f>VLOOKUP($A208,'Data shares'!$C:$FB,58)</f>
        <v>40440075</v>
      </c>
      <c r="K208" s="49">
        <f>VLOOKUP($A208,'Data shares'!$C:$FB,59)</f>
        <v>32448525</v>
      </c>
      <c r="L208" s="50">
        <f>VLOOKUP($A208,'Data shares'!$C:$FB,61)*100</f>
        <v>24.63</v>
      </c>
      <c r="M208" s="49">
        <f>VLOOKUP($A208,'Data shares'!$C:$FB,62)</f>
        <v>16505250</v>
      </c>
      <c r="N208" s="49">
        <f>VLOOKUP($A208,'Data shares'!$C:$FB,63)</f>
        <v>13434300</v>
      </c>
      <c r="O208" s="140">
        <f>VLOOKUP($A208,'Data shares'!$C:$FB,65)*100</f>
        <v>22.86</v>
      </c>
    </row>
    <row r="209" spans="1:15" x14ac:dyDescent="0.25">
      <c r="A209" s="101" t="str">
        <f>'Data Vlaue (Cr)'!C204</f>
        <v>UNITDSPR</v>
      </c>
      <c r="B209" s="50">
        <f>VLOOKUP($A209,'Data shares'!$C:$FB,7)</f>
        <v>1363.5</v>
      </c>
      <c r="C209" s="50">
        <f>VLOOKUP($A209,'Data shares'!$C:$FB,10)*100</f>
        <v>-1.35</v>
      </c>
      <c r="D209" s="49">
        <f>VLOOKUP($A209,'Data shares'!$C:$FB,66)</f>
        <v>5731200</v>
      </c>
      <c r="E209" s="49">
        <f>VLOOKUP($A209,'Data shares'!$C:$FB,67)</f>
        <v>4900000</v>
      </c>
      <c r="F209" s="50">
        <f>VLOOKUP($A209,'Data shares'!$C:$FB,69)*100</f>
        <v>16.96</v>
      </c>
      <c r="G209" s="49">
        <f>VLOOKUP($A209,'Data shares'!$C:$FB,42)</f>
        <v>1569600</v>
      </c>
      <c r="H209" s="49">
        <f>VLOOKUP($A209,'Data shares'!$C:$FB,43)</f>
        <v>981200</v>
      </c>
      <c r="I209" s="50">
        <f>VLOOKUP($A209,'Data shares'!$C:$FB,45)*100</f>
        <v>59.97</v>
      </c>
      <c r="J209" s="49">
        <f>VLOOKUP($A209,'Data shares'!$C:$FB,58)</f>
        <v>2567200</v>
      </c>
      <c r="K209" s="49">
        <f>VLOOKUP($A209,'Data shares'!$C:$FB,59)</f>
        <v>2276400</v>
      </c>
      <c r="L209" s="50">
        <f>VLOOKUP($A209,'Data shares'!$C:$FB,61)*100</f>
        <v>12.770000000000001</v>
      </c>
      <c r="M209" s="49">
        <f>VLOOKUP($A209,'Data shares'!$C:$FB,62)</f>
        <v>1594400</v>
      </c>
      <c r="N209" s="49">
        <f>VLOOKUP($A209,'Data shares'!$C:$FB,63)</f>
        <v>1642400</v>
      </c>
      <c r="O209" s="140">
        <f>VLOOKUP($A209,'Data shares'!$C:$FB,65)*100</f>
        <v>-2.92</v>
      </c>
    </row>
    <row r="210" spans="1:15" x14ac:dyDescent="0.25">
      <c r="A210" s="101" t="str">
        <f>'Data Vlaue (Cr)'!C205</f>
        <v>UNOMINDA</v>
      </c>
      <c r="B210" s="50">
        <f>VLOOKUP($A210,'Data shares'!$C:$FB,7)</f>
        <v>1068.5</v>
      </c>
      <c r="C210" s="50">
        <f>VLOOKUP($A210,'Data shares'!$C:$FB,10)*100</f>
        <v>-1.22</v>
      </c>
      <c r="D210" s="49">
        <f>VLOOKUP($A210,'Data shares'!$C:$FB,66)</f>
        <v>4157450</v>
      </c>
      <c r="E210" s="49">
        <f>VLOOKUP($A210,'Data shares'!$C:$FB,67)</f>
        <v>3126200</v>
      </c>
      <c r="F210" s="50">
        <f>VLOOKUP($A210,'Data shares'!$C:$FB,69)*100</f>
        <v>32.99</v>
      </c>
      <c r="G210" s="49">
        <f>VLOOKUP($A210,'Data shares'!$C:$FB,42)</f>
        <v>1047200</v>
      </c>
      <c r="H210" s="49">
        <f>VLOOKUP($A210,'Data shares'!$C:$FB,43)</f>
        <v>1014200</v>
      </c>
      <c r="I210" s="50">
        <f>VLOOKUP($A210,'Data shares'!$C:$FB,45)*100</f>
        <v>3.25</v>
      </c>
      <c r="J210" s="49">
        <f>VLOOKUP($A210,'Data shares'!$C:$FB,58)</f>
        <v>1790250</v>
      </c>
      <c r="K210" s="49">
        <f>VLOOKUP($A210,'Data shares'!$C:$FB,59)</f>
        <v>1249600</v>
      </c>
      <c r="L210" s="50">
        <f>VLOOKUP($A210,'Data shares'!$C:$FB,61)*100</f>
        <v>43.269999999999996</v>
      </c>
      <c r="M210" s="49">
        <f>VLOOKUP($A210,'Data shares'!$C:$FB,62)</f>
        <v>1320000</v>
      </c>
      <c r="N210" s="49">
        <f>VLOOKUP($A210,'Data shares'!$C:$FB,63)</f>
        <v>862400</v>
      </c>
      <c r="O210" s="140">
        <f>VLOOKUP($A210,'Data shares'!$C:$FB,65)*100</f>
        <v>53.059999999999995</v>
      </c>
    </row>
    <row r="211" spans="1:15" x14ac:dyDescent="0.25">
      <c r="A211" s="101" t="str">
        <f>'Data Vlaue (Cr)'!C206</f>
        <v>UPL</v>
      </c>
      <c r="B211" s="50">
        <f>VLOOKUP($A211,'Data shares'!$C:$FB,7)</f>
        <v>629.04999999999995</v>
      </c>
      <c r="C211" s="50">
        <f>VLOOKUP($A211,'Data shares'!$C:$FB,10)*100</f>
        <v>0.51</v>
      </c>
      <c r="D211" s="49">
        <f>VLOOKUP($A211,'Data shares'!$C:$FB,66)</f>
        <v>14204465</v>
      </c>
      <c r="E211" s="49">
        <f>VLOOKUP($A211,'Data shares'!$C:$FB,67)</f>
        <v>14048640</v>
      </c>
      <c r="F211" s="50">
        <f>VLOOKUP($A211,'Data shares'!$C:$FB,69)*100</f>
        <v>1.1100000000000001</v>
      </c>
      <c r="G211" s="49">
        <f>VLOOKUP($A211,'Data shares'!$C:$FB,42)</f>
        <v>2910540</v>
      </c>
      <c r="H211" s="49">
        <f>VLOOKUP($A211,'Data shares'!$C:$FB,43)</f>
        <v>3123275</v>
      </c>
      <c r="I211" s="50">
        <f>VLOOKUP($A211,'Data shares'!$C:$FB,45)*100</f>
        <v>-6.81</v>
      </c>
      <c r="J211" s="49">
        <f>VLOOKUP($A211,'Data shares'!$C:$FB,58)</f>
        <v>7334615</v>
      </c>
      <c r="K211" s="49">
        <f>VLOOKUP($A211,'Data shares'!$C:$FB,59)</f>
        <v>7185565</v>
      </c>
      <c r="L211" s="50">
        <f>VLOOKUP($A211,'Data shares'!$C:$FB,61)*100</f>
        <v>2.0699999999999998</v>
      </c>
      <c r="M211" s="49">
        <f>VLOOKUP($A211,'Data shares'!$C:$FB,62)</f>
        <v>3959310</v>
      </c>
      <c r="N211" s="49">
        <f>VLOOKUP($A211,'Data shares'!$C:$FB,63)</f>
        <v>3739800</v>
      </c>
      <c r="O211" s="140">
        <f>VLOOKUP($A211,'Data shares'!$C:$FB,65)*100</f>
        <v>5.87</v>
      </c>
    </row>
    <row r="212" spans="1:15" x14ac:dyDescent="0.25">
      <c r="A212" s="101" t="str">
        <f>'Data Vlaue (Cr)'!C207</f>
        <v>VBL</v>
      </c>
      <c r="B212" s="50">
        <f>VLOOKUP($A212,'Data shares'!$C:$FB,7)</f>
        <v>411.05</v>
      </c>
      <c r="C212" s="50">
        <f>VLOOKUP($A212,'Data shares'!$C:$FB,10)*100</f>
        <v>-4.68</v>
      </c>
      <c r="D212" s="49">
        <f>VLOOKUP($A212,'Data shares'!$C:$FB,66)</f>
        <v>50157000</v>
      </c>
      <c r="E212" s="49">
        <f>VLOOKUP($A212,'Data shares'!$C:$FB,67)</f>
        <v>21490875</v>
      </c>
      <c r="F212" s="50">
        <f>VLOOKUP($A212,'Data shares'!$C:$FB,69)*100</f>
        <v>133.39000000000001</v>
      </c>
      <c r="G212" s="49">
        <f>VLOOKUP($A212,'Data shares'!$C:$FB,42)</f>
        <v>12755250</v>
      </c>
      <c r="H212" s="49">
        <f>VLOOKUP($A212,'Data shares'!$C:$FB,43)</f>
        <v>6367500</v>
      </c>
      <c r="I212" s="50">
        <f>VLOOKUP($A212,'Data shares'!$C:$FB,45)*100</f>
        <v>100.32000000000001</v>
      </c>
      <c r="J212" s="49">
        <f>VLOOKUP($A212,'Data shares'!$C:$FB,58)</f>
        <v>21775500</v>
      </c>
      <c r="K212" s="49">
        <f>VLOOKUP($A212,'Data shares'!$C:$FB,59)</f>
        <v>11615625</v>
      </c>
      <c r="L212" s="50">
        <f>VLOOKUP($A212,'Data shares'!$C:$FB,61)*100</f>
        <v>87.47</v>
      </c>
      <c r="M212" s="49">
        <f>VLOOKUP($A212,'Data shares'!$C:$FB,62)</f>
        <v>15626250</v>
      </c>
      <c r="N212" s="49">
        <f>VLOOKUP($A212,'Data shares'!$C:$FB,63)</f>
        <v>3507750</v>
      </c>
      <c r="O212" s="140">
        <f>VLOOKUP($A212,'Data shares'!$C:$FB,65)*100</f>
        <v>345.48</v>
      </c>
    </row>
    <row r="213" spans="1:15" x14ac:dyDescent="0.25">
      <c r="A213" s="101" t="str">
        <f>'Data Vlaue (Cr)'!C208</f>
        <v>VEDL</v>
      </c>
      <c r="B213" s="50">
        <f>VLOOKUP($A213,'Data shares'!$C:$FB,7)</f>
        <v>719.6</v>
      </c>
      <c r="C213" s="50">
        <f>VLOOKUP($A213,'Data shares'!$C:$FB,10)*100</f>
        <v>-0.27</v>
      </c>
      <c r="D213" s="49">
        <f>VLOOKUP($A213,'Data shares'!$C:$FB,66)</f>
        <v>78683000</v>
      </c>
      <c r="E213" s="49">
        <f>VLOOKUP($A213,'Data shares'!$C:$FB,67)</f>
        <v>119726500</v>
      </c>
      <c r="F213" s="50">
        <f>VLOOKUP($A213,'Data shares'!$C:$FB,69)*100</f>
        <v>-34.28</v>
      </c>
      <c r="G213" s="49">
        <f>VLOOKUP($A213,'Data shares'!$C:$FB,42)</f>
        <v>12615500</v>
      </c>
      <c r="H213" s="49">
        <f>VLOOKUP($A213,'Data shares'!$C:$FB,43)</f>
        <v>18262000</v>
      </c>
      <c r="I213" s="50">
        <f>VLOOKUP($A213,'Data shares'!$C:$FB,45)*100</f>
        <v>-30.919999999999998</v>
      </c>
      <c r="J213" s="49">
        <f>VLOOKUP($A213,'Data shares'!$C:$FB,58)</f>
        <v>43933450</v>
      </c>
      <c r="K213" s="49">
        <f>VLOOKUP($A213,'Data shares'!$C:$FB,59)</f>
        <v>71303450</v>
      </c>
      <c r="L213" s="50">
        <f>VLOOKUP($A213,'Data shares'!$C:$FB,61)*100</f>
        <v>-38.39</v>
      </c>
      <c r="M213" s="49">
        <f>VLOOKUP($A213,'Data shares'!$C:$FB,62)</f>
        <v>22134050</v>
      </c>
      <c r="N213" s="49">
        <f>VLOOKUP($A213,'Data shares'!$C:$FB,63)</f>
        <v>30161050</v>
      </c>
      <c r="O213" s="140">
        <f>VLOOKUP($A213,'Data shares'!$C:$FB,65)*100</f>
        <v>-26.61</v>
      </c>
    </row>
    <row r="214" spans="1:15" x14ac:dyDescent="0.25">
      <c r="A214" s="101" t="str">
        <f>'Data Vlaue (Cr)'!C209</f>
        <v>VOLTAS</v>
      </c>
      <c r="B214" s="50">
        <f>VLOOKUP($A214,'Data shares'!$C:$FB,7)</f>
        <v>1449.4</v>
      </c>
      <c r="C214" s="50">
        <f>VLOOKUP($A214,'Data shares'!$C:$FB,10)*100</f>
        <v>-1.5</v>
      </c>
      <c r="D214" s="49">
        <f>VLOOKUP($A214,'Data shares'!$C:$FB,66)</f>
        <v>13006875</v>
      </c>
      <c r="E214" s="49">
        <f>VLOOKUP($A214,'Data shares'!$C:$FB,67)</f>
        <v>24123000</v>
      </c>
      <c r="F214" s="50">
        <f>VLOOKUP($A214,'Data shares'!$C:$FB,69)*100</f>
        <v>-46.08</v>
      </c>
      <c r="G214" s="49">
        <f>VLOOKUP($A214,'Data shares'!$C:$FB,42)</f>
        <v>2699250</v>
      </c>
      <c r="H214" s="49">
        <f>VLOOKUP($A214,'Data shares'!$C:$FB,43)</f>
        <v>3823500</v>
      </c>
      <c r="I214" s="50">
        <f>VLOOKUP($A214,'Data shares'!$C:$FB,45)*100</f>
        <v>-29.4</v>
      </c>
      <c r="J214" s="49">
        <f>VLOOKUP($A214,'Data shares'!$C:$FB,58)</f>
        <v>7681875</v>
      </c>
      <c r="K214" s="49">
        <f>VLOOKUP($A214,'Data shares'!$C:$FB,59)</f>
        <v>15571125</v>
      </c>
      <c r="L214" s="50">
        <f>VLOOKUP($A214,'Data shares'!$C:$FB,61)*100</f>
        <v>-50.67</v>
      </c>
      <c r="M214" s="49">
        <f>VLOOKUP($A214,'Data shares'!$C:$FB,62)</f>
        <v>2625750</v>
      </c>
      <c r="N214" s="49">
        <f>VLOOKUP($A214,'Data shares'!$C:$FB,63)</f>
        <v>4728375</v>
      </c>
      <c r="O214" s="140">
        <f>VLOOKUP($A214,'Data shares'!$C:$FB,65)*100</f>
        <v>-44.47</v>
      </c>
    </row>
    <row r="215" spans="1:15" x14ac:dyDescent="0.25">
      <c r="A215" s="101" t="str">
        <f>'Data Vlaue (Cr)'!C210</f>
        <v>WAAREEENER</v>
      </c>
      <c r="B215" s="50">
        <f>VLOOKUP($A215,'Data shares'!$C:$FB,7)</f>
        <v>2739.4</v>
      </c>
      <c r="C215" s="50">
        <f>VLOOKUP($A215,'Data shares'!$C:$FB,10)*100</f>
        <v>2.11</v>
      </c>
      <c r="D215" s="49">
        <f>VLOOKUP($A215,'Data shares'!$C:$FB,66)</f>
        <v>6034525</v>
      </c>
      <c r="E215" s="49">
        <f>VLOOKUP($A215,'Data shares'!$C:$FB,67)</f>
        <v>7073325</v>
      </c>
      <c r="F215" s="50">
        <f>VLOOKUP($A215,'Data shares'!$C:$FB,69)*100</f>
        <v>-14.69</v>
      </c>
      <c r="G215" s="49">
        <f>VLOOKUP($A215,'Data shares'!$C:$FB,42)</f>
        <v>1082200</v>
      </c>
      <c r="H215" s="49">
        <f>VLOOKUP($A215,'Data shares'!$C:$FB,43)</f>
        <v>1148525</v>
      </c>
      <c r="I215" s="50">
        <f>VLOOKUP($A215,'Data shares'!$C:$FB,45)*100</f>
        <v>-5.7700000000000005</v>
      </c>
      <c r="J215" s="49">
        <f>VLOOKUP($A215,'Data shares'!$C:$FB,58)</f>
        <v>3428600</v>
      </c>
      <c r="K215" s="49">
        <f>VLOOKUP($A215,'Data shares'!$C:$FB,59)</f>
        <v>4626650</v>
      </c>
      <c r="L215" s="50">
        <f>VLOOKUP($A215,'Data shares'!$C:$FB,61)*100</f>
        <v>-25.89</v>
      </c>
      <c r="M215" s="49">
        <f>VLOOKUP($A215,'Data shares'!$C:$FB,62)</f>
        <v>1523725</v>
      </c>
      <c r="N215" s="49">
        <f>VLOOKUP($A215,'Data shares'!$C:$FB,63)</f>
        <v>1298150</v>
      </c>
      <c r="O215" s="140">
        <f>VLOOKUP($A215,'Data shares'!$C:$FB,65)*100</f>
        <v>17.380000000000003</v>
      </c>
    </row>
    <row r="216" spans="1:15" x14ac:dyDescent="0.25">
      <c r="A216" s="101" t="str">
        <f>'Data Vlaue (Cr)'!C211</f>
        <v>WIPRO</v>
      </c>
      <c r="B216" s="50">
        <f>VLOOKUP($A216,'Data shares'!$C:$FB,7)</f>
        <v>202.51</v>
      </c>
      <c r="C216" s="50">
        <f>VLOOKUP($A216,'Data shares'!$C:$FB,10)*100</f>
        <v>0.13999999999999999</v>
      </c>
      <c r="D216" s="49">
        <f>VLOOKUP($A216,'Data shares'!$C:$FB,66)</f>
        <v>121494000</v>
      </c>
      <c r="E216" s="49">
        <f>VLOOKUP($A216,'Data shares'!$C:$FB,67)</f>
        <v>181593000</v>
      </c>
      <c r="F216" s="50">
        <f>VLOOKUP($A216,'Data shares'!$C:$FB,69)*100</f>
        <v>-33.1</v>
      </c>
      <c r="G216" s="49">
        <f>VLOOKUP($A216,'Data shares'!$C:$FB,42)</f>
        <v>38040000</v>
      </c>
      <c r="H216" s="49">
        <f>VLOOKUP($A216,'Data shares'!$C:$FB,43)</f>
        <v>51603000</v>
      </c>
      <c r="I216" s="50">
        <f>VLOOKUP($A216,'Data shares'!$C:$FB,45)*100</f>
        <v>-26.279999999999998</v>
      </c>
      <c r="J216" s="49">
        <f>VLOOKUP($A216,'Data shares'!$C:$FB,58)</f>
        <v>57768000</v>
      </c>
      <c r="K216" s="49">
        <f>VLOOKUP($A216,'Data shares'!$C:$FB,59)</f>
        <v>99702000</v>
      </c>
      <c r="L216" s="50">
        <f>VLOOKUP($A216,'Data shares'!$C:$FB,61)*100</f>
        <v>-42.059999999999995</v>
      </c>
      <c r="M216" s="49">
        <f>VLOOKUP($A216,'Data shares'!$C:$FB,62)</f>
        <v>25686000</v>
      </c>
      <c r="N216" s="49">
        <f>VLOOKUP($A216,'Data shares'!$C:$FB,63)</f>
        <v>30288000</v>
      </c>
      <c r="O216" s="140">
        <f>VLOOKUP($A216,'Data shares'!$C:$FB,65)*100</f>
        <v>-15.190000000000001</v>
      </c>
    </row>
    <row r="217" spans="1:15" x14ac:dyDescent="0.25">
      <c r="A217" s="101" t="str">
        <f>'Data Vlaue (Cr)'!C213</f>
        <v>ZYDUSLIFE</v>
      </c>
      <c r="B217" s="50">
        <f>VLOOKUP($A217,'Data shares'!$C:$FB,7)</f>
        <v>916.9</v>
      </c>
      <c r="C217" s="50">
        <f>VLOOKUP($A217,'Data shares'!$C:$FB,10)*100</f>
        <v>-0.53</v>
      </c>
      <c r="D217" s="49">
        <f>VLOOKUP($A217,'Data shares'!$C:$FB,66)</f>
        <v>4365000</v>
      </c>
      <c r="E217" s="49">
        <f>VLOOKUP($A217,'Data shares'!$C:$FB,67)</f>
        <v>6585300</v>
      </c>
      <c r="F217" s="50">
        <f>VLOOKUP($A217,'Data shares'!$C:$FB,69)*100</f>
        <v>-33.72</v>
      </c>
      <c r="G217" s="49">
        <f>VLOOKUP($A217,'Data shares'!$C:$FB,42)</f>
        <v>1156500</v>
      </c>
      <c r="H217" s="49">
        <f>VLOOKUP($A217,'Data shares'!$C:$FB,43)</f>
        <v>1255500</v>
      </c>
      <c r="I217" s="50">
        <f>VLOOKUP($A217,'Data shares'!$C:$FB,45)*100</f>
        <v>-7.89</v>
      </c>
      <c r="J217" s="49">
        <f>VLOOKUP($A217,'Data shares'!$C:$FB,58)</f>
        <v>2360700</v>
      </c>
      <c r="K217" s="49">
        <f>VLOOKUP($A217,'Data shares'!$C:$FB,59)</f>
        <v>3930300</v>
      </c>
      <c r="L217" s="50">
        <f>VLOOKUP($A217,'Data shares'!$C:$FB,61)*100</f>
        <v>-39.94</v>
      </c>
      <c r="M217" s="49">
        <f>VLOOKUP($A217,'Data shares'!$C:$FB,62)</f>
        <v>847800</v>
      </c>
      <c r="N217" s="49">
        <f>VLOOKUP($A217,'Data shares'!$C:$FB,63)</f>
        <v>1399500</v>
      </c>
      <c r="O217" s="140">
        <f>VLOOKUP($A217,'Data shares'!$C:$FB,65)*100</f>
        <v>-39.42</v>
      </c>
    </row>
    <row r="218" spans="1:15" x14ac:dyDescent="0.25">
      <c r="A218" s="101"/>
      <c r="B218" s="50"/>
      <c r="C218" s="50"/>
      <c r="D218" s="49"/>
      <c r="E218" s="49"/>
      <c r="F218" s="50"/>
      <c r="G218" s="49"/>
      <c r="H218" s="49"/>
      <c r="I218" s="50"/>
      <c r="J218" s="49"/>
      <c r="K218" s="49"/>
      <c r="L218" s="50"/>
      <c r="M218" s="49"/>
      <c r="N218" s="49"/>
      <c r="O218" s="140"/>
    </row>
    <row r="219" spans="1:15" x14ac:dyDescent="0.25">
      <c r="A219" s="101"/>
      <c r="B219" s="50"/>
      <c r="C219" s="50"/>
      <c r="D219" s="49"/>
      <c r="E219" s="49"/>
      <c r="F219" s="50"/>
      <c r="G219" s="49"/>
      <c r="H219" s="49"/>
      <c r="I219" s="50"/>
      <c r="J219" s="49"/>
      <c r="K219" s="49"/>
      <c r="L219" s="50"/>
      <c r="M219" s="49"/>
      <c r="N219" s="49"/>
      <c r="O219" s="140"/>
    </row>
    <row r="220" spans="1:15" x14ac:dyDescent="0.25">
      <c r="A220" s="101"/>
      <c r="B220" s="50"/>
      <c r="C220" s="50"/>
      <c r="D220" s="49"/>
      <c r="E220" s="49"/>
      <c r="F220" s="50"/>
      <c r="G220" s="49"/>
      <c r="H220" s="49"/>
      <c r="I220" s="50"/>
      <c r="J220" s="49"/>
      <c r="K220" s="49"/>
      <c r="L220" s="50"/>
      <c r="M220" s="49"/>
      <c r="N220" s="49"/>
      <c r="O220" s="140"/>
    </row>
    <row r="221" spans="1:15" x14ac:dyDescent="0.25">
      <c r="A221" s="101"/>
      <c r="B221" s="50"/>
      <c r="C221" s="50"/>
      <c r="D221" s="49"/>
      <c r="E221" s="49"/>
      <c r="F221" s="50"/>
      <c r="G221" s="49"/>
      <c r="H221" s="49"/>
      <c r="I221" s="50"/>
      <c r="J221" s="49"/>
      <c r="K221" s="49"/>
      <c r="L221" s="50"/>
      <c r="M221" s="49"/>
      <c r="N221" s="49"/>
      <c r="O221" s="140"/>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17"/>
      <c r="C225" s="17"/>
      <c r="D225" s="17"/>
      <c r="E225" s="17"/>
      <c r="F225" s="17"/>
      <c r="G225" s="17"/>
      <c r="H225" s="17"/>
      <c r="I225" s="17"/>
      <c r="J225" s="17"/>
      <c r="K225" s="17"/>
      <c r="L225" s="17"/>
      <c r="M225" s="17"/>
      <c r="N225" s="17"/>
      <c r="O225" s="17"/>
    </row>
    <row r="226" spans="1:15" x14ac:dyDescent="0.25">
      <c r="A226" s="102"/>
      <c r="B226" s="17"/>
      <c r="C226" s="17"/>
      <c r="D226" s="17"/>
      <c r="E226" s="17"/>
      <c r="F226" s="17"/>
      <c r="G226" s="17"/>
      <c r="H226" s="17"/>
      <c r="I226" s="17"/>
      <c r="J226" s="17"/>
      <c r="K226" s="17"/>
      <c r="L226" s="17"/>
      <c r="M226" s="17"/>
      <c r="N226" s="17"/>
      <c r="O226" s="17"/>
    </row>
    <row r="227" spans="1:15" x14ac:dyDescent="0.25">
      <c r="A227" s="133" t="s">
        <v>391</v>
      </c>
      <c r="B227" s="133"/>
      <c r="C227" s="133"/>
      <c r="D227" s="133">
        <f>SUM(D7:D221)</f>
        <v>14327656057</v>
      </c>
      <c r="E227" s="133">
        <f>SUM(E7:E221)</f>
        <v>11873588986</v>
      </c>
      <c r="F227" s="134">
        <f>(D227-E227)/E227</f>
        <v>0.20668283817921942</v>
      </c>
      <c r="G227" s="133">
        <f>SUM(G7:G221)</f>
        <v>2537418735</v>
      </c>
      <c r="H227" s="133">
        <f>SUM(H7:H221)</f>
        <v>1841145717</v>
      </c>
      <c r="I227" s="134">
        <f>(G227-H227)/H227</f>
        <v>0.37817377058808865</v>
      </c>
      <c r="J227" s="133">
        <f>SUM(J7:J221)</f>
        <v>7505149010</v>
      </c>
      <c r="K227" s="133">
        <f>SUM(K7:K221)</f>
        <v>6089111245</v>
      </c>
      <c r="L227" s="134">
        <f>(J227-K227)/K227</f>
        <v>0.23255245437710836</v>
      </c>
      <c r="M227" s="133">
        <f>SUM(M7:M221)</f>
        <v>4285088312</v>
      </c>
      <c r="N227" s="133">
        <f>SUM(N7:N221)</f>
        <v>3943332024</v>
      </c>
      <c r="O227" s="134">
        <f>(M227-N227)/N227</f>
        <v>8.6666881185757341E-2</v>
      </c>
    </row>
    <row r="228" spans="1:15" x14ac:dyDescent="0.25">
      <c r="A228" s="133" t="s">
        <v>398</v>
      </c>
      <c r="B228" s="133"/>
      <c r="C228" s="133"/>
      <c r="D228" s="133">
        <f>D227/10000000</f>
        <v>1432.7656056999999</v>
      </c>
      <c r="E228" s="133">
        <f>E227/10000000</f>
        <v>1187.3588986</v>
      </c>
      <c r="F228" s="134">
        <f>(D228-E228)/E228</f>
        <v>0.20668283817921937</v>
      </c>
      <c r="G228" s="133">
        <f>G227/10000000</f>
        <v>253.7418735</v>
      </c>
      <c r="H228" s="133">
        <f>H227/10000000</f>
        <v>184.1145717</v>
      </c>
      <c r="I228" s="134">
        <f>(G228-H228)/H228</f>
        <v>0.37817377058808865</v>
      </c>
      <c r="J228" s="133">
        <f>J227/10000000</f>
        <v>750.51490100000001</v>
      </c>
      <c r="K228" s="133">
        <f>K227/10000000</f>
        <v>608.91112450000003</v>
      </c>
      <c r="L228" s="134">
        <f>(J228-K228)/K228</f>
        <v>0.23255245437710831</v>
      </c>
      <c r="M228" s="133">
        <f>M227/10000000</f>
        <v>428.50883119999997</v>
      </c>
      <c r="N228" s="133">
        <f>N227/10000000</f>
        <v>394.3332024</v>
      </c>
      <c r="O228" s="134">
        <f>(M228-N228)/N228</f>
        <v>8.6666881185757258E-2</v>
      </c>
    </row>
    <row r="229" spans="1:15" x14ac:dyDescent="0.25">
      <c r="A229" s="17"/>
      <c r="B229" s="17"/>
      <c r="C229" s="17"/>
      <c r="D229" s="17"/>
      <c r="E229" s="17"/>
      <c r="F229" s="17"/>
      <c r="G229" s="17"/>
      <c r="H229" s="17"/>
      <c r="I229" s="17"/>
      <c r="J229" s="17"/>
      <c r="K229" s="17"/>
      <c r="L229" s="17"/>
      <c r="M229" s="17"/>
      <c r="N229" s="17"/>
      <c r="O229"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207" activePane="bottomLeft" state="frozen"/>
      <selection pane="bottomLeft" activeCell="A218" sqref="A218:O218"/>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8" t="s">
        <v>311</v>
      </c>
      <c r="B3" s="309"/>
      <c r="C3" s="309"/>
      <c r="D3" s="309"/>
      <c r="E3" s="309"/>
      <c r="F3" s="309"/>
      <c r="G3" s="309"/>
      <c r="H3" s="309"/>
      <c r="I3" s="309"/>
      <c r="J3" s="309"/>
      <c r="K3" s="309"/>
      <c r="L3" s="268"/>
      <c r="M3" s="268"/>
      <c r="N3" s="268"/>
      <c r="O3" s="310"/>
    </row>
    <row r="4" spans="1:19" s="104" customFormat="1" x14ac:dyDescent="0.25">
      <c r="A4" s="287" t="s">
        <v>330</v>
      </c>
      <c r="B4" s="287" t="s">
        <v>311</v>
      </c>
      <c r="C4" s="287"/>
      <c r="D4" s="287"/>
      <c r="E4" s="287"/>
      <c r="F4" s="287"/>
      <c r="G4" s="287"/>
      <c r="H4" s="287" t="s">
        <v>365</v>
      </c>
      <c r="I4" s="287"/>
      <c r="J4" s="287"/>
      <c r="K4" s="287"/>
      <c r="L4" s="287" t="s">
        <v>309</v>
      </c>
      <c r="M4" s="287"/>
      <c r="N4" s="287"/>
      <c r="O4" s="287"/>
    </row>
    <row r="5" spans="1:19" s="104" customFormat="1" x14ac:dyDescent="0.25">
      <c r="A5" s="306"/>
      <c r="B5" s="306" t="s">
        <v>316</v>
      </c>
      <c r="C5" s="306"/>
      <c r="D5" s="306"/>
      <c r="E5" s="306" t="s">
        <v>317</v>
      </c>
      <c r="F5" s="306"/>
      <c r="G5" s="306"/>
      <c r="H5" s="306" t="s">
        <v>336</v>
      </c>
      <c r="I5" s="306"/>
      <c r="J5" s="306" t="s">
        <v>342</v>
      </c>
      <c r="K5" s="306"/>
      <c r="L5" s="306" t="s">
        <v>336</v>
      </c>
      <c r="M5" s="306"/>
      <c r="N5" s="306" t="s">
        <v>342</v>
      </c>
      <c r="O5" s="307"/>
    </row>
    <row r="6" spans="1:19" s="104" customFormat="1" x14ac:dyDescent="0.25">
      <c r="A6" s="76" t="s">
        <v>318</v>
      </c>
      <c r="B6" s="3">
        <f>'Total Valume'!B6</f>
        <v>46093</v>
      </c>
      <c r="C6" s="76" t="s">
        <v>322</v>
      </c>
      <c r="D6" s="76" t="s">
        <v>328</v>
      </c>
      <c r="E6" s="3">
        <f>B6</f>
        <v>46093</v>
      </c>
      <c r="F6" s="76" t="s">
        <v>322</v>
      </c>
      <c r="G6" s="76" t="s">
        <v>328</v>
      </c>
      <c r="H6" s="3">
        <f>E6</f>
        <v>46093</v>
      </c>
      <c r="I6" s="76" t="s">
        <v>333</v>
      </c>
      <c r="J6" s="3">
        <f>E6</f>
        <v>46093</v>
      </c>
      <c r="K6" s="76" t="s">
        <v>333</v>
      </c>
      <c r="L6" s="3">
        <f>E6</f>
        <v>46093</v>
      </c>
      <c r="M6" s="76" t="s">
        <v>333</v>
      </c>
      <c r="N6" s="3">
        <f>E6</f>
        <v>46093</v>
      </c>
      <c r="O6" s="76" t="s">
        <v>333</v>
      </c>
    </row>
    <row r="7" spans="1:19" x14ac:dyDescent="0.25">
      <c r="A7" s="105" t="str">
        <f>'Data Vlaue (Cr)'!C2</f>
        <v>360ONE</v>
      </c>
      <c r="B7" s="143">
        <f>VLOOKUP($A7,'Data shares'!$C:$FA,118)</f>
        <v>0.4</v>
      </c>
      <c r="C7" s="143">
        <f>VLOOKUP($A7,'Data shares'!$C:$FA,119)</f>
        <v>0.42</v>
      </c>
      <c r="D7" s="143">
        <f>VLOOKUP($A7,'Data shares'!$C:$FA,121)*100</f>
        <v>-4.7600000000000007</v>
      </c>
      <c r="E7" s="143">
        <f>VLOOKUP($A7,'Data shares'!$C:$FA,124)</f>
        <v>0.45</v>
      </c>
      <c r="F7" s="143">
        <f>VLOOKUP($A7,'Data shares'!$C:$FA,125)</f>
        <v>0.33</v>
      </c>
      <c r="G7" s="143">
        <f>VLOOKUP($A7,'Data shares'!$C:$FA,127)*100</f>
        <v>36.36</v>
      </c>
      <c r="H7" s="103">
        <f>VLOOKUP($A7,'OI(Volume)'!$A$7:$O$440,8)</f>
        <v>1188500</v>
      </c>
      <c r="I7" s="103">
        <f>VLOOKUP($A7,'OI(Volume)'!$A$7:$O$440,9)</f>
        <v>63500</v>
      </c>
      <c r="J7" s="103">
        <f>VLOOKUP($A7,'OI(Volume)'!$A$7:$O$440,11)</f>
        <v>480500</v>
      </c>
      <c r="K7" s="103">
        <f>VLOOKUP($A7,'OI(Volume)'!$A$7:$O$440,12)</f>
        <v>12000</v>
      </c>
      <c r="L7" s="103">
        <f>VLOOKUP($A7,'OI(Value)'!$A$7:$O$323,8,0)</f>
        <v>124</v>
      </c>
      <c r="M7" s="103">
        <f>VLOOKUP($A7,'OI(Value)'!$A$7:$O$323,9,0)</f>
        <v>7</v>
      </c>
      <c r="N7" s="103">
        <f>VLOOKUP($A7,'OI(Value)'!$A$7:$O$323,11,0)</f>
        <v>50</v>
      </c>
      <c r="O7" s="103">
        <f>VLOOKUP($A7,'OI(Value)'!$A$7:$O$323,12,0)</f>
        <v>1</v>
      </c>
      <c r="P7" s="179">
        <f>VLOOKUP(A7,'OI(Value)'!A7:O182,8,0)</f>
        <v>124</v>
      </c>
      <c r="Q7" s="179">
        <f>VLOOKUP(A7,'OI(Value)'!A7:O182,9,0)</f>
        <v>7</v>
      </c>
      <c r="R7" s="179">
        <f>VLOOKUP(A7,'OI(Value)'!A7:O182,11,0)</f>
        <v>50</v>
      </c>
      <c r="S7" s="179">
        <f>VLOOKUP(A7,'OI(Value)'!A7:O182,12,0)</f>
        <v>1</v>
      </c>
    </row>
    <row r="8" spans="1:19" x14ac:dyDescent="0.25">
      <c r="A8" s="105" t="str">
        <f>'Data Vlaue (Cr)'!C3</f>
        <v>ABB</v>
      </c>
      <c r="B8" s="143">
        <f>VLOOKUP($A8,'Data shares'!$C:$FA,118)</f>
        <v>0.87</v>
      </c>
      <c r="C8" s="143">
        <f>VLOOKUP($A8,'Data shares'!$C:$FA,119)</f>
        <v>0.85</v>
      </c>
      <c r="D8" s="143">
        <f>VLOOKUP($A8,'Data shares'!$C:$FA,121)*100</f>
        <v>2.35</v>
      </c>
      <c r="E8" s="143">
        <f>VLOOKUP($A8,'Data shares'!$C:$FA,124)</f>
        <v>0.43</v>
      </c>
      <c r="F8" s="143">
        <f>VLOOKUP($A8,'Data shares'!$C:$FA,125)</f>
        <v>0.3</v>
      </c>
      <c r="G8" s="143">
        <f>VLOOKUP($A8,'Data shares'!$C:$FA,127)*100</f>
        <v>43.33</v>
      </c>
      <c r="H8" s="103">
        <f>VLOOKUP($A8,'OI(Volume)'!$A$7:$O$440,8)</f>
        <v>1155875</v>
      </c>
      <c r="I8" s="103">
        <f>VLOOKUP($A8,'OI(Volume)'!$A$7:$O$440,9)</f>
        <v>25750</v>
      </c>
      <c r="J8" s="103">
        <f>VLOOKUP($A8,'OI(Volume)'!$A$7:$O$440,11)</f>
        <v>999875</v>
      </c>
      <c r="K8" s="103">
        <f>VLOOKUP($A8,'OI(Volume)'!$A$7:$O$440,12)</f>
        <v>42875</v>
      </c>
      <c r="L8" s="103">
        <f>VLOOKUP($A8,'OI(Value)'!$A$7:$O$323,8,0)</f>
        <v>740</v>
      </c>
      <c r="M8" s="103">
        <f>VLOOKUP($A8,'OI(Value)'!$A$7:$O$323,9,0)</f>
        <v>16</v>
      </c>
      <c r="N8" s="103">
        <f>VLOOKUP($A8,'OI(Value)'!$A$7:$O$323,11,0)</f>
        <v>640</v>
      </c>
      <c r="O8" s="103">
        <f>VLOOKUP($A8,'OI(Value)'!$A$7:$O$323,12,0)</f>
        <v>27</v>
      </c>
      <c r="P8" s="179">
        <f>VLOOKUP(A8,'OI(Value)'!A8:O226,8,0)</f>
        <v>740</v>
      </c>
      <c r="Q8" s="179">
        <f>VLOOKUP(A8,'OI(Value)'!A8:O226,9,0)</f>
        <v>16</v>
      </c>
      <c r="R8" s="179">
        <f>VLOOKUP(A8,'OI(Value)'!A8:O226,11,0)</f>
        <v>640</v>
      </c>
      <c r="S8" s="179">
        <f>VLOOKUP(A8,'OI(Value)'!A8:O226,11,0)</f>
        <v>640</v>
      </c>
    </row>
    <row r="9" spans="1:19" x14ac:dyDescent="0.25">
      <c r="A9" s="105" t="str">
        <f>'Data Vlaue (Cr)'!C4</f>
        <v>ABCAPITAL</v>
      </c>
      <c r="B9" s="143">
        <f>VLOOKUP($A9,'Data shares'!$C:$FA,118)</f>
        <v>0.63</v>
      </c>
      <c r="C9" s="143">
        <f>VLOOKUP($A9,'Data shares'!$C:$FA,119)</f>
        <v>0.66</v>
      </c>
      <c r="D9" s="143">
        <f>VLOOKUP($A9,'Data shares'!$C:$FA,121)*100</f>
        <v>-4.55</v>
      </c>
      <c r="E9" s="143">
        <f>VLOOKUP($A9,'Data shares'!$C:$FA,124)</f>
        <v>0.52</v>
      </c>
      <c r="F9" s="143">
        <f>VLOOKUP($A9,'Data shares'!$C:$FA,125)</f>
        <v>0.78</v>
      </c>
      <c r="G9" s="143">
        <f>VLOOKUP($A9,'Data shares'!$C:$FA,127)*100</f>
        <v>-33.33</v>
      </c>
      <c r="H9" s="103">
        <f>VLOOKUP($A9,'OI(Volume)'!$A$7:$O$440,8)</f>
        <v>15558900</v>
      </c>
      <c r="I9" s="103">
        <f>VLOOKUP($A9,'OI(Volume)'!$A$7:$O$440,9)</f>
        <v>-77500</v>
      </c>
      <c r="J9" s="103">
        <f>VLOOKUP($A9,'OI(Volume)'!$A$7:$O$440,11)</f>
        <v>9768100</v>
      </c>
      <c r="K9" s="103">
        <f>VLOOKUP($A9,'OI(Volume)'!$A$7:$O$440,12)</f>
        <v>-573500</v>
      </c>
      <c r="L9" s="103">
        <f>VLOOKUP($A9,'OI(Value)'!$A$7:$O$323,8,0)</f>
        <v>500</v>
      </c>
      <c r="M9" s="103">
        <f>VLOOKUP($A9,'OI(Value)'!$A$7:$O$323,9,0)</f>
        <v>-2</v>
      </c>
      <c r="N9" s="103">
        <f>VLOOKUP($A9,'OI(Value)'!$A$7:$O$323,11,0)</f>
        <v>314</v>
      </c>
      <c r="O9" s="103">
        <f>VLOOKUP($A9,'OI(Value)'!$A$7:$O$323,12,0)</f>
        <v>-18</v>
      </c>
      <c r="P9" s="179">
        <f>VLOOKUP(A9,'OI(Value)'!A9:O227,8,0)</f>
        <v>500</v>
      </c>
      <c r="Q9" s="179">
        <f>VLOOKUP(A9,'OI(Value)'!A9:O227,9,0)</f>
        <v>-2</v>
      </c>
      <c r="R9" s="179">
        <f>VLOOKUP(A9,'OI(Value)'!A9:O227,11,0)</f>
        <v>314</v>
      </c>
      <c r="S9" s="179">
        <f>VLOOKUP(A9,'OI(Value)'!A9:O227,11,0)</f>
        <v>314</v>
      </c>
    </row>
    <row r="10" spans="1:19" x14ac:dyDescent="0.25">
      <c r="A10" s="105" t="str">
        <f>'Data Vlaue (Cr)'!C5</f>
        <v>ADANIENSOL</v>
      </c>
      <c r="B10" s="143">
        <f>VLOOKUP($A10,'Data shares'!$C:$FA,118)</f>
        <v>0.64</v>
      </c>
      <c r="C10" s="143">
        <f>VLOOKUP($A10,'Data shares'!$C:$FA,119)</f>
        <v>0.56000000000000005</v>
      </c>
      <c r="D10" s="143">
        <f>VLOOKUP($A10,'Data shares'!$C:$FA,121)*100</f>
        <v>14.29</v>
      </c>
      <c r="E10" s="143">
        <f>VLOOKUP($A10,'Data shares'!$C:$FA,124)</f>
        <v>0.26</v>
      </c>
      <c r="F10" s="143">
        <f>VLOOKUP($A10,'Data shares'!$C:$FA,125)</f>
        <v>0.27</v>
      </c>
      <c r="G10" s="143">
        <f>VLOOKUP($A10,'Data shares'!$C:$FA,127)*100</f>
        <v>-3.6999999999999997</v>
      </c>
      <c r="H10" s="103">
        <f>VLOOKUP($A10,'OI(Volume)'!$A$7:$O$440,8)</f>
        <v>3330450</v>
      </c>
      <c r="I10" s="103">
        <f>VLOOKUP($A10,'OI(Volume)'!$A$7:$O$440,9)</f>
        <v>-602775</v>
      </c>
      <c r="J10" s="103">
        <f>VLOOKUP($A10,'OI(Volume)'!$A$7:$O$440,11)</f>
        <v>2130300</v>
      </c>
      <c r="K10" s="103">
        <f>VLOOKUP($A10,'OI(Volume)'!$A$7:$O$440,12)</f>
        <v>-62775</v>
      </c>
      <c r="L10" s="103">
        <f>VLOOKUP($A10,'OI(Value)'!$A$7:$O$323,8,0)</f>
        <v>336</v>
      </c>
      <c r="M10" s="103">
        <f>VLOOKUP($A10,'OI(Value)'!$A$7:$O$323,9,0)</f>
        <v>-61</v>
      </c>
      <c r="N10" s="103">
        <f>VLOOKUP($A10,'OI(Value)'!$A$7:$O$323,11,0)</f>
        <v>215</v>
      </c>
      <c r="O10" s="103">
        <f>VLOOKUP($A10,'OI(Value)'!$A$7:$O$323,12,0)</f>
        <v>-6</v>
      </c>
      <c r="P10" s="179">
        <f>VLOOKUP(A10,'OI(Value)'!A10:O228,8,0)</f>
        <v>336</v>
      </c>
      <c r="Q10" s="179">
        <f>VLOOKUP(A10,'OI(Value)'!A10:O228,9,0)</f>
        <v>-61</v>
      </c>
      <c r="R10" s="179">
        <f>VLOOKUP(A10,'OI(Value)'!A10:O228,11,0)</f>
        <v>215</v>
      </c>
      <c r="S10" s="179">
        <f>VLOOKUP(A10,'OI(Value)'!A10:O228,11,0)</f>
        <v>215</v>
      </c>
    </row>
    <row r="11" spans="1:19" x14ac:dyDescent="0.25">
      <c r="A11" s="105" t="str">
        <f>'Data Vlaue (Cr)'!C6</f>
        <v>ADANIENT</v>
      </c>
      <c r="B11" s="143">
        <f>VLOOKUP($A11,'Data shares'!$C:$FA,118)</f>
        <v>0.83</v>
      </c>
      <c r="C11" s="143">
        <f>VLOOKUP($A11,'Data shares'!$C:$FA,119)</f>
        <v>0.85</v>
      </c>
      <c r="D11" s="143">
        <f>VLOOKUP($A11,'Data shares'!$C:$FA,121)*100</f>
        <v>-2.35</v>
      </c>
      <c r="E11" s="143">
        <f>VLOOKUP($A11,'Data shares'!$C:$FA,124)</f>
        <v>0.5</v>
      </c>
      <c r="F11" s="143">
        <f>VLOOKUP($A11,'Data shares'!$C:$FA,125)</f>
        <v>0.56999999999999995</v>
      </c>
      <c r="G11" s="143">
        <f>VLOOKUP($A11,'Data shares'!$C:$FA,127)*100</f>
        <v>-12.280000000000001</v>
      </c>
      <c r="H11" s="103">
        <f>VLOOKUP($A11,'OI(Volume)'!$A$7:$O$440,8)</f>
        <v>6825501</v>
      </c>
      <c r="I11" s="103">
        <f>VLOOKUP($A11,'OI(Volume)'!$A$7:$O$440,9)</f>
        <v>216609</v>
      </c>
      <c r="J11" s="103">
        <f>VLOOKUP($A11,'OI(Volume)'!$A$7:$O$440,11)</f>
        <v>5654391</v>
      </c>
      <c r="K11" s="103">
        <f>VLOOKUP($A11,'OI(Volume)'!$A$7:$O$440,12)</f>
        <v>47895</v>
      </c>
      <c r="L11" s="103">
        <f>VLOOKUP($A11,'OI(Value)'!$A$7:$O$323,8,0)</f>
        <v>1364</v>
      </c>
      <c r="M11" s="103">
        <f>VLOOKUP($A11,'OI(Value)'!$A$7:$O$323,9,0)</f>
        <v>43</v>
      </c>
      <c r="N11" s="103">
        <f>VLOOKUP($A11,'OI(Value)'!$A$7:$O$323,11,0)</f>
        <v>1130</v>
      </c>
      <c r="O11" s="103">
        <f>VLOOKUP($A11,'OI(Value)'!$A$7:$O$323,12,0)</f>
        <v>10</v>
      </c>
      <c r="P11" s="179">
        <f>VLOOKUP(A11,'OI(Value)'!A11:O229,8,0)</f>
        <v>1364</v>
      </c>
      <c r="Q11" s="179">
        <f>VLOOKUP(A11,'OI(Value)'!A11:O229,9,0)</f>
        <v>43</v>
      </c>
      <c r="R11" s="179">
        <f>VLOOKUP(A11,'OI(Value)'!A11:O229,11,0)</f>
        <v>1130</v>
      </c>
      <c r="S11" s="179">
        <f>VLOOKUP(A11,'OI(Value)'!A11:O229,11,0)</f>
        <v>1130</v>
      </c>
    </row>
    <row r="12" spans="1:19" x14ac:dyDescent="0.25">
      <c r="A12" s="105" t="str">
        <f>'Data Vlaue (Cr)'!C7</f>
        <v>ADANIGREEN</v>
      </c>
      <c r="B12" s="143">
        <f>VLOOKUP($A12,'Data shares'!$C:$FA,118)</f>
        <v>0.55000000000000004</v>
      </c>
      <c r="C12" s="143">
        <f>VLOOKUP($A12,'Data shares'!$C:$FA,119)</f>
        <v>0.57999999999999996</v>
      </c>
      <c r="D12" s="143">
        <f>VLOOKUP($A12,'Data shares'!$C:$FA,121)*100</f>
        <v>-5.17</v>
      </c>
      <c r="E12" s="143">
        <f>VLOOKUP($A12,'Data shares'!$C:$FA,124)</f>
        <v>0.28000000000000003</v>
      </c>
      <c r="F12" s="143">
        <f>VLOOKUP($A12,'Data shares'!$C:$FA,125)</f>
        <v>0.36</v>
      </c>
      <c r="G12" s="143">
        <f>VLOOKUP($A12,'Data shares'!$C:$FA,127)*100</f>
        <v>-22.220000000000002</v>
      </c>
      <c r="H12" s="103">
        <f>VLOOKUP($A12,'OI(Volume)'!$A$7:$O$440,8)</f>
        <v>9691200</v>
      </c>
      <c r="I12" s="103">
        <f>VLOOKUP($A12,'OI(Volume)'!$A$7:$O$440,9)</f>
        <v>816600</v>
      </c>
      <c r="J12" s="103">
        <f>VLOOKUP($A12,'OI(Volume)'!$A$7:$O$440,11)</f>
        <v>5352000</v>
      </c>
      <c r="K12" s="103">
        <f>VLOOKUP($A12,'OI(Volume)'!$A$7:$O$440,12)</f>
        <v>211800</v>
      </c>
      <c r="L12" s="103">
        <f>VLOOKUP($A12,'OI(Value)'!$A$7:$O$323,8,0)</f>
        <v>843</v>
      </c>
      <c r="M12" s="103">
        <f>VLOOKUP($A12,'OI(Value)'!$A$7:$O$323,9,0)</f>
        <v>71</v>
      </c>
      <c r="N12" s="103">
        <f>VLOOKUP($A12,'OI(Value)'!$A$7:$O$323,11,0)</f>
        <v>466</v>
      </c>
      <c r="O12" s="103">
        <f>VLOOKUP($A12,'OI(Value)'!$A$7:$O$323,12,0)</f>
        <v>18</v>
      </c>
      <c r="P12" s="179">
        <f>VLOOKUP(A12,'OI(Value)'!A12:O230,8,0)</f>
        <v>843</v>
      </c>
      <c r="Q12" s="179">
        <f>VLOOKUP(A12,'OI(Value)'!A12:O230,9,0)</f>
        <v>71</v>
      </c>
      <c r="R12" s="179">
        <f>VLOOKUP(A12,'OI(Value)'!A12:O230,11,0)</f>
        <v>466</v>
      </c>
      <c r="S12" s="179">
        <f>VLOOKUP(A12,'OI(Value)'!A12:O230,11,0)</f>
        <v>466</v>
      </c>
    </row>
    <row r="13" spans="1:19" x14ac:dyDescent="0.25">
      <c r="A13" s="105" t="str">
        <f>'Data Vlaue (Cr)'!C8</f>
        <v>ADANIPORTS</v>
      </c>
      <c r="B13" s="143">
        <f>VLOOKUP($A13,'Data shares'!$C:$FA,118)</f>
        <v>0.79</v>
      </c>
      <c r="C13" s="143">
        <f>VLOOKUP($A13,'Data shares'!$C:$FA,119)</f>
        <v>0.85</v>
      </c>
      <c r="D13" s="143">
        <f>VLOOKUP($A13,'Data shares'!$C:$FA,121)*100</f>
        <v>-7.06</v>
      </c>
      <c r="E13" s="143">
        <f>VLOOKUP($A13,'Data shares'!$C:$FA,124)</f>
        <v>0.94</v>
      </c>
      <c r="F13" s="143">
        <f>VLOOKUP($A13,'Data shares'!$C:$FA,125)</f>
        <v>0.91</v>
      </c>
      <c r="G13" s="143">
        <f>VLOOKUP($A13,'Data shares'!$C:$FA,127)*100</f>
        <v>3.3000000000000003</v>
      </c>
      <c r="H13" s="103">
        <f>VLOOKUP($A13,'OI(Volume)'!$A$7:$O$440,8)</f>
        <v>8851150</v>
      </c>
      <c r="I13" s="103">
        <f>VLOOKUP($A13,'OI(Volume)'!$A$7:$O$440,9)</f>
        <v>336775</v>
      </c>
      <c r="J13" s="103">
        <f>VLOOKUP($A13,'OI(Volume)'!$A$7:$O$440,11)</f>
        <v>7008150</v>
      </c>
      <c r="K13" s="103">
        <f>VLOOKUP($A13,'OI(Volume)'!$A$7:$O$440,12)</f>
        <v>-240350</v>
      </c>
      <c r="L13" s="103">
        <f>VLOOKUP($A13,'OI(Value)'!$A$7:$O$323,8,0)</f>
        <v>1237</v>
      </c>
      <c r="M13" s="103">
        <f>VLOOKUP($A13,'OI(Value)'!$A$7:$O$323,9,0)</f>
        <v>47</v>
      </c>
      <c r="N13" s="103">
        <f>VLOOKUP($A13,'OI(Value)'!$A$7:$O$323,11,0)</f>
        <v>979</v>
      </c>
      <c r="O13" s="103">
        <f>VLOOKUP($A13,'OI(Value)'!$A$7:$O$323,12,0)</f>
        <v>-34</v>
      </c>
      <c r="P13" s="179">
        <f>VLOOKUP(A13,'OI(Value)'!A13:O231,8,0)</f>
        <v>1237</v>
      </c>
      <c r="Q13" s="179">
        <f>VLOOKUP(A13,'OI(Value)'!A13:O231,9,0)</f>
        <v>47</v>
      </c>
      <c r="R13" s="179">
        <f>VLOOKUP(A13,'OI(Value)'!A13:O231,11,0)</f>
        <v>979</v>
      </c>
      <c r="S13" s="179">
        <f>VLOOKUP(A13,'OI(Value)'!A13:O231,11,0)</f>
        <v>979</v>
      </c>
    </row>
    <row r="14" spans="1:19" x14ac:dyDescent="0.25">
      <c r="A14" s="105" t="str">
        <f>'Data Vlaue (Cr)'!C9</f>
        <v>ALKEM</v>
      </c>
      <c r="B14" s="143">
        <f>VLOOKUP($A14,'Data shares'!$C:$FA,118)</f>
        <v>0.7</v>
      </c>
      <c r="C14" s="143">
        <f>VLOOKUP($A14,'Data shares'!$C:$FA,119)</f>
        <v>0.64</v>
      </c>
      <c r="D14" s="143">
        <f>VLOOKUP($A14,'Data shares'!$C:$FA,121)*100</f>
        <v>9.370000000000001</v>
      </c>
      <c r="E14" s="143">
        <f>VLOOKUP($A14,'Data shares'!$C:$FA,124)</f>
        <v>0.47</v>
      </c>
      <c r="F14" s="143">
        <f>VLOOKUP($A14,'Data shares'!$C:$FA,125)</f>
        <v>0.25</v>
      </c>
      <c r="G14" s="143">
        <f>VLOOKUP($A14,'Data shares'!$C:$FA,127)*100</f>
        <v>88</v>
      </c>
      <c r="H14" s="103">
        <f>VLOOKUP($A14,'OI(Volume)'!$A$7:$O$440,8)</f>
        <v>235625</v>
      </c>
      <c r="I14" s="103">
        <f>VLOOKUP($A14,'OI(Volume)'!$A$7:$O$440,9)</f>
        <v>3000</v>
      </c>
      <c r="J14" s="103">
        <f>VLOOKUP($A14,'OI(Volume)'!$A$7:$O$440,11)</f>
        <v>164250</v>
      </c>
      <c r="K14" s="103">
        <f>VLOOKUP($A14,'OI(Volume)'!$A$7:$O$440,12)</f>
        <v>16125</v>
      </c>
      <c r="L14" s="103">
        <f>VLOOKUP($A14,'OI(Value)'!$A$7:$O$323,8,0)</f>
        <v>129</v>
      </c>
      <c r="M14" s="103">
        <f>VLOOKUP($A14,'OI(Value)'!$A$7:$O$323,9,0)</f>
        <v>2</v>
      </c>
      <c r="N14" s="103">
        <f>VLOOKUP($A14,'OI(Value)'!$A$7:$O$323,11,0)</f>
        <v>90</v>
      </c>
      <c r="O14" s="103">
        <f>VLOOKUP($A14,'OI(Value)'!$A$7:$O$323,12,0)</f>
        <v>9</v>
      </c>
      <c r="P14" s="179">
        <f>VLOOKUP(A14,'OI(Value)'!A14:O232,8,0)</f>
        <v>129</v>
      </c>
      <c r="Q14" s="179">
        <f>VLOOKUP(A14,'OI(Value)'!A14:O232,9,0)</f>
        <v>2</v>
      </c>
      <c r="R14" s="179">
        <f>VLOOKUP(A14,'OI(Value)'!A14:O232,11,0)</f>
        <v>90</v>
      </c>
      <c r="S14" s="179">
        <f>VLOOKUP(A14,'OI(Value)'!A14:O232,11,0)</f>
        <v>90</v>
      </c>
    </row>
    <row r="15" spans="1:19" x14ac:dyDescent="0.25">
      <c r="A15" s="105" t="str">
        <f>'Data Vlaue (Cr)'!C10</f>
        <v>AMBER</v>
      </c>
      <c r="B15" s="143">
        <f>VLOOKUP($A15,'Data shares'!$C:$FA,118)</f>
        <v>0.53</v>
      </c>
      <c r="C15" s="143">
        <f>VLOOKUP($A15,'Data shares'!$C:$FA,119)</f>
        <v>0.57999999999999996</v>
      </c>
      <c r="D15" s="143">
        <f>VLOOKUP($A15,'Data shares'!$C:$FA,121)*100</f>
        <v>-8.6199999999999992</v>
      </c>
      <c r="E15" s="143">
        <f>VLOOKUP($A15,'Data shares'!$C:$FA,124)</f>
        <v>0.81</v>
      </c>
      <c r="F15" s="143">
        <f>VLOOKUP($A15,'Data shares'!$C:$FA,125)</f>
        <v>0.39</v>
      </c>
      <c r="G15" s="143">
        <f>VLOOKUP($A15,'Data shares'!$C:$FA,127)*100</f>
        <v>107.69</v>
      </c>
      <c r="H15" s="103">
        <f>VLOOKUP($A15,'OI(Volume)'!$A$7:$O$440,8)</f>
        <v>1173300</v>
      </c>
      <c r="I15" s="103">
        <f>VLOOKUP($A15,'OI(Volume)'!$A$7:$O$440,9)</f>
        <v>183700</v>
      </c>
      <c r="J15" s="103">
        <f>VLOOKUP($A15,'OI(Volume)'!$A$7:$O$440,11)</f>
        <v>621800</v>
      </c>
      <c r="K15" s="103">
        <f>VLOOKUP($A15,'OI(Volume)'!$A$7:$O$440,12)</f>
        <v>46000</v>
      </c>
      <c r="L15" s="103">
        <f>VLOOKUP($A15,'OI(Value)'!$A$7:$O$323,8,0)</f>
        <v>816</v>
      </c>
      <c r="M15" s="103">
        <f>VLOOKUP($A15,'OI(Value)'!$A$7:$O$323,9,0)</f>
        <v>128</v>
      </c>
      <c r="N15" s="103">
        <f>VLOOKUP($A15,'OI(Value)'!$A$7:$O$323,11,0)</f>
        <v>432</v>
      </c>
      <c r="O15" s="103">
        <f>VLOOKUP($A15,'OI(Value)'!$A$7:$O$323,12,0)</f>
        <v>32</v>
      </c>
      <c r="P15" s="179">
        <f>VLOOKUP(A15,'OI(Value)'!A15:O233,8,0)</f>
        <v>816</v>
      </c>
      <c r="Q15" s="179">
        <f>VLOOKUP(A15,'OI(Value)'!A15:O233,9,0)</f>
        <v>128</v>
      </c>
      <c r="R15" s="179">
        <f>VLOOKUP(A15,'OI(Value)'!A15:O233,11,0)</f>
        <v>432</v>
      </c>
      <c r="S15" s="179">
        <f>VLOOKUP(A15,'OI(Value)'!A15:O233,11,0)</f>
        <v>432</v>
      </c>
    </row>
    <row r="16" spans="1:19" x14ac:dyDescent="0.25">
      <c r="A16" s="105" t="str">
        <f>'Data Vlaue (Cr)'!C11</f>
        <v>AMBUJACEM</v>
      </c>
      <c r="B16" s="143">
        <f>VLOOKUP($A16,'Data shares'!$C:$FA,118)</f>
        <v>0.66</v>
      </c>
      <c r="C16" s="143">
        <f>VLOOKUP($A16,'Data shares'!$C:$FA,119)</f>
        <v>0.68</v>
      </c>
      <c r="D16" s="143">
        <f>VLOOKUP($A16,'Data shares'!$C:$FA,121)*100</f>
        <v>-2.94</v>
      </c>
      <c r="E16" s="143">
        <f>VLOOKUP($A16,'Data shares'!$C:$FA,124)</f>
        <v>0.46</v>
      </c>
      <c r="F16" s="143">
        <f>VLOOKUP($A16,'Data shares'!$C:$FA,125)</f>
        <v>0.46</v>
      </c>
      <c r="G16" s="143">
        <f>VLOOKUP($A16,'Data shares'!$C:$FA,127)*100</f>
        <v>0</v>
      </c>
      <c r="H16" s="103">
        <f>VLOOKUP($A16,'OI(Volume)'!$A$7:$O$440,8)</f>
        <v>16584750</v>
      </c>
      <c r="I16" s="103">
        <f>VLOOKUP($A16,'OI(Volume)'!$A$7:$O$440,9)</f>
        <v>859950</v>
      </c>
      <c r="J16" s="103">
        <f>VLOOKUP($A16,'OI(Volume)'!$A$7:$O$440,11)</f>
        <v>10927350</v>
      </c>
      <c r="K16" s="103">
        <f>VLOOKUP($A16,'OI(Volume)'!$A$7:$O$440,12)</f>
        <v>204750</v>
      </c>
      <c r="L16" s="103">
        <f>VLOOKUP($A16,'OI(Value)'!$A$7:$O$323,8,0)</f>
        <v>744</v>
      </c>
      <c r="M16" s="103">
        <f>VLOOKUP($A16,'OI(Value)'!$A$7:$O$323,9,0)</f>
        <v>39</v>
      </c>
      <c r="N16" s="103">
        <f>VLOOKUP($A16,'OI(Value)'!$A$7:$O$323,11,0)</f>
        <v>490</v>
      </c>
      <c r="O16" s="103">
        <f>VLOOKUP($A16,'OI(Value)'!$A$7:$O$323,12,0)</f>
        <v>9</v>
      </c>
      <c r="P16" s="179">
        <f>VLOOKUP(A16,'OI(Value)'!A16:O234,8,0)</f>
        <v>744</v>
      </c>
      <c r="Q16" s="179">
        <f>VLOOKUP(A16,'OI(Value)'!A16:O234,9,0)</f>
        <v>39</v>
      </c>
      <c r="R16" s="179">
        <f>VLOOKUP(A16,'OI(Value)'!A16:O234,11,0)</f>
        <v>490</v>
      </c>
      <c r="S16" s="179">
        <f>VLOOKUP(A16,'OI(Value)'!A16:O234,11,0)</f>
        <v>490</v>
      </c>
    </row>
    <row r="17" spans="1:19" x14ac:dyDescent="0.25">
      <c r="A17" s="105" t="str">
        <f>'Data Vlaue (Cr)'!C12</f>
        <v>ANGELONE</v>
      </c>
      <c r="B17" s="143">
        <f>VLOOKUP($A17,'Data shares'!$C:$FA,118)</f>
        <v>0.54</v>
      </c>
      <c r="C17" s="143">
        <f>VLOOKUP($A17,'Data shares'!$C:$FA,119)</f>
        <v>0.59</v>
      </c>
      <c r="D17" s="143">
        <f>VLOOKUP($A17,'Data shares'!$C:$FA,121)*100</f>
        <v>-8.4699999999999989</v>
      </c>
      <c r="E17" s="143">
        <f>VLOOKUP($A17,'Data shares'!$C:$FA,124)</f>
        <v>0.55000000000000004</v>
      </c>
      <c r="F17" s="143">
        <f>VLOOKUP($A17,'Data shares'!$C:$FA,125)</f>
        <v>0.49</v>
      </c>
      <c r="G17" s="143">
        <f>VLOOKUP($A17,'Data shares'!$C:$FA,127)*100</f>
        <v>12.24</v>
      </c>
      <c r="H17" s="103">
        <f>VLOOKUP($A17,'OI(Volume)'!$A$7:$O$440,8)</f>
        <v>26565000</v>
      </c>
      <c r="I17" s="103">
        <f>VLOOKUP($A17,'OI(Volume)'!$A$7:$O$440,9)</f>
        <v>1225000</v>
      </c>
      <c r="J17" s="103">
        <f>VLOOKUP($A17,'OI(Volume)'!$A$7:$O$440,11)</f>
        <v>14325000</v>
      </c>
      <c r="K17" s="103">
        <f>VLOOKUP($A17,'OI(Volume)'!$A$7:$O$440,12)</f>
        <v>-547500</v>
      </c>
      <c r="L17" s="103">
        <f>VLOOKUP($A17,'OI(Value)'!$A$7:$O$323,8,0)</f>
        <v>568</v>
      </c>
      <c r="M17" s="103">
        <f>VLOOKUP($A17,'OI(Value)'!$A$7:$O$323,9,0)</f>
        <v>26</v>
      </c>
      <c r="N17" s="103">
        <f>VLOOKUP($A17,'OI(Value)'!$A$7:$O$323,11,0)</f>
        <v>306</v>
      </c>
      <c r="O17" s="103">
        <f>VLOOKUP($A17,'OI(Value)'!$A$7:$O$323,12,0)</f>
        <v>-12</v>
      </c>
      <c r="P17" s="179">
        <f>VLOOKUP(A17,'OI(Value)'!A17:O235,8,0)</f>
        <v>568</v>
      </c>
      <c r="Q17" s="179">
        <f>VLOOKUP(A17,'OI(Value)'!A17:O235,9,0)</f>
        <v>26</v>
      </c>
      <c r="R17" s="179">
        <f>VLOOKUP(A17,'OI(Value)'!A17:O235,11,0)</f>
        <v>306</v>
      </c>
      <c r="S17" s="179">
        <f>VLOOKUP(A17,'OI(Value)'!A17:O235,11,0)</f>
        <v>306</v>
      </c>
    </row>
    <row r="18" spans="1:19" x14ac:dyDescent="0.25">
      <c r="A18" s="105" t="str">
        <f>'Data Vlaue (Cr)'!C13</f>
        <v>APLAPOLLO</v>
      </c>
      <c r="B18" s="143">
        <f>VLOOKUP($A18,'Data shares'!$C:$FA,118)</f>
        <v>0.74</v>
      </c>
      <c r="C18" s="143">
        <f>VLOOKUP($A18,'Data shares'!$C:$FA,119)</f>
        <v>0.81</v>
      </c>
      <c r="D18" s="143">
        <f>VLOOKUP($A18,'Data shares'!$C:$FA,121)*100</f>
        <v>-8.64</v>
      </c>
      <c r="E18" s="143">
        <f>VLOOKUP($A18,'Data shares'!$C:$FA,124)</f>
        <v>0.65</v>
      </c>
      <c r="F18" s="143">
        <f>VLOOKUP($A18,'Data shares'!$C:$FA,125)</f>
        <v>1.01</v>
      </c>
      <c r="G18" s="143">
        <f>VLOOKUP($A18,'Data shares'!$C:$FA,127)*100</f>
        <v>-35.64</v>
      </c>
      <c r="H18" s="103">
        <f>VLOOKUP($A18,'OI(Volume)'!$A$7:$O$440,8)</f>
        <v>1779750</v>
      </c>
      <c r="I18" s="103">
        <f>VLOOKUP($A18,'OI(Volume)'!$A$7:$O$440,9)</f>
        <v>85050</v>
      </c>
      <c r="J18" s="103">
        <f>VLOOKUP($A18,'OI(Volume)'!$A$7:$O$440,11)</f>
        <v>1317400</v>
      </c>
      <c r="K18" s="103">
        <f>VLOOKUP($A18,'OI(Volume)'!$A$7:$O$440,12)</f>
        <v>-57050</v>
      </c>
      <c r="L18" s="103">
        <f>VLOOKUP($A18,'OI(Value)'!$A$7:$O$323,8,0)</f>
        <v>358</v>
      </c>
      <c r="M18" s="103">
        <f>VLOOKUP($A18,'OI(Value)'!$A$7:$O$323,9,0)</f>
        <v>17</v>
      </c>
      <c r="N18" s="103">
        <f>VLOOKUP($A18,'OI(Value)'!$A$7:$O$323,11,0)</f>
        <v>265</v>
      </c>
      <c r="O18" s="103">
        <f>VLOOKUP($A18,'OI(Value)'!$A$7:$O$323,12,0)</f>
        <v>-11</v>
      </c>
      <c r="P18" s="179">
        <f>VLOOKUP(A18,'OI(Value)'!A18:O236,8,0)</f>
        <v>358</v>
      </c>
      <c r="Q18" s="179">
        <f>VLOOKUP(A18,'OI(Value)'!A18:O236,9,0)</f>
        <v>17</v>
      </c>
      <c r="R18" s="179">
        <f>VLOOKUP(A18,'OI(Value)'!A18:O236,11,0)</f>
        <v>265</v>
      </c>
      <c r="S18" s="179">
        <f>VLOOKUP(A18,'OI(Value)'!A18:O236,11,0)</f>
        <v>265</v>
      </c>
    </row>
    <row r="19" spans="1:19" x14ac:dyDescent="0.25">
      <c r="A19" s="105" t="str">
        <f>'Data Vlaue (Cr)'!C14</f>
        <v>APOLLOHOSP</v>
      </c>
      <c r="B19" s="143">
        <f>VLOOKUP($A19,'Data shares'!$C:$FA,118)</f>
        <v>0.72</v>
      </c>
      <c r="C19" s="143">
        <f>VLOOKUP($A19,'Data shares'!$C:$FA,119)</f>
        <v>0.75</v>
      </c>
      <c r="D19" s="143">
        <f>VLOOKUP($A19,'Data shares'!$C:$FA,121)*100</f>
        <v>-4</v>
      </c>
      <c r="E19" s="143">
        <f>VLOOKUP($A19,'Data shares'!$C:$FA,124)</f>
        <v>0.55000000000000004</v>
      </c>
      <c r="F19" s="143">
        <f>VLOOKUP($A19,'Data shares'!$C:$FA,125)</f>
        <v>0.86</v>
      </c>
      <c r="G19" s="143">
        <f>VLOOKUP($A19,'Data shares'!$C:$FA,127)*100</f>
        <v>-36.049999999999997</v>
      </c>
      <c r="H19" s="103">
        <f>VLOOKUP($A19,'OI(Volume)'!$A$7:$O$440,8)</f>
        <v>1070000</v>
      </c>
      <c r="I19" s="103">
        <f>VLOOKUP($A19,'OI(Volume)'!$A$7:$O$440,9)</f>
        <v>19375</v>
      </c>
      <c r="J19" s="103">
        <f>VLOOKUP($A19,'OI(Volume)'!$A$7:$O$440,11)</f>
        <v>766250</v>
      </c>
      <c r="K19" s="103">
        <f>VLOOKUP($A19,'OI(Volume)'!$A$7:$O$440,12)</f>
        <v>-21875</v>
      </c>
      <c r="L19" s="103">
        <f>VLOOKUP($A19,'OI(Value)'!$A$7:$O$323,8,0)</f>
        <v>811</v>
      </c>
      <c r="M19" s="103">
        <f>VLOOKUP($A19,'OI(Value)'!$A$7:$O$323,9,0)</f>
        <v>15</v>
      </c>
      <c r="N19" s="103">
        <f>VLOOKUP($A19,'OI(Value)'!$A$7:$O$323,11,0)</f>
        <v>581</v>
      </c>
      <c r="O19" s="103">
        <f>VLOOKUP($A19,'OI(Value)'!$A$7:$O$323,12,0)</f>
        <v>-17</v>
      </c>
      <c r="P19" s="179">
        <f>VLOOKUP(A19,'OI(Value)'!A19:O237,8,0)</f>
        <v>811</v>
      </c>
      <c r="Q19" s="179">
        <f>VLOOKUP(A19,'OI(Value)'!A19:O237,9,0)</f>
        <v>15</v>
      </c>
      <c r="R19" s="179">
        <f>VLOOKUP(A19,'OI(Value)'!A19:O237,11,0)</f>
        <v>581</v>
      </c>
      <c r="S19" s="179">
        <f>VLOOKUP(A19,'OI(Value)'!A19:O237,11,0)</f>
        <v>581</v>
      </c>
    </row>
    <row r="20" spans="1:19" x14ac:dyDescent="0.25">
      <c r="A20" s="105" t="str">
        <f>'Data Vlaue (Cr)'!C15</f>
        <v>ASHOKLEY</v>
      </c>
      <c r="B20" s="143">
        <f>VLOOKUP($A20,'Data shares'!$C:$FA,118)</f>
        <v>0.54</v>
      </c>
      <c r="C20" s="143">
        <f>VLOOKUP($A20,'Data shares'!$C:$FA,119)</f>
        <v>0.5</v>
      </c>
      <c r="D20" s="143">
        <f>VLOOKUP($A20,'Data shares'!$C:$FA,121)*100</f>
        <v>8</v>
      </c>
      <c r="E20" s="143">
        <f>VLOOKUP($A20,'Data shares'!$C:$FA,124)</f>
        <v>0.68</v>
      </c>
      <c r="F20" s="143">
        <f>VLOOKUP($A20,'Data shares'!$C:$FA,125)</f>
        <v>0.62</v>
      </c>
      <c r="G20" s="143">
        <f>VLOOKUP($A20,'Data shares'!$C:$FA,127)*100</f>
        <v>9.68</v>
      </c>
      <c r="H20" s="103">
        <f>VLOOKUP($A20,'OI(Volume)'!$A$7:$O$440,8)</f>
        <v>78610000</v>
      </c>
      <c r="I20" s="103">
        <f>VLOOKUP($A20,'OI(Volume)'!$A$7:$O$440,9)</f>
        <v>5605000</v>
      </c>
      <c r="J20" s="103">
        <f>VLOOKUP($A20,'OI(Volume)'!$A$7:$O$440,11)</f>
        <v>42305000</v>
      </c>
      <c r="K20" s="103">
        <f>VLOOKUP($A20,'OI(Volume)'!$A$7:$O$440,12)</f>
        <v>6010000</v>
      </c>
      <c r="L20" s="103">
        <f>VLOOKUP($A20,'OI(Value)'!$A$7:$O$323,8,0)</f>
        <v>1407</v>
      </c>
      <c r="M20" s="103">
        <f>VLOOKUP($A20,'OI(Value)'!$A$7:$O$323,9,0)</f>
        <v>100</v>
      </c>
      <c r="N20" s="103">
        <f>VLOOKUP($A20,'OI(Value)'!$A$7:$O$323,11,0)</f>
        <v>757</v>
      </c>
      <c r="O20" s="103">
        <f>VLOOKUP($A20,'OI(Value)'!$A$7:$O$323,12,0)</f>
        <v>108</v>
      </c>
      <c r="P20" s="179">
        <f>VLOOKUP(A20,'OI(Value)'!A20:O238,8,0)</f>
        <v>1407</v>
      </c>
      <c r="Q20" s="179">
        <f>VLOOKUP(A20,'OI(Value)'!A20:O238,9,0)</f>
        <v>100</v>
      </c>
      <c r="R20" s="179">
        <f>VLOOKUP(A20,'OI(Value)'!A20:O238,11,0)</f>
        <v>757</v>
      </c>
      <c r="S20" s="179">
        <f>VLOOKUP(A20,'OI(Value)'!A20:O238,11,0)</f>
        <v>757</v>
      </c>
    </row>
    <row r="21" spans="1:19" x14ac:dyDescent="0.25">
      <c r="A21" s="105" t="str">
        <f>'Data Vlaue (Cr)'!C16</f>
        <v>ASIANPAINT</v>
      </c>
      <c r="B21" s="143">
        <f>VLOOKUP($A21,'Data shares'!$C:$FA,118)</f>
        <v>0.94</v>
      </c>
      <c r="C21" s="143">
        <f>VLOOKUP($A21,'Data shares'!$C:$FA,119)</f>
        <v>0.98</v>
      </c>
      <c r="D21" s="143">
        <f>VLOOKUP($A21,'Data shares'!$C:$FA,121)*100</f>
        <v>-4.08</v>
      </c>
      <c r="E21" s="143">
        <f>VLOOKUP($A21,'Data shares'!$C:$FA,124)</f>
        <v>1.05</v>
      </c>
      <c r="F21" s="143">
        <f>VLOOKUP($A21,'Data shares'!$C:$FA,125)</f>
        <v>0.96</v>
      </c>
      <c r="G21" s="143">
        <f>VLOOKUP($A21,'Data shares'!$C:$FA,127)*100</f>
        <v>9.379999999999999</v>
      </c>
      <c r="H21" s="103">
        <f>VLOOKUP($A21,'OI(Volume)'!$A$7:$O$440,8)</f>
        <v>4964500</v>
      </c>
      <c r="I21" s="103">
        <f>VLOOKUP($A21,'OI(Volume)'!$A$7:$O$440,9)</f>
        <v>354750</v>
      </c>
      <c r="J21" s="103">
        <f>VLOOKUP($A21,'OI(Volume)'!$A$7:$O$440,11)</f>
        <v>4674250</v>
      </c>
      <c r="K21" s="103">
        <f>VLOOKUP($A21,'OI(Volume)'!$A$7:$O$440,12)</f>
        <v>147250</v>
      </c>
      <c r="L21" s="103">
        <f>VLOOKUP($A21,'OI(Value)'!$A$7:$O$323,8,0)</f>
        <v>1105</v>
      </c>
      <c r="M21" s="103">
        <f>VLOOKUP($A21,'OI(Value)'!$A$7:$O$323,9,0)</f>
        <v>79</v>
      </c>
      <c r="N21" s="103">
        <f>VLOOKUP($A21,'OI(Value)'!$A$7:$O$323,11,0)</f>
        <v>1041</v>
      </c>
      <c r="O21" s="103">
        <f>VLOOKUP($A21,'OI(Value)'!$A$7:$O$323,12,0)</f>
        <v>33</v>
      </c>
      <c r="P21" s="179">
        <f>VLOOKUP(A21,'OI(Value)'!A21:O239,8,0)</f>
        <v>1105</v>
      </c>
      <c r="Q21" s="179">
        <f>VLOOKUP(A21,'OI(Value)'!A21:O239,9,0)</f>
        <v>79</v>
      </c>
      <c r="R21" s="179">
        <f>VLOOKUP(A21,'OI(Value)'!A21:O239,11,0)</f>
        <v>1041</v>
      </c>
      <c r="S21" s="179">
        <f>VLOOKUP(A21,'OI(Value)'!A21:O239,11,0)</f>
        <v>1041</v>
      </c>
    </row>
    <row r="22" spans="1:19" x14ac:dyDescent="0.25">
      <c r="A22" s="105" t="str">
        <f>'Data Vlaue (Cr)'!C17</f>
        <v>ASTRAL</v>
      </c>
      <c r="B22" s="143">
        <f>VLOOKUP($A22,'Data shares'!$C:$FA,118)</f>
        <v>0.56999999999999995</v>
      </c>
      <c r="C22" s="143">
        <f>VLOOKUP($A22,'Data shares'!$C:$FA,119)</f>
        <v>0.49</v>
      </c>
      <c r="D22" s="143">
        <f>VLOOKUP($A22,'Data shares'!$C:$FA,121)*100</f>
        <v>16.329999999999998</v>
      </c>
      <c r="E22" s="143">
        <f>VLOOKUP($A22,'Data shares'!$C:$FA,124)</f>
        <v>0.71</v>
      </c>
      <c r="F22" s="143">
        <f>VLOOKUP($A22,'Data shares'!$C:$FA,125)</f>
        <v>0.23</v>
      </c>
      <c r="G22" s="143">
        <f>VLOOKUP($A22,'Data shares'!$C:$FA,127)*100</f>
        <v>208.70000000000002</v>
      </c>
      <c r="H22" s="103">
        <f>VLOOKUP($A22,'OI(Volume)'!$A$7:$O$440,8)</f>
        <v>3007300</v>
      </c>
      <c r="I22" s="103">
        <f>VLOOKUP($A22,'OI(Volume)'!$A$7:$O$440,9)</f>
        <v>-742050</v>
      </c>
      <c r="J22" s="103">
        <f>VLOOKUP($A22,'OI(Volume)'!$A$7:$O$440,11)</f>
        <v>1720400</v>
      </c>
      <c r="K22" s="103">
        <f>VLOOKUP($A22,'OI(Volume)'!$A$7:$O$440,12)</f>
        <v>-113050</v>
      </c>
      <c r="L22" s="103">
        <f>VLOOKUP($A22,'OI(Value)'!$A$7:$O$323,8,0)</f>
        <v>499</v>
      </c>
      <c r="M22" s="103">
        <f>VLOOKUP($A22,'OI(Value)'!$A$7:$O$323,9,0)</f>
        <v>-123</v>
      </c>
      <c r="N22" s="103">
        <f>VLOOKUP($A22,'OI(Value)'!$A$7:$O$323,11,0)</f>
        <v>286</v>
      </c>
      <c r="O22" s="103">
        <f>VLOOKUP($A22,'OI(Value)'!$A$7:$O$323,12,0)</f>
        <v>-19</v>
      </c>
      <c r="P22" s="179">
        <f>VLOOKUP(A22,'OI(Value)'!A22:O240,8,0)</f>
        <v>499</v>
      </c>
      <c r="Q22" s="179">
        <f>VLOOKUP(A22,'OI(Value)'!A22:O240,9,0)</f>
        <v>-123</v>
      </c>
      <c r="R22" s="179">
        <f>VLOOKUP(A22,'OI(Value)'!A22:O240,11,0)</f>
        <v>286</v>
      </c>
      <c r="S22" s="179">
        <f>VLOOKUP(A22,'OI(Value)'!A22:O240,11,0)</f>
        <v>286</v>
      </c>
    </row>
    <row r="23" spans="1:19" x14ac:dyDescent="0.25">
      <c r="A23" s="105" t="str">
        <f>'Data Vlaue (Cr)'!C18</f>
        <v>AUBANK</v>
      </c>
      <c r="B23" s="143">
        <f>VLOOKUP($A23,'Data shares'!$C:$FA,118)</f>
        <v>0.61</v>
      </c>
      <c r="C23" s="143">
        <f>VLOOKUP($A23,'Data shares'!$C:$FA,119)</f>
        <v>0.65</v>
      </c>
      <c r="D23" s="143">
        <f>VLOOKUP($A23,'Data shares'!$C:$FA,121)*100</f>
        <v>-6.15</v>
      </c>
      <c r="E23" s="143">
        <f>VLOOKUP($A23,'Data shares'!$C:$FA,124)</f>
        <v>0.74</v>
      </c>
      <c r="F23" s="143">
        <f>VLOOKUP($A23,'Data shares'!$C:$FA,125)</f>
        <v>0.85</v>
      </c>
      <c r="G23" s="143">
        <f>VLOOKUP($A23,'Data shares'!$C:$FA,127)*100</f>
        <v>-12.94</v>
      </c>
      <c r="H23" s="103">
        <f>VLOOKUP($A23,'OI(Volume)'!$A$7:$O$440,8)</f>
        <v>9541000</v>
      </c>
      <c r="I23" s="103">
        <f>VLOOKUP($A23,'OI(Volume)'!$A$7:$O$440,9)</f>
        <v>454000</v>
      </c>
      <c r="J23" s="103">
        <f>VLOOKUP($A23,'OI(Volume)'!$A$7:$O$440,11)</f>
        <v>5827000</v>
      </c>
      <c r="K23" s="103">
        <f>VLOOKUP($A23,'OI(Volume)'!$A$7:$O$440,12)</f>
        <v>-96000</v>
      </c>
      <c r="L23" s="103">
        <f>VLOOKUP($A23,'OI(Value)'!$A$7:$O$323,8,0)</f>
        <v>864</v>
      </c>
      <c r="M23" s="103">
        <f>VLOOKUP($A23,'OI(Value)'!$A$7:$O$323,9,0)</f>
        <v>41</v>
      </c>
      <c r="N23" s="103">
        <f>VLOOKUP($A23,'OI(Value)'!$A$7:$O$323,11,0)</f>
        <v>528</v>
      </c>
      <c r="O23" s="103">
        <f>VLOOKUP($A23,'OI(Value)'!$A$7:$O$323,12,0)</f>
        <v>-9</v>
      </c>
      <c r="P23" s="179">
        <f>VLOOKUP(A23,'OI(Value)'!A23:O241,8,0)</f>
        <v>864</v>
      </c>
      <c r="Q23" s="179">
        <f>VLOOKUP(A23,'OI(Value)'!A23:O241,9,0)</f>
        <v>41</v>
      </c>
      <c r="R23" s="179">
        <f>VLOOKUP(A23,'OI(Value)'!A23:O241,11,0)</f>
        <v>528</v>
      </c>
      <c r="S23" s="179">
        <f>VLOOKUP(A23,'OI(Value)'!A23:O241,11,0)</f>
        <v>528</v>
      </c>
    </row>
    <row r="24" spans="1:19" x14ac:dyDescent="0.25">
      <c r="A24" s="105" t="str">
        <f>'Data Vlaue (Cr)'!C19</f>
        <v>AUROPHARMA</v>
      </c>
      <c r="B24" s="143">
        <f>VLOOKUP($A24,'Data shares'!$C:$FA,118)</f>
        <v>0.93</v>
      </c>
      <c r="C24" s="143">
        <f>VLOOKUP($A24,'Data shares'!$C:$FA,119)</f>
        <v>0.86</v>
      </c>
      <c r="D24" s="143">
        <f>VLOOKUP($A24,'Data shares'!$C:$FA,121)*100</f>
        <v>8.14</v>
      </c>
      <c r="E24" s="143">
        <f>VLOOKUP($A24,'Data shares'!$C:$FA,124)</f>
        <v>0.83</v>
      </c>
      <c r="F24" s="143">
        <f>VLOOKUP($A24,'Data shares'!$C:$FA,125)</f>
        <v>0.37</v>
      </c>
      <c r="G24" s="143">
        <f>VLOOKUP($A24,'Data shares'!$C:$FA,127)*100</f>
        <v>124.32000000000001</v>
      </c>
      <c r="H24" s="103">
        <f>VLOOKUP($A24,'OI(Volume)'!$A$7:$O$440,8)</f>
        <v>5800850</v>
      </c>
      <c r="I24" s="103">
        <f>VLOOKUP($A24,'OI(Volume)'!$A$7:$O$440,9)</f>
        <v>475200</v>
      </c>
      <c r="J24" s="103">
        <f>VLOOKUP($A24,'OI(Volume)'!$A$7:$O$440,11)</f>
        <v>5369100</v>
      </c>
      <c r="K24" s="103">
        <f>VLOOKUP($A24,'OI(Volume)'!$A$7:$O$440,12)</f>
        <v>814550</v>
      </c>
      <c r="L24" s="103">
        <f>VLOOKUP($A24,'OI(Value)'!$A$7:$O$323,8,0)</f>
        <v>762</v>
      </c>
      <c r="M24" s="103">
        <f>VLOOKUP($A24,'OI(Value)'!$A$7:$O$323,9,0)</f>
        <v>62</v>
      </c>
      <c r="N24" s="103">
        <f>VLOOKUP($A24,'OI(Value)'!$A$7:$O$323,11,0)</f>
        <v>705</v>
      </c>
      <c r="O24" s="103">
        <f>VLOOKUP($A24,'OI(Value)'!$A$7:$O$323,12,0)</f>
        <v>107</v>
      </c>
      <c r="P24" s="179">
        <f>VLOOKUP(A24,'OI(Value)'!A24:O242,8,0)</f>
        <v>762</v>
      </c>
      <c r="Q24" s="179">
        <f>VLOOKUP(A24,'OI(Value)'!A24:O242,9,0)</f>
        <v>62</v>
      </c>
      <c r="R24" s="179">
        <f>VLOOKUP(A24,'OI(Value)'!A24:O242,11,0)</f>
        <v>705</v>
      </c>
      <c r="S24" s="179">
        <f>VLOOKUP(A24,'OI(Value)'!A24:O242,11,0)</f>
        <v>705</v>
      </c>
    </row>
    <row r="25" spans="1:19" x14ac:dyDescent="0.25">
      <c r="A25" s="105" t="str">
        <f>'Data Vlaue (Cr)'!C20</f>
        <v>AXISBANK</v>
      </c>
      <c r="B25" s="143">
        <f>VLOOKUP($A25,'Data shares'!$C:$FA,118)</f>
        <v>0.48</v>
      </c>
      <c r="C25" s="143">
        <f>VLOOKUP($A25,'Data shares'!$C:$FA,119)</f>
        <v>0.5</v>
      </c>
      <c r="D25" s="143">
        <f>VLOOKUP($A25,'Data shares'!$C:$FA,121)*100</f>
        <v>-4</v>
      </c>
      <c r="E25" s="143">
        <f>VLOOKUP($A25,'Data shares'!$C:$FA,124)</f>
        <v>0.65</v>
      </c>
      <c r="F25" s="143">
        <f>VLOOKUP($A25,'Data shares'!$C:$FA,125)</f>
        <v>0.68</v>
      </c>
      <c r="G25" s="143">
        <f>VLOOKUP($A25,'Data shares'!$C:$FA,127)*100</f>
        <v>-4.41</v>
      </c>
      <c r="H25" s="103">
        <f>VLOOKUP($A25,'OI(Volume)'!$A$7:$O$440,8)</f>
        <v>22890000</v>
      </c>
      <c r="I25" s="103">
        <f>VLOOKUP($A25,'OI(Volume)'!$A$7:$O$440,9)</f>
        <v>1696250</v>
      </c>
      <c r="J25" s="103">
        <f>VLOOKUP($A25,'OI(Volume)'!$A$7:$O$440,11)</f>
        <v>11006875</v>
      </c>
      <c r="K25" s="103">
        <f>VLOOKUP($A25,'OI(Volume)'!$A$7:$O$440,12)</f>
        <v>445000</v>
      </c>
      <c r="L25" s="103">
        <f>VLOOKUP($A25,'OI(Value)'!$A$7:$O$323,8,0)</f>
        <v>2837</v>
      </c>
      <c r="M25" s="103">
        <f>VLOOKUP($A25,'OI(Value)'!$A$7:$O$323,9,0)</f>
        <v>210</v>
      </c>
      <c r="N25" s="103">
        <f>VLOOKUP($A25,'OI(Value)'!$A$7:$O$323,11,0)</f>
        <v>1364</v>
      </c>
      <c r="O25" s="103">
        <f>VLOOKUP($A25,'OI(Value)'!$A$7:$O$323,12,0)</f>
        <v>55</v>
      </c>
      <c r="P25" s="179">
        <f>VLOOKUP(A25,'OI(Value)'!A25:O243,8,0)</f>
        <v>2837</v>
      </c>
      <c r="Q25" s="179">
        <f>VLOOKUP(A25,'OI(Value)'!A25:O243,9,0)</f>
        <v>210</v>
      </c>
      <c r="R25" s="179">
        <f>VLOOKUP(A25,'OI(Value)'!A25:O243,11,0)</f>
        <v>1364</v>
      </c>
      <c r="S25" s="179">
        <f>VLOOKUP(A25,'OI(Value)'!A25:O243,11,0)</f>
        <v>1364</v>
      </c>
    </row>
    <row r="26" spans="1:19" x14ac:dyDescent="0.25">
      <c r="A26" s="105" t="str">
        <f>'Data Vlaue (Cr)'!C21</f>
        <v>BAJAJ-AUTO</v>
      </c>
      <c r="B26" s="143">
        <f>VLOOKUP($A26,'Data shares'!$C:$FA,118)</f>
        <v>0.47</v>
      </c>
      <c r="C26" s="143">
        <f>VLOOKUP($A26,'Data shares'!$C:$FA,119)</f>
        <v>0.5</v>
      </c>
      <c r="D26" s="143">
        <f>VLOOKUP($A26,'Data shares'!$C:$FA,121)*100</f>
        <v>-6</v>
      </c>
      <c r="E26" s="143">
        <f>VLOOKUP($A26,'Data shares'!$C:$FA,124)</f>
        <v>0.7</v>
      </c>
      <c r="F26" s="143">
        <f>VLOOKUP($A26,'Data shares'!$C:$FA,125)</f>
        <v>0.77</v>
      </c>
      <c r="G26" s="143">
        <f>VLOOKUP($A26,'Data shares'!$C:$FA,127)*100</f>
        <v>-9.09</v>
      </c>
      <c r="H26" s="103">
        <f>VLOOKUP($A26,'OI(Volume)'!$A$7:$O$440,8)</f>
        <v>1769700</v>
      </c>
      <c r="I26" s="103">
        <f>VLOOKUP($A26,'OI(Volume)'!$A$7:$O$440,9)</f>
        <v>101250</v>
      </c>
      <c r="J26" s="103">
        <f>VLOOKUP($A26,'OI(Volume)'!$A$7:$O$440,11)</f>
        <v>828150</v>
      </c>
      <c r="K26" s="103">
        <f>VLOOKUP($A26,'OI(Volume)'!$A$7:$O$440,12)</f>
        <v>-4425</v>
      </c>
      <c r="L26" s="103">
        <f>VLOOKUP($A26,'OI(Value)'!$A$7:$O$323,8,0)</f>
        <v>1615</v>
      </c>
      <c r="M26" s="103">
        <f>VLOOKUP($A26,'OI(Value)'!$A$7:$O$323,9,0)</f>
        <v>92</v>
      </c>
      <c r="N26" s="103">
        <f>VLOOKUP($A26,'OI(Value)'!$A$7:$O$323,11,0)</f>
        <v>756</v>
      </c>
      <c r="O26" s="103">
        <f>VLOOKUP($A26,'OI(Value)'!$A$7:$O$323,12,0)</f>
        <v>-4</v>
      </c>
      <c r="P26" s="179">
        <f>VLOOKUP(A26,'OI(Value)'!A26:O244,8,0)</f>
        <v>1615</v>
      </c>
      <c r="Q26" s="179">
        <f>VLOOKUP(A26,'OI(Value)'!A26:O244,9,0)</f>
        <v>92</v>
      </c>
      <c r="R26" s="179">
        <f>VLOOKUP(A26,'OI(Value)'!A26:O244,11,0)</f>
        <v>756</v>
      </c>
      <c r="S26" s="179">
        <f>VLOOKUP(A26,'OI(Value)'!A26:O244,11,0)</f>
        <v>756</v>
      </c>
    </row>
    <row r="27" spans="1:19" x14ac:dyDescent="0.25">
      <c r="A27" s="105" t="str">
        <f>'Data Vlaue (Cr)'!C22</f>
        <v>BAJAJFINSV</v>
      </c>
      <c r="B27" s="143">
        <f>VLOOKUP($A27,'Data shares'!$C:$FA,118)</f>
        <v>0.45</v>
      </c>
      <c r="C27" s="143">
        <f>VLOOKUP($A27,'Data shares'!$C:$FA,119)</f>
        <v>0.49</v>
      </c>
      <c r="D27" s="143">
        <f>VLOOKUP($A27,'Data shares'!$C:$FA,121)*100</f>
        <v>-8.16</v>
      </c>
      <c r="E27" s="143">
        <f>VLOOKUP($A27,'Data shares'!$C:$FA,124)</f>
        <v>0.5</v>
      </c>
      <c r="F27" s="143">
        <f>VLOOKUP($A27,'Data shares'!$C:$FA,125)</f>
        <v>0.55000000000000004</v>
      </c>
      <c r="G27" s="143">
        <f>VLOOKUP($A27,'Data shares'!$C:$FA,127)*100</f>
        <v>-9.09</v>
      </c>
      <c r="H27" s="103">
        <f>VLOOKUP($A27,'OI(Volume)'!$A$7:$O$440,8)</f>
        <v>9313750</v>
      </c>
      <c r="I27" s="103">
        <f>VLOOKUP($A27,'OI(Volume)'!$A$7:$O$440,9)</f>
        <v>423000</v>
      </c>
      <c r="J27" s="103">
        <f>VLOOKUP($A27,'OI(Volume)'!$A$7:$O$440,11)</f>
        <v>4214250</v>
      </c>
      <c r="K27" s="103">
        <f>VLOOKUP($A27,'OI(Volume)'!$A$7:$O$440,12)</f>
        <v>-102500</v>
      </c>
      <c r="L27" s="103">
        <f>VLOOKUP($A27,'OI(Value)'!$A$7:$O$323,8,0)</f>
        <v>1651</v>
      </c>
      <c r="M27" s="103">
        <f>VLOOKUP($A27,'OI(Value)'!$A$7:$O$323,9,0)</f>
        <v>75</v>
      </c>
      <c r="N27" s="103">
        <f>VLOOKUP($A27,'OI(Value)'!$A$7:$O$323,11,0)</f>
        <v>747</v>
      </c>
      <c r="O27" s="103">
        <f>VLOOKUP($A27,'OI(Value)'!$A$7:$O$323,12,0)</f>
        <v>-18</v>
      </c>
      <c r="P27" s="179">
        <f>VLOOKUP(A27,'OI(Value)'!A27:O245,8,0)</f>
        <v>1651</v>
      </c>
      <c r="Q27" s="179">
        <f>VLOOKUP(A27,'OI(Value)'!A27:O245,9,0)</f>
        <v>75</v>
      </c>
      <c r="R27" s="179">
        <f>VLOOKUP(A27,'OI(Value)'!A27:O245,11,0)</f>
        <v>747</v>
      </c>
      <c r="S27" s="179">
        <f>VLOOKUP(A27,'OI(Value)'!A27:O245,11,0)</f>
        <v>747</v>
      </c>
    </row>
    <row r="28" spans="1:19" x14ac:dyDescent="0.25">
      <c r="A28" s="105" t="str">
        <f>'Data Vlaue (Cr)'!C23</f>
        <v>BAJAJHLDNG</v>
      </c>
      <c r="B28" s="143">
        <f>VLOOKUP($A28,'Data shares'!$C:$FA,118)</f>
        <v>0.48</v>
      </c>
      <c r="C28" s="143">
        <f>VLOOKUP($A28,'Data shares'!$C:$FA,119)</f>
        <v>0.45</v>
      </c>
      <c r="D28" s="143">
        <f>VLOOKUP($A28,'Data shares'!$C:$FA,121)*100</f>
        <v>6.67</v>
      </c>
      <c r="E28" s="143">
        <f>VLOOKUP($A28,'Data shares'!$C:$FA,124)</f>
        <v>0.68</v>
      </c>
      <c r="F28" s="143">
        <f>VLOOKUP($A28,'Data shares'!$C:$FA,125)</f>
        <v>0.41</v>
      </c>
      <c r="G28" s="143">
        <f>VLOOKUP($A28,'Data shares'!$C:$FA,127)*100</f>
        <v>65.849999999999994</v>
      </c>
      <c r="H28" s="103">
        <f>VLOOKUP($A28,'OI(Volume)'!$A$7:$O$440,8)</f>
        <v>142600</v>
      </c>
      <c r="I28" s="103">
        <f>VLOOKUP($A28,'OI(Volume)'!$A$7:$O$440,9)</f>
        <v>12800</v>
      </c>
      <c r="J28" s="103">
        <f>VLOOKUP($A28,'OI(Volume)'!$A$7:$O$440,11)</f>
        <v>68000</v>
      </c>
      <c r="K28" s="103">
        <f>VLOOKUP($A28,'OI(Volume)'!$A$7:$O$440,12)</f>
        <v>9100</v>
      </c>
      <c r="L28" s="103">
        <f>VLOOKUP($A28,'OI(Value)'!$A$7:$O$323,8,0)</f>
        <v>140</v>
      </c>
      <c r="M28" s="103">
        <f>VLOOKUP($A28,'OI(Value)'!$A$7:$O$323,9,0)</f>
        <v>13</v>
      </c>
      <c r="N28" s="103">
        <f>VLOOKUP($A28,'OI(Value)'!$A$7:$O$323,11,0)</f>
        <v>67</v>
      </c>
      <c r="O28" s="103">
        <f>VLOOKUP($A28,'OI(Value)'!$A$7:$O$323,12,0)</f>
        <v>9</v>
      </c>
      <c r="P28" s="179">
        <f>VLOOKUP(A28,'OI(Value)'!A28:O246,8,0)</f>
        <v>140</v>
      </c>
      <c r="Q28" s="179">
        <f>VLOOKUP(A28,'OI(Value)'!A28:O246,9,0)</f>
        <v>13</v>
      </c>
      <c r="R28" s="179">
        <f>VLOOKUP(A28,'OI(Value)'!A28:O246,11,0)</f>
        <v>67</v>
      </c>
      <c r="S28" s="179">
        <f>VLOOKUP(A28,'OI(Value)'!A28:O246,11,0)</f>
        <v>67</v>
      </c>
    </row>
    <row r="29" spans="1:19" x14ac:dyDescent="0.25">
      <c r="A29" s="105" t="str">
        <f>'Data Vlaue (Cr)'!C24</f>
        <v>BAJFINANCE</v>
      </c>
      <c r="B29" s="143">
        <f>VLOOKUP($A29,'Data shares'!$C:$FA,118)</f>
        <v>0.69</v>
      </c>
      <c r="C29" s="143">
        <f>VLOOKUP($A29,'Data shares'!$C:$FA,119)</f>
        <v>0.76</v>
      </c>
      <c r="D29" s="143">
        <f>VLOOKUP($A29,'Data shares'!$C:$FA,121)*100</f>
        <v>-9.2100000000000009</v>
      </c>
      <c r="E29" s="143">
        <f>VLOOKUP($A29,'Data shares'!$C:$FA,124)</f>
        <v>0.79</v>
      </c>
      <c r="F29" s="143">
        <f>VLOOKUP($A29,'Data shares'!$C:$FA,125)</f>
        <v>1.01</v>
      </c>
      <c r="G29" s="143">
        <f>VLOOKUP($A29,'Data shares'!$C:$FA,127)*100</f>
        <v>-21.78</v>
      </c>
      <c r="H29" s="103">
        <f>VLOOKUP($A29,'OI(Volume)'!$A$7:$O$440,8)</f>
        <v>24132000</v>
      </c>
      <c r="I29" s="103">
        <f>VLOOKUP($A29,'OI(Volume)'!$A$7:$O$440,9)</f>
        <v>4004250</v>
      </c>
      <c r="J29" s="103">
        <f>VLOOKUP($A29,'OI(Volume)'!$A$7:$O$440,11)</f>
        <v>16580250</v>
      </c>
      <c r="K29" s="103">
        <f>VLOOKUP($A29,'OI(Volume)'!$A$7:$O$440,12)</f>
        <v>1194750</v>
      </c>
      <c r="L29" s="103">
        <f>VLOOKUP($A29,'OI(Value)'!$A$7:$O$323,8,0)</f>
        <v>2091</v>
      </c>
      <c r="M29" s="103">
        <f>VLOOKUP($A29,'OI(Value)'!$A$7:$O$323,9,0)</f>
        <v>347</v>
      </c>
      <c r="N29" s="103">
        <f>VLOOKUP($A29,'OI(Value)'!$A$7:$O$323,11,0)</f>
        <v>1437</v>
      </c>
      <c r="O29" s="103">
        <f>VLOOKUP($A29,'OI(Value)'!$A$7:$O$323,12,0)</f>
        <v>104</v>
      </c>
      <c r="P29" s="179">
        <f>VLOOKUP(A29,'OI(Value)'!A29:O247,8,0)</f>
        <v>2091</v>
      </c>
      <c r="Q29" s="179">
        <f>VLOOKUP(A29,'OI(Value)'!A29:O247,9,0)</f>
        <v>347</v>
      </c>
      <c r="R29" s="179">
        <f>VLOOKUP(A29,'OI(Value)'!A29:O247,11,0)</f>
        <v>1437</v>
      </c>
      <c r="S29" s="179">
        <f>VLOOKUP(A29,'OI(Value)'!A29:O247,11,0)</f>
        <v>1437</v>
      </c>
    </row>
    <row r="30" spans="1:19" x14ac:dyDescent="0.25">
      <c r="A30" s="105" t="str">
        <f>'Data Vlaue (Cr)'!C25</f>
        <v>BANDHANBNK</v>
      </c>
      <c r="B30" s="143">
        <f>VLOOKUP($A30,'Data shares'!$C:$FA,118)</f>
        <v>0.6</v>
      </c>
      <c r="C30" s="143">
        <f>VLOOKUP($A30,'Data shares'!$C:$FA,119)</f>
        <v>0.64</v>
      </c>
      <c r="D30" s="143">
        <f>VLOOKUP($A30,'Data shares'!$C:$FA,121)*100</f>
        <v>-6.25</v>
      </c>
      <c r="E30" s="143">
        <f>VLOOKUP($A30,'Data shares'!$C:$FA,124)</f>
        <v>0.56000000000000005</v>
      </c>
      <c r="F30" s="143">
        <f>VLOOKUP($A30,'Data shares'!$C:$FA,125)</f>
        <v>0.45</v>
      </c>
      <c r="G30" s="143">
        <f>VLOOKUP($A30,'Data shares'!$C:$FA,127)*100</f>
        <v>24.44</v>
      </c>
      <c r="H30" s="103">
        <f>VLOOKUP($A30,'OI(Volume)'!$A$7:$O$440,8)</f>
        <v>34704000</v>
      </c>
      <c r="I30" s="103">
        <f>VLOOKUP($A30,'OI(Volume)'!$A$7:$O$440,9)</f>
        <v>338400</v>
      </c>
      <c r="J30" s="103">
        <f>VLOOKUP($A30,'OI(Volume)'!$A$7:$O$440,11)</f>
        <v>20905200</v>
      </c>
      <c r="K30" s="103">
        <f>VLOOKUP($A30,'OI(Volume)'!$A$7:$O$440,12)</f>
        <v>-1144800</v>
      </c>
      <c r="L30" s="103">
        <f>VLOOKUP($A30,'OI(Value)'!$A$7:$O$323,8,0)</f>
        <v>619</v>
      </c>
      <c r="M30" s="103">
        <f>VLOOKUP($A30,'OI(Value)'!$A$7:$O$323,9,0)</f>
        <v>6</v>
      </c>
      <c r="N30" s="103">
        <f>VLOOKUP($A30,'OI(Value)'!$A$7:$O$323,11,0)</f>
        <v>373</v>
      </c>
      <c r="O30" s="103">
        <f>VLOOKUP($A30,'OI(Value)'!$A$7:$O$323,12,0)</f>
        <v>-20</v>
      </c>
      <c r="P30" s="179">
        <f>VLOOKUP(A30,'OI(Value)'!A30:O248,8,0)</f>
        <v>619</v>
      </c>
      <c r="Q30" s="179">
        <f>VLOOKUP(A30,'OI(Value)'!A30:O248,9,0)</f>
        <v>6</v>
      </c>
      <c r="R30" s="179">
        <f>VLOOKUP(A30,'OI(Value)'!A30:O248,11,0)</f>
        <v>373</v>
      </c>
      <c r="S30" s="179">
        <f>VLOOKUP(A30,'OI(Value)'!A30:O248,11,0)</f>
        <v>373</v>
      </c>
    </row>
    <row r="31" spans="1:19" x14ac:dyDescent="0.25">
      <c r="A31" s="105" t="str">
        <f>'Data Vlaue (Cr)'!C26</f>
        <v>BANKBARODA</v>
      </c>
      <c r="B31" s="143">
        <f>VLOOKUP($A31,'Data shares'!$C:$FA,118)</f>
        <v>0.86</v>
      </c>
      <c r="C31" s="143">
        <f>VLOOKUP($A31,'Data shares'!$C:$FA,119)</f>
        <v>0.9</v>
      </c>
      <c r="D31" s="143">
        <f>VLOOKUP($A31,'Data shares'!$C:$FA,121)*100</f>
        <v>-4.4400000000000004</v>
      </c>
      <c r="E31" s="143">
        <f>VLOOKUP($A31,'Data shares'!$C:$FA,124)</f>
        <v>0.71</v>
      </c>
      <c r="F31" s="143">
        <f>VLOOKUP($A31,'Data shares'!$C:$FA,125)</f>
        <v>0.85</v>
      </c>
      <c r="G31" s="143">
        <f>VLOOKUP($A31,'Data shares'!$C:$FA,127)*100</f>
        <v>-16.470000000000002</v>
      </c>
      <c r="H31" s="103">
        <f>VLOOKUP($A31,'OI(Volume)'!$A$7:$O$440,8)</f>
        <v>41678325</v>
      </c>
      <c r="I31" s="103">
        <f>VLOOKUP($A31,'OI(Volume)'!$A$7:$O$440,9)</f>
        <v>1181700</v>
      </c>
      <c r="J31" s="103">
        <f>VLOOKUP($A31,'OI(Volume)'!$A$7:$O$440,11)</f>
        <v>35913150</v>
      </c>
      <c r="K31" s="103">
        <f>VLOOKUP($A31,'OI(Volume)'!$A$7:$O$440,12)</f>
        <v>-473850</v>
      </c>
      <c r="L31" s="103">
        <f>VLOOKUP($A31,'OI(Value)'!$A$7:$O$323,8,0)</f>
        <v>1210</v>
      </c>
      <c r="M31" s="103">
        <f>VLOOKUP($A31,'OI(Value)'!$A$7:$O$323,9,0)</f>
        <v>34</v>
      </c>
      <c r="N31" s="103">
        <f>VLOOKUP($A31,'OI(Value)'!$A$7:$O$323,11,0)</f>
        <v>1042</v>
      </c>
      <c r="O31" s="103">
        <f>VLOOKUP($A31,'OI(Value)'!$A$7:$O$323,12,0)</f>
        <v>-14</v>
      </c>
      <c r="P31" s="179">
        <f>VLOOKUP(A31,'OI(Value)'!A31:O249,8,0)</f>
        <v>1210</v>
      </c>
      <c r="Q31" s="179">
        <f>VLOOKUP(A31,'OI(Value)'!A31:O249,9,0)</f>
        <v>34</v>
      </c>
      <c r="R31" s="179">
        <f>VLOOKUP(A31,'OI(Value)'!A31:O249,11,0)</f>
        <v>1042</v>
      </c>
      <c r="S31" s="179">
        <f>VLOOKUP(A31,'OI(Value)'!A31:O249,11,0)</f>
        <v>1042</v>
      </c>
    </row>
    <row r="32" spans="1:19" x14ac:dyDescent="0.25">
      <c r="A32" s="105" t="str">
        <f>'Data Vlaue (Cr)'!C27</f>
        <v>BANKINDIA</v>
      </c>
      <c r="B32" s="143">
        <f>VLOOKUP($A32,'Data shares'!$C:$FA,118)</f>
        <v>0.77</v>
      </c>
      <c r="C32" s="143">
        <f>VLOOKUP($A32,'Data shares'!$C:$FA,119)</f>
        <v>0.8</v>
      </c>
      <c r="D32" s="143">
        <f>VLOOKUP($A32,'Data shares'!$C:$FA,121)*100</f>
        <v>-3.75</v>
      </c>
      <c r="E32" s="143">
        <f>VLOOKUP($A32,'Data shares'!$C:$FA,124)</f>
        <v>0.54</v>
      </c>
      <c r="F32" s="143">
        <f>VLOOKUP($A32,'Data shares'!$C:$FA,125)</f>
        <v>0.66</v>
      </c>
      <c r="G32" s="143">
        <f>VLOOKUP($A32,'Data shares'!$C:$FA,127)*100</f>
        <v>-18.18</v>
      </c>
      <c r="H32" s="103">
        <f>VLOOKUP($A32,'OI(Volume)'!$A$7:$O$440,8)</f>
        <v>26504400</v>
      </c>
      <c r="I32" s="103">
        <f>VLOOKUP($A32,'OI(Volume)'!$A$7:$O$440,9)</f>
        <v>561600</v>
      </c>
      <c r="J32" s="103">
        <f>VLOOKUP($A32,'OI(Volume)'!$A$7:$O$440,11)</f>
        <v>20540000</v>
      </c>
      <c r="K32" s="103">
        <f>VLOOKUP($A32,'OI(Volume)'!$A$7:$O$440,12)</f>
        <v>-322400</v>
      </c>
      <c r="L32" s="103">
        <f>VLOOKUP($A32,'OI(Value)'!$A$7:$O$323,8,0)</f>
        <v>411</v>
      </c>
      <c r="M32" s="103">
        <f>VLOOKUP($A32,'OI(Value)'!$A$7:$O$323,9,0)</f>
        <v>9</v>
      </c>
      <c r="N32" s="103">
        <f>VLOOKUP($A32,'OI(Value)'!$A$7:$O$323,11,0)</f>
        <v>318</v>
      </c>
      <c r="O32" s="103">
        <f>VLOOKUP($A32,'OI(Value)'!$A$7:$O$323,12,0)</f>
        <v>-5</v>
      </c>
      <c r="P32" s="179">
        <f>VLOOKUP(A32,'OI(Value)'!A32:O250,8,0)</f>
        <v>411</v>
      </c>
      <c r="Q32" s="179">
        <f>VLOOKUP(A32,'OI(Value)'!A32:O250,9,0)</f>
        <v>9</v>
      </c>
      <c r="R32" s="179">
        <f>VLOOKUP(A32,'OI(Value)'!A32:O250,11,0)</f>
        <v>318</v>
      </c>
      <c r="S32" s="179">
        <f>VLOOKUP(A32,'OI(Value)'!A32:O250,11,0)</f>
        <v>318</v>
      </c>
    </row>
    <row r="33" spans="1:19" x14ac:dyDescent="0.25">
      <c r="A33" s="105" t="str">
        <f>'Data Vlaue (Cr)'!C28</f>
        <v>BANKNIFTY</v>
      </c>
      <c r="B33" s="143">
        <f>VLOOKUP($A33,'Data shares'!$C:$FA,118)</f>
        <v>0.79</v>
      </c>
      <c r="C33" s="143">
        <f>VLOOKUP($A33,'Data shares'!$C:$FA,119)</f>
        <v>0.77</v>
      </c>
      <c r="D33" s="143">
        <f>VLOOKUP($A33,'Data shares'!$C:$FA,121)*100</f>
        <v>2.6</v>
      </c>
      <c r="E33" s="143">
        <f>VLOOKUP($A33,'Data shares'!$C:$FA,124)</f>
        <v>0.72</v>
      </c>
      <c r="F33" s="143">
        <f>VLOOKUP($A33,'Data shares'!$C:$FA,125)</f>
        <v>0.87</v>
      </c>
      <c r="G33" s="143">
        <f>VLOOKUP($A33,'Data shares'!$C:$FA,127)*100</f>
        <v>-17.239999999999998</v>
      </c>
      <c r="H33" s="103">
        <f>VLOOKUP($A33,'OI(Volume)'!$A$7:$O$440,8)</f>
        <v>19741040</v>
      </c>
      <c r="I33" s="103">
        <f>VLOOKUP($A33,'OI(Volume)'!$A$7:$O$440,9)</f>
        <v>376820</v>
      </c>
      <c r="J33" s="103">
        <f>VLOOKUP($A33,'OI(Volume)'!$A$7:$O$440,11)</f>
        <v>15649530</v>
      </c>
      <c r="K33" s="103">
        <f>VLOOKUP($A33,'OI(Volume)'!$A$7:$O$440,12)</f>
        <v>785745</v>
      </c>
      <c r="L33" s="103">
        <f>VLOOKUP($A33,'OI(Value)'!$A$7:$O$323,8,0)</f>
        <v>109306</v>
      </c>
      <c r="M33" s="103">
        <f>VLOOKUP($A33,'OI(Value)'!$A$7:$O$323,9,0)</f>
        <v>2086</v>
      </c>
      <c r="N33" s="103">
        <f>VLOOKUP($A33,'OI(Value)'!$A$7:$O$323,11,0)</f>
        <v>86651</v>
      </c>
      <c r="O33" s="103">
        <f>VLOOKUP($A33,'OI(Value)'!$A$7:$O$323,12,0)</f>
        <v>4351</v>
      </c>
      <c r="P33" s="179">
        <f>VLOOKUP(A33,'OI(Value)'!A33:O251,8,0)</f>
        <v>109306</v>
      </c>
      <c r="Q33" s="179">
        <f>VLOOKUP(A33,'OI(Value)'!A33:O251,9,0)</f>
        <v>2086</v>
      </c>
      <c r="R33" s="179">
        <f>VLOOKUP(A33,'OI(Value)'!A33:O251,11,0)</f>
        <v>86651</v>
      </c>
      <c r="S33" s="179">
        <f>VLOOKUP(A33,'OI(Value)'!A33:O251,11,0)</f>
        <v>86651</v>
      </c>
    </row>
    <row r="34" spans="1:19" x14ac:dyDescent="0.25">
      <c r="A34" s="105" t="str">
        <f>'Data Vlaue (Cr)'!C29</f>
        <v>BDL</v>
      </c>
      <c r="B34" s="143">
        <f>VLOOKUP($A34,'Data shares'!$C:$FA,118)</f>
        <v>0.62</v>
      </c>
      <c r="C34" s="143">
        <f>VLOOKUP($A34,'Data shares'!$C:$FA,119)</f>
        <v>0.62</v>
      </c>
      <c r="D34" s="143">
        <f>VLOOKUP($A34,'Data shares'!$C:$FA,121)*100</f>
        <v>0</v>
      </c>
      <c r="E34" s="143">
        <f>VLOOKUP($A34,'Data shares'!$C:$FA,124)</f>
        <v>0.4</v>
      </c>
      <c r="F34" s="143">
        <f>VLOOKUP($A34,'Data shares'!$C:$FA,125)</f>
        <v>0.38</v>
      </c>
      <c r="G34" s="143">
        <f>VLOOKUP($A34,'Data shares'!$C:$FA,127)*100</f>
        <v>5.26</v>
      </c>
      <c r="H34" s="103">
        <f>VLOOKUP($A34,'OI(Volume)'!$A$7:$O$440,8)</f>
        <v>4126850</v>
      </c>
      <c r="I34" s="103">
        <f>VLOOKUP($A34,'OI(Volume)'!$A$7:$O$440,9)</f>
        <v>-48650</v>
      </c>
      <c r="J34" s="103">
        <f>VLOOKUP($A34,'OI(Volume)'!$A$7:$O$440,11)</f>
        <v>2543100</v>
      </c>
      <c r="K34" s="103">
        <f>VLOOKUP($A34,'OI(Volume)'!$A$7:$O$440,12)</f>
        <v>-57050</v>
      </c>
      <c r="L34" s="103">
        <f>VLOOKUP($A34,'OI(Value)'!$A$7:$O$323,8,0)</f>
        <v>558</v>
      </c>
      <c r="M34" s="103">
        <f>VLOOKUP($A34,'OI(Value)'!$A$7:$O$323,9,0)</f>
        <v>-7</v>
      </c>
      <c r="N34" s="103">
        <f>VLOOKUP($A34,'OI(Value)'!$A$7:$O$323,11,0)</f>
        <v>344</v>
      </c>
      <c r="O34" s="103">
        <f>VLOOKUP($A34,'OI(Value)'!$A$7:$O$323,12,0)</f>
        <v>-8</v>
      </c>
      <c r="P34" s="179">
        <f>VLOOKUP(A34,'OI(Value)'!A34:O252,8,0)</f>
        <v>558</v>
      </c>
      <c r="Q34" s="179">
        <f>VLOOKUP(A34,'OI(Value)'!A34:O252,9,0)</f>
        <v>-7</v>
      </c>
      <c r="R34" s="179">
        <f>VLOOKUP(A34,'OI(Value)'!A34:O252,11,0)</f>
        <v>344</v>
      </c>
      <c r="S34" s="179">
        <f>VLOOKUP(A34,'OI(Value)'!A34:O252,11,0)</f>
        <v>344</v>
      </c>
    </row>
    <row r="35" spans="1:19" x14ac:dyDescent="0.25">
      <c r="A35" s="105" t="str">
        <f>'Data Vlaue (Cr)'!C30</f>
        <v>BEL</v>
      </c>
      <c r="B35" s="143">
        <f>VLOOKUP($A35,'Data shares'!$C:$FA,118)</f>
        <v>0.57999999999999996</v>
      </c>
      <c r="C35" s="143">
        <f>VLOOKUP($A35,'Data shares'!$C:$FA,119)</f>
        <v>0.62</v>
      </c>
      <c r="D35" s="143">
        <f>VLOOKUP($A35,'Data shares'!$C:$FA,121)*100</f>
        <v>-6.45</v>
      </c>
      <c r="E35" s="143">
        <f>VLOOKUP($A35,'Data shares'!$C:$FA,124)</f>
        <v>0.55000000000000004</v>
      </c>
      <c r="F35" s="143">
        <f>VLOOKUP($A35,'Data shares'!$C:$FA,125)</f>
        <v>0.63</v>
      </c>
      <c r="G35" s="143">
        <f>VLOOKUP($A35,'Data shares'!$C:$FA,127)*100</f>
        <v>-12.7</v>
      </c>
      <c r="H35" s="103">
        <f>VLOOKUP($A35,'OI(Volume)'!$A$7:$O$440,8)</f>
        <v>51704700</v>
      </c>
      <c r="I35" s="103">
        <f>VLOOKUP($A35,'OI(Volume)'!$A$7:$O$440,9)</f>
        <v>3217650</v>
      </c>
      <c r="J35" s="103">
        <f>VLOOKUP($A35,'OI(Volume)'!$A$7:$O$440,11)</f>
        <v>29967750</v>
      </c>
      <c r="K35" s="103">
        <f>VLOOKUP($A35,'OI(Volume)'!$A$7:$O$440,12)</f>
        <v>7125</v>
      </c>
      <c r="L35" s="103">
        <f>VLOOKUP($A35,'OI(Value)'!$A$7:$O$323,8,0)</f>
        <v>2349</v>
      </c>
      <c r="M35" s="103">
        <f>VLOOKUP($A35,'OI(Value)'!$A$7:$O$323,9,0)</f>
        <v>146</v>
      </c>
      <c r="N35" s="103">
        <f>VLOOKUP($A35,'OI(Value)'!$A$7:$O$323,11,0)</f>
        <v>1362</v>
      </c>
      <c r="O35" s="103">
        <f>VLOOKUP($A35,'OI(Value)'!$A$7:$O$323,12,0)</f>
        <v>0</v>
      </c>
      <c r="P35" s="179">
        <f>VLOOKUP(A35,'OI(Value)'!A35:O253,8,0)</f>
        <v>2349</v>
      </c>
      <c r="Q35" s="179">
        <f>VLOOKUP(A35,'OI(Value)'!A35:O253,9,0)</f>
        <v>146</v>
      </c>
      <c r="R35" s="179">
        <f>VLOOKUP(A35,'OI(Value)'!A35:O253,11,0)</f>
        <v>1362</v>
      </c>
      <c r="S35" s="179">
        <f>VLOOKUP(A35,'OI(Value)'!A35:O253,11,0)</f>
        <v>1362</v>
      </c>
    </row>
    <row r="36" spans="1:19" x14ac:dyDescent="0.25">
      <c r="A36" s="105" t="str">
        <f>'Data Vlaue (Cr)'!C31</f>
        <v>BHARATFORG</v>
      </c>
      <c r="B36" s="143">
        <f>VLOOKUP($A36,'Data shares'!$C:$FA,118)</f>
        <v>0.61</v>
      </c>
      <c r="C36" s="143">
        <f>VLOOKUP($A36,'Data shares'!$C:$FA,119)</f>
        <v>0.62</v>
      </c>
      <c r="D36" s="143">
        <f>VLOOKUP($A36,'Data shares'!$C:$FA,121)*100</f>
        <v>-1.6099999999999999</v>
      </c>
      <c r="E36" s="143">
        <f>VLOOKUP($A36,'Data shares'!$C:$FA,124)</f>
        <v>0.75</v>
      </c>
      <c r="F36" s="143">
        <f>VLOOKUP($A36,'Data shares'!$C:$FA,125)</f>
        <v>0.95</v>
      </c>
      <c r="G36" s="143">
        <f>VLOOKUP($A36,'Data shares'!$C:$FA,127)*100</f>
        <v>-21.05</v>
      </c>
      <c r="H36" s="103">
        <f>VLOOKUP($A36,'OI(Volume)'!$A$7:$O$440,8)</f>
        <v>4644500</v>
      </c>
      <c r="I36" s="103">
        <f>VLOOKUP($A36,'OI(Volume)'!$A$7:$O$440,9)</f>
        <v>94500</v>
      </c>
      <c r="J36" s="103">
        <f>VLOOKUP($A36,'OI(Volume)'!$A$7:$O$440,11)</f>
        <v>2818000</v>
      </c>
      <c r="K36" s="103">
        <f>VLOOKUP($A36,'OI(Volume)'!$A$7:$O$440,12)</f>
        <v>-19500</v>
      </c>
      <c r="L36" s="103">
        <f>VLOOKUP($A36,'OI(Value)'!$A$7:$O$323,8,0)</f>
        <v>829</v>
      </c>
      <c r="M36" s="103">
        <f>VLOOKUP($A36,'OI(Value)'!$A$7:$O$323,9,0)</f>
        <v>17</v>
      </c>
      <c r="N36" s="103">
        <f>VLOOKUP($A36,'OI(Value)'!$A$7:$O$323,11,0)</f>
        <v>503</v>
      </c>
      <c r="O36" s="103">
        <f>VLOOKUP($A36,'OI(Value)'!$A$7:$O$323,12,0)</f>
        <v>-3</v>
      </c>
      <c r="P36" s="179">
        <f>VLOOKUP(A36,'OI(Value)'!A36:O254,8,0)</f>
        <v>829</v>
      </c>
      <c r="Q36" s="179">
        <f>VLOOKUP(A36,'OI(Value)'!A36:O254,9,0)</f>
        <v>17</v>
      </c>
      <c r="R36" s="179">
        <f>VLOOKUP(A36,'OI(Value)'!A36:O254,11,0)</f>
        <v>503</v>
      </c>
      <c r="S36" s="179">
        <f>VLOOKUP(A36,'OI(Value)'!A36:O254,11,0)</f>
        <v>503</v>
      </c>
    </row>
    <row r="37" spans="1:19" x14ac:dyDescent="0.25">
      <c r="A37" s="105" t="str">
        <f>'Data Vlaue (Cr)'!C32</f>
        <v>BHARTIARTL</v>
      </c>
      <c r="B37" s="143">
        <f>VLOOKUP($A37,'Data shares'!$C:$FA,118)</f>
        <v>0.46</v>
      </c>
      <c r="C37" s="143">
        <f>VLOOKUP($A37,'Data shares'!$C:$FA,119)</f>
        <v>0.46</v>
      </c>
      <c r="D37" s="143">
        <f>VLOOKUP($A37,'Data shares'!$C:$FA,121)*100</f>
        <v>0</v>
      </c>
      <c r="E37" s="143">
        <f>VLOOKUP($A37,'Data shares'!$C:$FA,124)</f>
        <v>0.52</v>
      </c>
      <c r="F37" s="143">
        <f>VLOOKUP($A37,'Data shares'!$C:$FA,125)</f>
        <v>0.6</v>
      </c>
      <c r="G37" s="143">
        <f>VLOOKUP($A37,'Data shares'!$C:$FA,127)*100</f>
        <v>-13.33</v>
      </c>
      <c r="H37" s="103">
        <f>VLOOKUP($A37,'OI(Volume)'!$A$7:$O$440,8)</f>
        <v>22463225</v>
      </c>
      <c r="I37" s="103">
        <f>VLOOKUP($A37,'OI(Volume)'!$A$7:$O$440,9)</f>
        <v>40375</v>
      </c>
      <c r="J37" s="103">
        <f>VLOOKUP($A37,'OI(Volume)'!$A$7:$O$440,11)</f>
        <v>10259050</v>
      </c>
      <c r="K37" s="103">
        <f>VLOOKUP($A37,'OI(Volume)'!$A$7:$O$440,12)</f>
        <v>-85975</v>
      </c>
      <c r="L37" s="103">
        <f>VLOOKUP($A37,'OI(Value)'!$A$7:$O$323,8,0)</f>
        <v>4060</v>
      </c>
      <c r="M37" s="103">
        <f>VLOOKUP($A37,'OI(Value)'!$A$7:$O$323,9,0)</f>
        <v>7</v>
      </c>
      <c r="N37" s="103">
        <f>VLOOKUP($A37,'OI(Value)'!$A$7:$O$323,11,0)</f>
        <v>1854</v>
      </c>
      <c r="O37" s="103">
        <f>VLOOKUP($A37,'OI(Value)'!$A$7:$O$323,12,0)</f>
        <v>-16</v>
      </c>
      <c r="P37" s="179">
        <f>VLOOKUP(A37,'OI(Value)'!A37:O255,8,0)</f>
        <v>4060</v>
      </c>
      <c r="Q37" s="179">
        <f>VLOOKUP(A37,'OI(Value)'!A37:O255,9,0)</f>
        <v>7</v>
      </c>
      <c r="R37" s="179">
        <f>VLOOKUP(A37,'OI(Value)'!A37:O255,11,0)</f>
        <v>1854</v>
      </c>
      <c r="S37" s="179">
        <f>VLOOKUP(A37,'OI(Value)'!A37:O255,11,0)</f>
        <v>1854</v>
      </c>
    </row>
    <row r="38" spans="1:19" x14ac:dyDescent="0.25">
      <c r="A38" s="105" t="str">
        <f>'Data Vlaue (Cr)'!C33</f>
        <v>BHEL</v>
      </c>
      <c r="B38" s="143">
        <f>VLOOKUP($A38,'Data shares'!$C:$FA,118)</f>
        <v>0.88</v>
      </c>
      <c r="C38" s="143">
        <f>VLOOKUP($A38,'Data shares'!$C:$FA,119)</f>
        <v>0.79</v>
      </c>
      <c r="D38" s="143">
        <f>VLOOKUP($A38,'Data shares'!$C:$FA,121)*100</f>
        <v>11.39</v>
      </c>
      <c r="E38" s="143">
        <f>VLOOKUP($A38,'Data shares'!$C:$FA,124)</f>
        <v>0.51</v>
      </c>
      <c r="F38" s="143">
        <f>VLOOKUP($A38,'Data shares'!$C:$FA,125)</f>
        <v>0.76</v>
      </c>
      <c r="G38" s="143">
        <f>VLOOKUP($A38,'Data shares'!$C:$FA,127)*100</f>
        <v>-32.89</v>
      </c>
      <c r="H38" s="103">
        <f>VLOOKUP($A38,'OI(Volume)'!$A$7:$O$440,8)</f>
        <v>31416000</v>
      </c>
      <c r="I38" s="103">
        <f>VLOOKUP($A38,'OI(Volume)'!$A$7:$O$440,9)</f>
        <v>-1638000</v>
      </c>
      <c r="J38" s="103">
        <f>VLOOKUP($A38,'OI(Volume)'!$A$7:$O$440,11)</f>
        <v>27798750</v>
      </c>
      <c r="K38" s="103">
        <f>VLOOKUP($A38,'OI(Volume)'!$A$7:$O$440,12)</f>
        <v>1708875</v>
      </c>
      <c r="L38" s="103">
        <f>VLOOKUP($A38,'OI(Value)'!$A$7:$O$323,8,0)</f>
        <v>845</v>
      </c>
      <c r="M38" s="103">
        <f>VLOOKUP($A38,'OI(Value)'!$A$7:$O$323,9,0)</f>
        <v>-44</v>
      </c>
      <c r="N38" s="103">
        <f>VLOOKUP($A38,'OI(Value)'!$A$7:$O$323,11,0)</f>
        <v>747</v>
      </c>
      <c r="O38" s="103">
        <f>VLOOKUP($A38,'OI(Value)'!$A$7:$O$323,12,0)</f>
        <v>46</v>
      </c>
      <c r="P38" s="179">
        <f>VLOOKUP(A38,'OI(Value)'!A38:O256,8,0)</f>
        <v>845</v>
      </c>
      <c r="Q38" s="179">
        <f>VLOOKUP(A38,'OI(Value)'!A38:O256,9,0)</f>
        <v>-44</v>
      </c>
      <c r="R38" s="179">
        <f>VLOOKUP(A38,'OI(Value)'!A38:O256,11,0)</f>
        <v>747</v>
      </c>
      <c r="S38" s="179">
        <f>VLOOKUP(A38,'OI(Value)'!A38:O256,11,0)</f>
        <v>747</v>
      </c>
    </row>
    <row r="39" spans="1:19" x14ac:dyDescent="0.25">
      <c r="A39" s="105" t="str">
        <f>'Data Vlaue (Cr)'!C34</f>
        <v>BIOCON</v>
      </c>
      <c r="B39" s="143">
        <f>VLOOKUP($A39,'Data shares'!$C:$FA,118)</f>
        <v>0.78</v>
      </c>
      <c r="C39" s="143">
        <f>VLOOKUP($A39,'Data shares'!$C:$FA,119)</f>
        <v>0.78</v>
      </c>
      <c r="D39" s="143">
        <f>VLOOKUP($A39,'Data shares'!$C:$FA,121)*100</f>
        <v>0</v>
      </c>
      <c r="E39" s="143">
        <f>VLOOKUP($A39,'Data shares'!$C:$FA,124)</f>
        <v>0.53</v>
      </c>
      <c r="F39" s="143">
        <f>VLOOKUP($A39,'Data shares'!$C:$FA,125)</f>
        <v>0.32</v>
      </c>
      <c r="G39" s="143">
        <f>VLOOKUP($A39,'Data shares'!$C:$FA,127)*100</f>
        <v>65.63</v>
      </c>
      <c r="H39" s="103">
        <f>VLOOKUP($A39,'OI(Volume)'!$A$7:$O$440,8)</f>
        <v>18300000</v>
      </c>
      <c r="I39" s="103">
        <f>VLOOKUP($A39,'OI(Volume)'!$A$7:$O$440,9)</f>
        <v>870000</v>
      </c>
      <c r="J39" s="103">
        <f>VLOOKUP($A39,'OI(Volume)'!$A$7:$O$440,11)</f>
        <v>14207500</v>
      </c>
      <c r="K39" s="103">
        <f>VLOOKUP($A39,'OI(Volume)'!$A$7:$O$440,12)</f>
        <v>557500</v>
      </c>
      <c r="L39" s="103">
        <f>VLOOKUP($A39,'OI(Value)'!$A$7:$O$323,8,0)</f>
        <v>720</v>
      </c>
      <c r="M39" s="103">
        <f>VLOOKUP($A39,'OI(Value)'!$A$7:$O$323,9,0)</f>
        <v>34</v>
      </c>
      <c r="N39" s="103">
        <f>VLOOKUP($A39,'OI(Value)'!$A$7:$O$323,11,0)</f>
        <v>559</v>
      </c>
      <c r="O39" s="103">
        <f>VLOOKUP($A39,'OI(Value)'!$A$7:$O$323,12,0)</f>
        <v>22</v>
      </c>
      <c r="P39" s="179">
        <f>VLOOKUP(A39,'OI(Value)'!A39:O257,8,0)</f>
        <v>720</v>
      </c>
      <c r="Q39" s="179">
        <f>VLOOKUP(A39,'OI(Value)'!A39:O257,9,0)</f>
        <v>34</v>
      </c>
      <c r="R39" s="179">
        <f>VLOOKUP(A39,'OI(Value)'!A39:O257,11,0)</f>
        <v>559</v>
      </c>
      <c r="S39" s="179">
        <f>VLOOKUP(A39,'OI(Value)'!A39:O257,11,0)</f>
        <v>559</v>
      </c>
    </row>
    <row r="40" spans="1:19" x14ac:dyDescent="0.25">
      <c r="A40" s="105" t="str">
        <f>'Data Vlaue (Cr)'!C35</f>
        <v>BLUESTARCO</v>
      </c>
      <c r="B40" s="143">
        <f>VLOOKUP($A40,'Data shares'!$C:$FA,118)</f>
        <v>0.53</v>
      </c>
      <c r="C40" s="143">
        <f>VLOOKUP($A40,'Data shares'!$C:$FA,119)</f>
        <v>0.54</v>
      </c>
      <c r="D40" s="143">
        <f>VLOOKUP($A40,'Data shares'!$C:$FA,121)*100</f>
        <v>-1.8499999999999999</v>
      </c>
      <c r="E40" s="143">
        <f>VLOOKUP($A40,'Data shares'!$C:$FA,124)</f>
        <v>0.2</v>
      </c>
      <c r="F40" s="143">
        <f>VLOOKUP($A40,'Data shares'!$C:$FA,125)</f>
        <v>0.19</v>
      </c>
      <c r="G40" s="143">
        <f>VLOOKUP($A40,'Data shares'!$C:$FA,127)*100</f>
        <v>5.26</v>
      </c>
      <c r="H40" s="103">
        <f>VLOOKUP($A40,'OI(Volume)'!$A$7:$O$440,8)</f>
        <v>1362400</v>
      </c>
      <c r="I40" s="103">
        <f>VLOOKUP($A40,'OI(Volume)'!$A$7:$O$440,9)</f>
        <v>72800</v>
      </c>
      <c r="J40" s="103">
        <f>VLOOKUP($A40,'OI(Volume)'!$A$7:$O$440,11)</f>
        <v>727350</v>
      </c>
      <c r="K40" s="103">
        <f>VLOOKUP($A40,'OI(Volume)'!$A$7:$O$440,12)</f>
        <v>32500</v>
      </c>
      <c r="L40" s="103">
        <f>VLOOKUP($A40,'OI(Value)'!$A$7:$O$323,8,0)</f>
        <v>265</v>
      </c>
      <c r="M40" s="103">
        <f>VLOOKUP($A40,'OI(Value)'!$A$7:$O$323,9,0)</f>
        <v>14</v>
      </c>
      <c r="N40" s="103">
        <f>VLOOKUP($A40,'OI(Value)'!$A$7:$O$323,11,0)</f>
        <v>142</v>
      </c>
      <c r="O40" s="103">
        <f>VLOOKUP($A40,'OI(Value)'!$A$7:$O$323,12,0)</f>
        <v>6</v>
      </c>
      <c r="P40" s="179">
        <f>VLOOKUP(A40,'OI(Value)'!A40:O258,8,0)</f>
        <v>265</v>
      </c>
      <c r="Q40" s="179">
        <f>VLOOKUP(A40,'OI(Value)'!A40:O258,9,0)</f>
        <v>14</v>
      </c>
      <c r="R40" s="179">
        <f>VLOOKUP(A40,'OI(Value)'!A40:O258,11,0)</f>
        <v>142</v>
      </c>
      <c r="S40" s="179">
        <f>VLOOKUP(A40,'OI(Value)'!A40:O258,11,0)</f>
        <v>142</v>
      </c>
    </row>
    <row r="41" spans="1:19" x14ac:dyDescent="0.25">
      <c r="A41" s="105" t="str">
        <f>'Data Vlaue (Cr)'!C36</f>
        <v>BOSCHLTD</v>
      </c>
      <c r="B41" s="143">
        <f>VLOOKUP($A41,'Data shares'!$C:$FA,118)</f>
        <v>0.59</v>
      </c>
      <c r="C41" s="143">
        <f>VLOOKUP($A41,'Data shares'!$C:$FA,119)</f>
        <v>0.6</v>
      </c>
      <c r="D41" s="143">
        <f>VLOOKUP($A41,'Data shares'!$C:$FA,121)*100</f>
        <v>-1.67</v>
      </c>
      <c r="E41" s="143">
        <f>VLOOKUP($A41,'Data shares'!$C:$FA,124)</f>
        <v>0.56000000000000005</v>
      </c>
      <c r="F41" s="143">
        <f>VLOOKUP($A41,'Data shares'!$C:$FA,125)</f>
        <v>0.72</v>
      </c>
      <c r="G41" s="143">
        <f>VLOOKUP($A41,'Data shares'!$C:$FA,127)*100</f>
        <v>-22.220000000000002</v>
      </c>
      <c r="H41" s="103">
        <f>VLOOKUP($A41,'OI(Volume)'!$A$7:$O$440,8)</f>
        <v>241475</v>
      </c>
      <c r="I41" s="103">
        <f>VLOOKUP($A41,'OI(Volume)'!$A$7:$O$440,9)</f>
        <v>10400</v>
      </c>
      <c r="J41" s="103">
        <f>VLOOKUP($A41,'OI(Volume)'!$A$7:$O$440,11)</f>
        <v>141900</v>
      </c>
      <c r="K41" s="103">
        <f>VLOOKUP($A41,'OI(Volume)'!$A$7:$O$440,12)</f>
        <v>2475</v>
      </c>
      <c r="L41" s="103">
        <f>VLOOKUP($A41,'OI(Value)'!$A$7:$O$323,8,0)</f>
        <v>758</v>
      </c>
      <c r="M41" s="103">
        <f>VLOOKUP($A41,'OI(Value)'!$A$7:$O$323,9,0)</f>
        <v>33</v>
      </c>
      <c r="N41" s="103">
        <f>VLOOKUP($A41,'OI(Value)'!$A$7:$O$323,11,0)</f>
        <v>446</v>
      </c>
      <c r="O41" s="103">
        <f>VLOOKUP($A41,'OI(Value)'!$A$7:$O$323,12,0)</f>
        <v>8</v>
      </c>
      <c r="P41" s="179">
        <f>VLOOKUP(A41,'OI(Value)'!A41:O259,8,0)</f>
        <v>758</v>
      </c>
      <c r="Q41" s="179">
        <f>VLOOKUP(A41,'OI(Value)'!A41:O259,9,0)</f>
        <v>33</v>
      </c>
      <c r="R41" s="179">
        <f>VLOOKUP(A41,'OI(Value)'!A41:O259,11,0)</f>
        <v>446</v>
      </c>
      <c r="S41" s="179">
        <f>VLOOKUP(A41,'OI(Value)'!A41:O259,11,0)</f>
        <v>446</v>
      </c>
    </row>
    <row r="42" spans="1:19" x14ac:dyDescent="0.25">
      <c r="A42" s="105" t="str">
        <f>'Data Vlaue (Cr)'!C37</f>
        <v>BPCL</v>
      </c>
      <c r="B42" s="143">
        <f>VLOOKUP($A42,'Data shares'!$C:$FA,118)</f>
        <v>0.79</v>
      </c>
      <c r="C42" s="143">
        <f>VLOOKUP($A42,'Data shares'!$C:$FA,119)</f>
        <v>0.76</v>
      </c>
      <c r="D42" s="143">
        <f>VLOOKUP($A42,'Data shares'!$C:$FA,121)*100</f>
        <v>3.95</v>
      </c>
      <c r="E42" s="143">
        <f>VLOOKUP($A42,'Data shares'!$C:$FA,124)</f>
        <v>0.99</v>
      </c>
      <c r="F42" s="143">
        <f>VLOOKUP($A42,'Data shares'!$C:$FA,125)</f>
        <v>0.71</v>
      </c>
      <c r="G42" s="143">
        <f>VLOOKUP($A42,'Data shares'!$C:$FA,127)*100</f>
        <v>39.44</v>
      </c>
      <c r="H42" s="103">
        <f>VLOOKUP($A42,'OI(Volume)'!$A$7:$O$440,8)</f>
        <v>24239175</v>
      </c>
      <c r="I42" s="103">
        <f>VLOOKUP($A42,'OI(Volume)'!$A$7:$O$440,9)</f>
        <v>325875</v>
      </c>
      <c r="J42" s="103">
        <f>VLOOKUP($A42,'OI(Volume)'!$A$7:$O$440,11)</f>
        <v>19084425</v>
      </c>
      <c r="K42" s="103">
        <f>VLOOKUP($A42,'OI(Volume)'!$A$7:$O$440,12)</f>
        <v>973675</v>
      </c>
      <c r="L42" s="103">
        <f>VLOOKUP($A42,'OI(Value)'!$A$7:$O$323,8,0)</f>
        <v>793</v>
      </c>
      <c r="M42" s="103">
        <f>VLOOKUP($A42,'OI(Value)'!$A$7:$O$323,9,0)</f>
        <v>11</v>
      </c>
      <c r="N42" s="103">
        <f>VLOOKUP($A42,'OI(Value)'!$A$7:$O$323,11,0)</f>
        <v>624</v>
      </c>
      <c r="O42" s="103">
        <f>VLOOKUP($A42,'OI(Value)'!$A$7:$O$323,12,0)</f>
        <v>32</v>
      </c>
      <c r="P42" s="179">
        <f>VLOOKUP(A42,'OI(Value)'!A42:O260,8,0)</f>
        <v>793</v>
      </c>
      <c r="Q42" s="179">
        <f>VLOOKUP(A42,'OI(Value)'!A42:O260,9,0)</f>
        <v>11</v>
      </c>
      <c r="R42" s="179">
        <f>VLOOKUP(A42,'OI(Value)'!A42:O260,11,0)</f>
        <v>624</v>
      </c>
      <c r="S42" s="179">
        <f>VLOOKUP(A42,'OI(Value)'!A42:O260,11,0)</f>
        <v>624</v>
      </c>
    </row>
    <row r="43" spans="1:19" x14ac:dyDescent="0.25">
      <c r="A43" s="105" t="str">
        <f>'Data Vlaue (Cr)'!C38</f>
        <v>BRITANNIA</v>
      </c>
      <c r="B43" s="143">
        <f>VLOOKUP($A43,'Data shares'!$C:$FA,118)</f>
        <v>0.53</v>
      </c>
      <c r="C43" s="143">
        <f>VLOOKUP($A43,'Data shares'!$C:$FA,119)</f>
        <v>0.55000000000000004</v>
      </c>
      <c r="D43" s="143">
        <f>VLOOKUP($A43,'Data shares'!$C:$FA,121)*100</f>
        <v>-3.64</v>
      </c>
      <c r="E43" s="143">
        <f>VLOOKUP($A43,'Data shares'!$C:$FA,124)</f>
        <v>1.1399999999999999</v>
      </c>
      <c r="F43" s="143">
        <f>VLOOKUP($A43,'Data shares'!$C:$FA,125)</f>
        <v>1.78</v>
      </c>
      <c r="G43" s="143">
        <f>VLOOKUP($A43,'Data shares'!$C:$FA,127)*100</f>
        <v>-35.96</v>
      </c>
      <c r="H43" s="103">
        <f>VLOOKUP($A43,'OI(Volume)'!$A$7:$O$440,8)</f>
        <v>793625</v>
      </c>
      <c r="I43" s="103">
        <f>VLOOKUP($A43,'OI(Volume)'!$A$7:$O$440,9)</f>
        <v>65500</v>
      </c>
      <c r="J43" s="103">
        <f>VLOOKUP($A43,'OI(Volume)'!$A$7:$O$440,11)</f>
        <v>419500</v>
      </c>
      <c r="K43" s="103">
        <f>VLOOKUP($A43,'OI(Volume)'!$A$7:$O$440,12)</f>
        <v>19250</v>
      </c>
      <c r="L43" s="103">
        <f>VLOOKUP($A43,'OI(Value)'!$A$7:$O$323,8,0)</f>
        <v>460</v>
      </c>
      <c r="M43" s="103">
        <f>VLOOKUP($A43,'OI(Value)'!$A$7:$O$323,9,0)</f>
        <v>38</v>
      </c>
      <c r="N43" s="103">
        <f>VLOOKUP($A43,'OI(Value)'!$A$7:$O$323,11,0)</f>
        <v>243</v>
      </c>
      <c r="O43" s="103">
        <f>VLOOKUP($A43,'OI(Value)'!$A$7:$O$323,12,0)</f>
        <v>11</v>
      </c>
      <c r="P43" s="179">
        <f>VLOOKUP(A43,'OI(Value)'!A43:O261,8,0)</f>
        <v>460</v>
      </c>
      <c r="Q43" s="179">
        <f>VLOOKUP(A43,'OI(Value)'!A43:O261,9,0)</f>
        <v>38</v>
      </c>
      <c r="R43" s="179">
        <f>VLOOKUP(A43,'OI(Value)'!A43:O261,11,0)</f>
        <v>243</v>
      </c>
      <c r="S43" s="179">
        <f>VLOOKUP(A43,'OI(Value)'!A43:O261,11,0)</f>
        <v>243</v>
      </c>
    </row>
    <row r="44" spans="1:19" x14ac:dyDescent="0.25">
      <c r="A44" s="105" t="str">
        <f>'Data Vlaue (Cr)'!C39</f>
        <v>BSE</v>
      </c>
      <c r="B44" s="143">
        <f>VLOOKUP($A44,'Data shares'!$C:$FA,118)</f>
        <v>0.84</v>
      </c>
      <c r="C44" s="143">
        <f>VLOOKUP($A44,'Data shares'!$C:$FA,119)</f>
        <v>0.84</v>
      </c>
      <c r="D44" s="143">
        <f>VLOOKUP($A44,'Data shares'!$C:$FA,121)*100</f>
        <v>0</v>
      </c>
      <c r="E44" s="143">
        <f>VLOOKUP($A44,'Data shares'!$C:$FA,124)</f>
        <v>0.9</v>
      </c>
      <c r="F44" s="143">
        <f>VLOOKUP($A44,'Data shares'!$C:$FA,125)</f>
        <v>0.93</v>
      </c>
      <c r="G44" s="143">
        <f>VLOOKUP($A44,'Data shares'!$C:$FA,127)*100</f>
        <v>-3.2300000000000004</v>
      </c>
      <c r="H44" s="103">
        <f>VLOOKUP($A44,'OI(Volume)'!$A$7:$O$440,8)</f>
        <v>6856125</v>
      </c>
      <c r="I44" s="103">
        <f>VLOOKUP($A44,'OI(Volume)'!$A$7:$O$440,9)</f>
        <v>124125</v>
      </c>
      <c r="J44" s="103">
        <f>VLOOKUP($A44,'OI(Volume)'!$A$7:$O$440,11)</f>
        <v>5772000</v>
      </c>
      <c r="K44" s="103">
        <f>VLOOKUP($A44,'OI(Volume)'!$A$7:$O$440,12)</f>
        <v>121500</v>
      </c>
      <c r="L44" s="103">
        <f>VLOOKUP($A44,'OI(Value)'!$A$7:$O$323,8,0)</f>
        <v>1955</v>
      </c>
      <c r="M44" s="103">
        <f>VLOOKUP($A44,'OI(Value)'!$A$7:$O$323,9,0)</f>
        <v>35</v>
      </c>
      <c r="N44" s="103">
        <f>VLOOKUP($A44,'OI(Value)'!$A$7:$O$323,11,0)</f>
        <v>1646</v>
      </c>
      <c r="O44" s="103">
        <f>VLOOKUP($A44,'OI(Value)'!$A$7:$O$323,12,0)</f>
        <v>35</v>
      </c>
      <c r="P44" s="179">
        <f>VLOOKUP(A44,'OI(Value)'!A44:O262,8,0)</f>
        <v>1955</v>
      </c>
      <c r="Q44" s="179">
        <f>VLOOKUP(A44,'OI(Value)'!A44:O262,9,0)</f>
        <v>35</v>
      </c>
      <c r="R44" s="179">
        <f>VLOOKUP(A44,'OI(Value)'!A44:O262,11,0)</f>
        <v>1646</v>
      </c>
      <c r="S44" s="179">
        <f>VLOOKUP(A44,'OI(Value)'!A44:O262,11,0)</f>
        <v>1646</v>
      </c>
    </row>
    <row r="45" spans="1:19" x14ac:dyDescent="0.25">
      <c r="A45" s="105" t="str">
        <f>'Data Vlaue (Cr)'!C40</f>
        <v>CAMS</v>
      </c>
      <c r="B45" s="143">
        <f>VLOOKUP($A45,'Data shares'!$C:$FA,118)</f>
        <v>0.8</v>
      </c>
      <c r="C45" s="143">
        <f>VLOOKUP($A45,'Data shares'!$C:$FA,119)</f>
        <v>0.87</v>
      </c>
      <c r="D45" s="143">
        <f>VLOOKUP($A45,'Data shares'!$C:$FA,121)*100</f>
        <v>-8.0500000000000007</v>
      </c>
      <c r="E45" s="143">
        <f>VLOOKUP($A45,'Data shares'!$C:$FA,124)</f>
        <v>0.77</v>
      </c>
      <c r="F45" s="143">
        <f>VLOOKUP($A45,'Data shares'!$C:$FA,125)</f>
        <v>0.49</v>
      </c>
      <c r="G45" s="143">
        <f>VLOOKUP($A45,'Data shares'!$C:$FA,127)*100</f>
        <v>57.14</v>
      </c>
      <c r="H45" s="103">
        <f>VLOOKUP($A45,'OI(Volume)'!$A$7:$O$440,8)</f>
        <v>3639750</v>
      </c>
      <c r="I45" s="103">
        <f>VLOOKUP($A45,'OI(Volume)'!$A$7:$O$440,9)</f>
        <v>352500</v>
      </c>
      <c r="J45" s="103">
        <f>VLOOKUP($A45,'OI(Volume)'!$A$7:$O$440,11)</f>
        <v>2906250</v>
      </c>
      <c r="K45" s="103">
        <f>VLOOKUP($A45,'OI(Volume)'!$A$7:$O$440,12)</f>
        <v>38250</v>
      </c>
      <c r="L45" s="103">
        <f>VLOOKUP($A45,'OI(Value)'!$A$7:$O$323,8,0)</f>
        <v>242</v>
      </c>
      <c r="M45" s="103">
        <f>VLOOKUP($A45,'OI(Value)'!$A$7:$O$323,9,0)</f>
        <v>23</v>
      </c>
      <c r="N45" s="103">
        <f>VLOOKUP($A45,'OI(Value)'!$A$7:$O$323,11,0)</f>
        <v>193</v>
      </c>
      <c r="O45" s="103">
        <f>VLOOKUP($A45,'OI(Value)'!$A$7:$O$323,12,0)</f>
        <v>3</v>
      </c>
      <c r="P45" s="179">
        <f>VLOOKUP(A45,'OI(Value)'!A45:O263,8,0)</f>
        <v>242</v>
      </c>
      <c r="Q45" s="179">
        <f>VLOOKUP(A45,'OI(Value)'!A45:O263,9,0)</f>
        <v>23</v>
      </c>
      <c r="R45" s="179">
        <f>VLOOKUP(A45,'OI(Value)'!A45:O263,11,0)</f>
        <v>193</v>
      </c>
      <c r="S45" s="179">
        <f>VLOOKUP(A45,'OI(Value)'!A45:O263,11,0)</f>
        <v>193</v>
      </c>
    </row>
    <row r="46" spans="1:19" x14ac:dyDescent="0.25">
      <c r="A46" s="105" t="str">
        <f>'Data Vlaue (Cr)'!C41</f>
        <v>CANBK</v>
      </c>
      <c r="B46" s="143">
        <f>VLOOKUP($A46,'Data shares'!$C:$FA,118)</f>
        <v>0.75</v>
      </c>
      <c r="C46" s="143">
        <f>VLOOKUP($A46,'Data shares'!$C:$FA,119)</f>
        <v>0.72</v>
      </c>
      <c r="D46" s="143">
        <f>VLOOKUP($A46,'Data shares'!$C:$FA,121)*100</f>
        <v>4.17</v>
      </c>
      <c r="E46" s="143">
        <f>VLOOKUP($A46,'Data shares'!$C:$FA,124)</f>
        <v>0.56000000000000005</v>
      </c>
      <c r="F46" s="143">
        <f>VLOOKUP($A46,'Data shares'!$C:$FA,125)</f>
        <v>0.59</v>
      </c>
      <c r="G46" s="143">
        <f>VLOOKUP($A46,'Data shares'!$C:$FA,127)*100</f>
        <v>-5.08</v>
      </c>
      <c r="H46" s="103">
        <f>VLOOKUP($A46,'OI(Volume)'!$A$7:$O$440,8)</f>
        <v>108675000</v>
      </c>
      <c r="I46" s="103">
        <f>VLOOKUP($A46,'OI(Volume)'!$A$7:$O$440,9)</f>
        <v>1505250</v>
      </c>
      <c r="J46" s="103">
        <f>VLOOKUP($A46,'OI(Volume)'!$A$7:$O$440,11)</f>
        <v>81958500</v>
      </c>
      <c r="K46" s="103">
        <f>VLOOKUP($A46,'OI(Volume)'!$A$7:$O$440,12)</f>
        <v>4711500</v>
      </c>
      <c r="L46" s="103">
        <f>VLOOKUP($A46,'OI(Value)'!$A$7:$O$323,8,0)</f>
        <v>1528</v>
      </c>
      <c r="M46" s="103">
        <f>VLOOKUP($A46,'OI(Value)'!$A$7:$O$323,9,0)</f>
        <v>21</v>
      </c>
      <c r="N46" s="103">
        <f>VLOOKUP($A46,'OI(Value)'!$A$7:$O$323,11,0)</f>
        <v>1152</v>
      </c>
      <c r="O46" s="103">
        <f>VLOOKUP($A46,'OI(Value)'!$A$7:$O$323,12,0)</f>
        <v>66</v>
      </c>
      <c r="P46" s="179">
        <f>VLOOKUP(A46,'OI(Value)'!A46:O264,8,0)</f>
        <v>1528</v>
      </c>
      <c r="Q46" s="179">
        <f>VLOOKUP(A46,'OI(Value)'!A46:O264,9,0)</f>
        <v>21</v>
      </c>
      <c r="R46" s="179">
        <f>VLOOKUP(A46,'OI(Value)'!A46:O264,11,0)</f>
        <v>1152</v>
      </c>
      <c r="S46" s="179">
        <f>VLOOKUP(A46,'OI(Value)'!A46:O264,11,0)</f>
        <v>1152</v>
      </c>
    </row>
    <row r="47" spans="1:19" x14ac:dyDescent="0.25">
      <c r="A47" s="105" t="str">
        <f>'Data Vlaue (Cr)'!C42</f>
        <v>CDSL</v>
      </c>
      <c r="B47" s="143">
        <f>VLOOKUP($A47,'Data shares'!$C:$FA,118)</f>
        <v>0.72</v>
      </c>
      <c r="C47" s="143">
        <f>VLOOKUP($A47,'Data shares'!$C:$FA,119)</f>
        <v>0.76</v>
      </c>
      <c r="D47" s="143">
        <f>VLOOKUP($A47,'Data shares'!$C:$FA,121)*100</f>
        <v>-5.26</v>
      </c>
      <c r="E47" s="143">
        <f>VLOOKUP($A47,'Data shares'!$C:$FA,124)</f>
        <v>0.42</v>
      </c>
      <c r="F47" s="143">
        <f>VLOOKUP($A47,'Data shares'!$C:$FA,125)</f>
        <v>0.52</v>
      </c>
      <c r="G47" s="143">
        <f>VLOOKUP($A47,'Data shares'!$C:$FA,127)*100</f>
        <v>-19.23</v>
      </c>
      <c r="H47" s="103">
        <f>VLOOKUP($A47,'OI(Volume)'!$A$7:$O$440,8)</f>
        <v>6944025</v>
      </c>
      <c r="I47" s="103">
        <f>VLOOKUP($A47,'OI(Volume)'!$A$7:$O$440,9)</f>
        <v>299725</v>
      </c>
      <c r="J47" s="103">
        <f>VLOOKUP($A47,'OI(Volume)'!$A$7:$O$440,11)</f>
        <v>5006025</v>
      </c>
      <c r="K47" s="103">
        <f>VLOOKUP($A47,'OI(Volume)'!$A$7:$O$440,12)</f>
        <v>-29925</v>
      </c>
      <c r="L47" s="103">
        <f>VLOOKUP($A47,'OI(Value)'!$A$7:$O$323,8,0)</f>
        <v>839</v>
      </c>
      <c r="M47" s="103">
        <f>VLOOKUP($A47,'OI(Value)'!$A$7:$O$323,9,0)</f>
        <v>36</v>
      </c>
      <c r="N47" s="103">
        <f>VLOOKUP($A47,'OI(Value)'!$A$7:$O$323,11,0)</f>
        <v>605</v>
      </c>
      <c r="O47" s="103">
        <f>VLOOKUP($A47,'OI(Value)'!$A$7:$O$323,12,0)</f>
        <v>-4</v>
      </c>
      <c r="P47" s="179">
        <f>VLOOKUP(A47,'OI(Value)'!A47:O265,8,0)</f>
        <v>839</v>
      </c>
      <c r="Q47" s="179">
        <f>VLOOKUP(A47,'OI(Value)'!A47:O265,9,0)</f>
        <v>36</v>
      </c>
      <c r="R47" s="179">
        <f>VLOOKUP(A47,'OI(Value)'!A47:O265,11,0)</f>
        <v>605</v>
      </c>
      <c r="S47" s="179">
        <f>VLOOKUP(A47,'OI(Value)'!A47:O265,11,0)</f>
        <v>605</v>
      </c>
    </row>
    <row r="48" spans="1:19" x14ac:dyDescent="0.25">
      <c r="A48" s="105" t="str">
        <f>'Data Vlaue (Cr)'!C43</f>
        <v>CGPOWER</v>
      </c>
      <c r="B48" s="143">
        <f>VLOOKUP($A48,'Data shares'!$C:$FA,118)</f>
        <v>0.66</v>
      </c>
      <c r="C48" s="143">
        <f>VLOOKUP($A48,'Data shares'!$C:$FA,119)</f>
        <v>0.69</v>
      </c>
      <c r="D48" s="143">
        <f>VLOOKUP($A48,'Data shares'!$C:$FA,121)*100</f>
        <v>-4.3499999999999996</v>
      </c>
      <c r="E48" s="143">
        <f>VLOOKUP($A48,'Data shares'!$C:$FA,124)</f>
        <v>0.33</v>
      </c>
      <c r="F48" s="143">
        <f>VLOOKUP($A48,'Data shares'!$C:$FA,125)</f>
        <v>0.39</v>
      </c>
      <c r="G48" s="143">
        <f>VLOOKUP($A48,'Data shares'!$C:$FA,127)*100</f>
        <v>-15.379999999999999</v>
      </c>
      <c r="H48" s="103">
        <f>VLOOKUP($A48,'OI(Volume)'!$A$7:$O$440,8)</f>
        <v>5119550</v>
      </c>
      <c r="I48" s="103">
        <f>VLOOKUP($A48,'OI(Volume)'!$A$7:$O$440,9)</f>
        <v>736100</v>
      </c>
      <c r="J48" s="103">
        <f>VLOOKUP($A48,'OI(Volume)'!$A$7:$O$440,11)</f>
        <v>3377050</v>
      </c>
      <c r="K48" s="103">
        <f>VLOOKUP($A48,'OI(Volume)'!$A$7:$O$440,12)</f>
        <v>358700</v>
      </c>
      <c r="L48" s="103">
        <f>VLOOKUP($A48,'OI(Value)'!$A$7:$O$323,8,0)</f>
        <v>379</v>
      </c>
      <c r="M48" s="103">
        <f>VLOOKUP($A48,'OI(Value)'!$A$7:$O$323,9,0)</f>
        <v>54</v>
      </c>
      <c r="N48" s="103">
        <f>VLOOKUP($A48,'OI(Value)'!$A$7:$O$323,11,0)</f>
        <v>250</v>
      </c>
      <c r="O48" s="103">
        <f>VLOOKUP($A48,'OI(Value)'!$A$7:$O$323,12,0)</f>
        <v>27</v>
      </c>
      <c r="P48" s="179">
        <f>VLOOKUP(A48,'OI(Value)'!A48:O266,8,0)</f>
        <v>379</v>
      </c>
      <c r="Q48" s="179">
        <f>VLOOKUP(A48,'OI(Value)'!A48:O266,9,0)</f>
        <v>54</v>
      </c>
      <c r="R48" s="179">
        <f>VLOOKUP(A48,'OI(Value)'!A48:O266,11,0)</f>
        <v>250</v>
      </c>
      <c r="S48" s="179">
        <f>VLOOKUP(A48,'OI(Value)'!A48:O266,11,0)</f>
        <v>250</v>
      </c>
    </row>
    <row r="49" spans="1:19" x14ac:dyDescent="0.25">
      <c r="A49" s="105" t="str">
        <f>'Data Vlaue (Cr)'!C44</f>
        <v>CHOLAFIN</v>
      </c>
      <c r="B49" s="143">
        <f>VLOOKUP($A49,'Data shares'!$C:$FA,118)</f>
        <v>0.77</v>
      </c>
      <c r="C49" s="143">
        <f>VLOOKUP($A49,'Data shares'!$C:$FA,119)</f>
        <v>0.85</v>
      </c>
      <c r="D49" s="143">
        <f>VLOOKUP($A49,'Data shares'!$C:$FA,121)*100</f>
        <v>-9.41</v>
      </c>
      <c r="E49" s="143">
        <f>VLOOKUP($A49,'Data shares'!$C:$FA,124)</f>
        <v>0.79</v>
      </c>
      <c r="F49" s="143">
        <f>VLOOKUP($A49,'Data shares'!$C:$FA,125)</f>
        <v>1.1299999999999999</v>
      </c>
      <c r="G49" s="143">
        <f>VLOOKUP($A49,'Data shares'!$C:$FA,127)*100</f>
        <v>-30.09</v>
      </c>
      <c r="H49" s="103">
        <f>VLOOKUP($A49,'OI(Volume)'!$A$7:$O$440,8)</f>
        <v>4213125</v>
      </c>
      <c r="I49" s="103">
        <f>VLOOKUP($A49,'OI(Volume)'!$A$7:$O$440,9)</f>
        <v>395625</v>
      </c>
      <c r="J49" s="103">
        <f>VLOOKUP($A49,'OI(Volume)'!$A$7:$O$440,11)</f>
        <v>3235000</v>
      </c>
      <c r="K49" s="103">
        <f>VLOOKUP($A49,'OI(Volume)'!$A$7:$O$440,12)</f>
        <v>-21875</v>
      </c>
      <c r="L49" s="103">
        <f>VLOOKUP($A49,'OI(Value)'!$A$7:$O$323,8,0)</f>
        <v>645</v>
      </c>
      <c r="M49" s="103">
        <f>VLOOKUP($A49,'OI(Value)'!$A$7:$O$323,9,0)</f>
        <v>61</v>
      </c>
      <c r="N49" s="103">
        <f>VLOOKUP($A49,'OI(Value)'!$A$7:$O$323,11,0)</f>
        <v>496</v>
      </c>
      <c r="O49" s="103">
        <f>VLOOKUP($A49,'OI(Value)'!$A$7:$O$323,12,0)</f>
        <v>-3</v>
      </c>
      <c r="P49" s="179">
        <f>VLOOKUP(A49,'OI(Value)'!A49:O267,8,0)</f>
        <v>645</v>
      </c>
      <c r="Q49" s="179">
        <f>VLOOKUP(A49,'OI(Value)'!A49:O267,9,0)</f>
        <v>61</v>
      </c>
      <c r="R49" s="179">
        <f>VLOOKUP(A49,'OI(Value)'!A49:O267,11,0)</f>
        <v>496</v>
      </c>
      <c r="S49" s="179">
        <f>VLOOKUP(A49,'OI(Value)'!A49:O267,11,0)</f>
        <v>496</v>
      </c>
    </row>
    <row r="50" spans="1:19" x14ac:dyDescent="0.25">
      <c r="A50" s="105" t="str">
        <f>'Data Vlaue (Cr)'!C45</f>
        <v>CIPLA</v>
      </c>
      <c r="B50" s="143">
        <f>VLOOKUP($A50,'Data shares'!$C:$FA,118)</f>
        <v>0.41</v>
      </c>
      <c r="C50" s="143">
        <f>VLOOKUP($A50,'Data shares'!$C:$FA,119)</f>
        <v>0.42</v>
      </c>
      <c r="D50" s="143">
        <f>VLOOKUP($A50,'Data shares'!$C:$FA,121)*100</f>
        <v>-2.3800000000000003</v>
      </c>
      <c r="E50" s="143">
        <f>VLOOKUP($A50,'Data shares'!$C:$FA,124)</f>
        <v>0.32</v>
      </c>
      <c r="F50" s="143">
        <f>VLOOKUP($A50,'Data shares'!$C:$FA,125)</f>
        <v>0.33</v>
      </c>
      <c r="G50" s="143">
        <f>VLOOKUP($A50,'Data shares'!$C:$FA,127)*100</f>
        <v>-3.0300000000000002</v>
      </c>
      <c r="H50" s="103">
        <f>VLOOKUP($A50,'OI(Volume)'!$A$7:$O$440,8)</f>
        <v>8301000</v>
      </c>
      <c r="I50" s="103">
        <f>VLOOKUP($A50,'OI(Volume)'!$A$7:$O$440,9)</f>
        <v>842250</v>
      </c>
      <c r="J50" s="103">
        <f>VLOOKUP($A50,'OI(Volume)'!$A$7:$O$440,11)</f>
        <v>3405750</v>
      </c>
      <c r="K50" s="103">
        <f>VLOOKUP($A50,'OI(Volume)'!$A$7:$O$440,12)</f>
        <v>255375</v>
      </c>
      <c r="L50" s="103">
        <f>VLOOKUP($A50,'OI(Value)'!$A$7:$O$323,8,0)</f>
        <v>1104</v>
      </c>
      <c r="M50" s="103">
        <f>VLOOKUP($A50,'OI(Value)'!$A$7:$O$323,9,0)</f>
        <v>112</v>
      </c>
      <c r="N50" s="103">
        <f>VLOOKUP($A50,'OI(Value)'!$A$7:$O$323,11,0)</f>
        <v>453</v>
      </c>
      <c r="O50" s="103">
        <f>VLOOKUP($A50,'OI(Value)'!$A$7:$O$323,12,0)</f>
        <v>34</v>
      </c>
      <c r="P50" s="179">
        <f>VLOOKUP(A50,'OI(Value)'!A50:O268,8,0)</f>
        <v>1104</v>
      </c>
      <c r="Q50" s="179">
        <f>VLOOKUP(A50,'OI(Value)'!A50:O268,9,0)</f>
        <v>112</v>
      </c>
      <c r="R50" s="179">
        <f>VLOOKUP(A50,'OI(Value)'!A50:O268,11,0)</f>
        <v>453</v>
      </c>
      <c r="S50" s="179">
        <f>VLOOKUP(A50,'OI(Value)'!A50:O268,11,0)</f>
        <v>453</v>
      </c>
    </row>
    <row r="51" spans="1:19" x14ac:dyDescent="0.25">
      <c r="A51" s="105" t="str">
        <f>'Data Vlaue (Cr)'!C46</f>
        <v>COALINDIA</v>
      </c>
      <c r="B51" s="143">
        <f>VLOOKUP($A51,'Data shares'!$C:$FA,118)</f>
        <v>0.74</v>
      </c>
      <c r="C51" s="143">
        <f>VLOOKUP($A51,'Data shares'!$C:$FA,119)</f>
        <v>0.65</v>
      </c>
      <c r="D51" s="143">
        <f>VLOOKUP($A51,'Data shares'!$C:$FA,121)*100</f>
        <v>13.850000000000001</v>
      </c>
      <c r="E51" s="143">
        <f>VLOOKUP($A51,'Data shares'!$C:$FA,124)</f>
        <v>0.4</v>
      </c>
      <c r="F51" s="143">
        <f>VLOOKUP($A51,'Data shares'!$C:$FA,125)</f>
        <v>0.48</v>
      </c>
      <c r="G51" s="143">
        <f>VLOOKUP($A51,'Data shares'!$C:$FA,127)*100</f>
        <v>-16.669999999999998</v>
      </c>
      <c r="H51" s="103">
        <f>VLOOKUP($A51,'OI(Volume)'!$A$7:$O$440,8)</f>
        <v>37076400</v>
      </c>
      <c r="I51" s="103">
        <f>VLOOKUP($A51,'OI(Volume)'!$A$7:$O$440,9)</f>
        <v>3010500</v>
      </c>
      <c r="J51" s="103">
        <f>VLOOKUP($A51,'OI(Volume)'!$A$7:$O$440,11)</f>
        <v>27403650</v>
      </c>
      <c r="K51" s="103">
        <f>VLOOKUP($A51,'OI(Volume)'!$A$7:$O$440,12)</f>
        <v>5255550</v>
      </c>
      <c r="L51" s="103">
        <f>VLOOKUP($A51,'OI(Value)'!$A$7:$O$323,8,0)</f>
        <v>1745</v>
      </c>
      <c r="M51" s="103">
        <f>VLOOKUP($A51,'OI(Value)'!$A$7:$O$323,9,0)</f>
        <v>142</v>
      </c>
      <c r="N51" s="103">
        <f>VLOOKUP($A51,'OI(Value)'!$A$7:$O$323,11,0)</f>
        <v>1289</v>
      </c>
      <c r="O51" s="103">
        <f>VLOOKUP($A51,'OI(Value)'!$A$7:$O$323,12,0)</f>
        <v>247</v>
      </c>
      <c r="P51" s="179">
        <f>VLOOKUP(A51,'OI(Value)'!A51:O269,8,0)</f>
        <v>1745</v>
      </c>
      <c r="Q51" s="179">
        <f>VLOOKUP(A51,'OI(Value)'!A51:O269,9,0)</f>
        <v>142</v>
      </c>
      <c r="R51" s="179">
        <f>VLOOKUP(A51,'OI(Value)'!A51:O269,11,0)</f>
        <v>1289</v>
      </c>
      <c r="S51" s="179">
        <f>VLOOKUP(A51,'OI(Value)'!A51:O269,11,0)</f>
        <v>1289</v>
      </c>
    </row>
    <row r="52" spans="1:19" x14ac:dyDescent="0.25">
      <c r="A52" s="105" t="str">
        <f>'Data Vlaue (Cr)'!C47</f>
        <v>COFORGE</v>
      </c>
      <c r="B52" s="143">
        <f>VLOOKUP($A52,'Data shares'!$C:$FA,118)</f>
        <v>0.37</v>
      </c>
      <c r="C52" s="143">
        <f>VLOOKUP($A52,'Data shares'!$C:$FA,119)</f>
        <v>0.37</v>
      </c>
      <c r="D52" s="143">
        <f>VLOOKUP($A52,'Data shares'!$C:$FA,121)*100</f>
        <v>0</v>
      </c>
      <c r="E52" s="143">
        <f>VLOOKUP($A52,'Data shares'!$C:$FA,124)</f>
        <v>0.44</v>
      </c>
      <c r="F52" s="143">
        <f>VLOOKUP($A52,'Data shares'!$C:$FA,125)</f>
        <v>0.4</v>
      </c>
      <c r="G52" s="143">
        <f>VLOOKUP($A52,'Data shares'!$C:$FA,127)*100</f>
        <v>10</v>
      </c>
      <c r="H52" s="103">
        <f>VLOOKUP($A52,'OI(Volume)'!$A$7:$O$440,8)</f>
        <v>13423875</v>
      </c>
      <c r="I52" s="103">
        <f>VLOOKUP($A52,'OI(Volume)'!$A$7:$O$440,9)</f>
        <v>533250</v>
      </c>
      <c r="J52" s="103">
        <f>VLOOKUP($A52,'OI(Volume)'!$A$7:$O$440,11)</f>
        <v>5025000</v>
      </c>
      <c r="K52" s="103">
        <f>VLOOKUP($A52,'OI(Volume)'!$A$7:$O$440,12)</f>
        <v>219750</v>
      </c>
      <c r="L52" s="103">
        <f>VLOOKUP($A52,'OI(Value)'!$A$7:$O$323,8,0)</f>
        <v>1491</v>
      </c>
      <c r="M52" s="103">
        <f>VLOOKUP($A52,'OI(Value)'!$A$7:$O$323,9,0)</f>
        <v>59</v>
      </c>
      <c r="N52" s="103">
        <f>VLOOKUP($A52,'OI(Value)'!$A$7:$O$323,11,0)</f>
        <v>558</v>
      </c>
      <c r="O52" s="103">
        <f>VLOOKUP($A52,'OI(Value)'!$A$7:$O$323,12,0)</f>
        <v>24</v>
      </c>
      <c r="P52" s="179">
        <f>VLOOKUP(A52,'OI(Value)'!A52:O270,8,0)</f>
        <v>1491</v>
      </c>
      <c r="Q52" s="179">
        <f>VLOOKUP(A52,'OI(Value)'!A52:O270,9,0)</f>
        <v>59</v>
      </c>
      <c r="R52" s="179">
        <f>VLOOKUP(A52,'OI(Value)'!A52:O270,11,0)</f>
        <v>558</v>
      </c>
      <c r="S52" s="179">
        <f>VLOOKUP(A52,'OI(Value)'!A52:O270,11,0)</f>
        <v>558</v>
      </c>
    </row>
    <row r="53" spans="1:19" x14ac:dyDescent="0.25">
      <c r="A53" s="105" t="str">
        <f>'Data Vlaue (Cr)'!C48</f>
        <v>COLPAL</v>
      </c>
      <c r="B53" s="143">
        <f>VLOOKUP($A53,'Data shares'!$C:$FA,118)</f>
        <v>0.61</v>
      </c>
      <c r="C53" s="143">
        <f>VLOOKUP($A53,'Data shares'!$C:$FA,119)</f>
        <v>0.65</v>
      </c>
      <c r="D53" s="143">
        <f>VLOOKUP($A53,'Data shares'!$C:$FA,121)*100</f>
        <v>-6.15</v>
      </c>
      <c r="E53" s="143">
        <f>VLOOKUP($A53,'Data shares'!$C:$FA,124)</f>
        <v>0.62</v>
      </c>
      <c r="F53" s="143">
        <f>VLOOKUP($A53,'Data shares'!$C:$FA,125)</f>
        <v>1.17</v>
      </c>
      <c r="G53" s="143">
        <f>VLOOKUP($A53,'Data shares'!$C:$FA,127)*100</f>
        <v>-47.010000000000005</v>
      </c>
      <c r="H53" s="103">
        <f>VLOOKUP($A53,'OI(Volume)'!$A$7:$O$440,8)</f>
        <v>4241700</v>
      </c>
      <c r="I53" s="103">
        <f>VLOOKUP($A53,'OI(Volume)'!$A$7:$O$440,9)</f>
        <v>624375</v>
      </c>
      <c r="J53" s="103">
        <f>VLOOKUP($A53,'OI(Volume)'!$A$7:$O$440,11)</f>
        <v>2566350</v>
      </c>
      <c r="K53" s="103">
        <f>VLOOKUP($A53,'OI(Volume)'!$A$7:$O$440,12)</f>
        <v>217125</v>
      </c>
      <c r="L53" s="103">
        <f>VLOOKUP($A53,'OI(Value)'!$A$7:$O$323,8,0)</f>
        <v>837</v>
      </c>
      <c r="M53" s="103">
        <f>VLOOKUP($A53,'OI(Value)'!$A$7:$O$323,9,0)</f>
        <v>123</v>
      </c>
      <c r="N53" s="103">
        <f>VLOOKUP($A53,'OI(Value)'!$A$7:$O$323,11,0)</f>
        <v>506</v>
      </c>
      <c r="O53" s="103">
        <f>VLOOKUP($A53,'OI(Value)'!$A$7:$O$323,12,0)</f>
        <v>43</v>
      </c>
      <c r="P53" s="179">
        <f>VLOOKUP(A53,'OI(Value)'!A53:O271,8,0)</f>
        <v>837</v>
      </c>
      <c r="Q53" s="179">
        <f>VLOOKUP(A53,'OI(Value)'!A53:O271,9,0)</f>
        <v>123</v>
      </c>
      <c r="R53" s="179">
        <f>VLOOKUP(A53,'OI(Value)'!A53:O271,11,0)</f>
        <v>506</v>
      </c>
      <c r="S53" s="179">
        <f>VLOOKUP(A53,'OI(Value)'!A53:O271,11,0)</f>
        <v>506</v>
      </c>
    </row>
    <row r="54" spans="1:19" x14ac:dyDescent="0.25">
      <c r="A54" s="105" t="str">
        <f>'Data Vlaue (Cr)'!C49</f>
        <v>CONCOR</v>
      </c>
      <c r="B54" s="143">
        <f>VLOOKUP($A54,'Data shares'!$C:$FA,118)</f>
        <v>0.72</v>
      </c>
      <c r="C54" s="143">
        <f>VLOOKUP($A54,'Data shares'!$C:$FA,119)</f>
        <v>0.73</v>
      </c>
      <c r="D54" s="143">
        <f>VLOOKUP($A54,'Data shares'!$C:$FA,121)*100</f>
        <v>-1.37</v>
      </c>
      <c r="E54" s="143">
        <f>VLOOKUP($A54,'Data shares'!$C:$FA,124)</f>
        <v>0.39</v>
      </c>
      <c r="F54" s="143">
        <f>VLOOKUP($A54,'Data shares'!$C:$FA,125)</f>
        <v>0.5</v>
      </c>
      <c r="G54" s="143">
        <f>VLOOKUP($A54,'Data shares'!$C:$FA,127)*100</f>
        <v>-22</v>
      </c>
      <c r="H54" s="103">
        <f>VLOOKUP($A54,'OI(Volume)'!$A$7:$O$440,8)</f>
        <v>10510000</v>
      </c>
      <c r="I54" s="103">
        <f>VLOOKUP($A54,'OI(Volume)'!$A$7:$O$440,9)</f>
        <v>216250</v>
      </c>
      <c r="J54" s="103">
        <f>VLOOKUP($A54,'OI(Volume)'!$A$7:$O$440,11)</f>
        <v>7551250</v>
      </c>
      <c r="K54" s="103">
        <f>VLOOKUP($A54,'OI(Volume)'!$A$7:$O$440,12)</f>
        <v>10000</v>
      </c>
      <c r="L54" s="103">
        <f>VLOOKUP($A54,'OI(Value)'!$A$7:$O$323,8,0)</f>
        <v>493</v>
      </c>
      <c r="M54" s="103">
        <f>VLOOKUP($A54,'OI(Value)'!$A$7:$O$323,9,0)</f>
        <v>10</v>
      </c>
      <c r="N54" s="103">
        <f>VLOOKUP($A54,'OI(Value)'!$A$7:$O$323,11,0)</f>
        <v>354</v>
      </c>
      <c r="O54" s="103">
        <f>VLOOKUP($A54,'OI(Value)'!$A$7:$O$323,12,0)</f>
        <v>0</v>
      </c>
      <c r="P54" s="179">
        <f>VLOOKUP(A54,'OI(Value)'!A54:O272,8,0)</f>
        <v>493</v>
      </c>
      <c r="Q54" s="179">
        <f>VLOOKUP(A54,'OI(Value)'!A54:O272,9,0)</f>
        <v>10</v>
      </c>
      <c r="R54" s="179">
        <f>VLOOKUP(A54,'OI(Value)'!A54:O272,11,0)</f>
        <v>354</v>
      </c>
      <c r="S54" s="179">
        <f>VLOOKUP(A54,'OI(Value)'!A54:O272,11,0)</f>
        <v>354</v>
      </c>
    </row>
    <row r="55" spans="1:19" x14ac:dyDescent="0.25">
      <c r="A55" s="105" t="str">
        <f>'Data Vlaue (Cr)'!C50</f>
        <v>CROMPTON</v>
      </c>
      <c r="B55" s="143">
        <f>VLOOKUP($A55,'Data shares'!$C:$FA,118)</f>
        <v>0.52</v>
      </c>
      <c r="C55" s="143">
        <f>VLOOKUP($A55,'Data shares'!$C:$FA,119)</f>
        <v>0.53</v>
      </c>
      <c r="D55" s="143">
        <f>VLOOKUP($A55,'Data shares'!$C:$FA,121)*100</f>
        <v>-1.8900000000000001</v>
      </c>
      <c r="E55" s="143">
        <f>VLOOKUP($A55,'Data shares'!$C:$FA,124)</f>
        <v>0.28000000000000003</v>
      </c>
      <c r="F55" s="143">
        <f>VLOOKUP($A55,'Data shares'!$C:$FA,125)</f>
        <v>0.33</v>
      </c>
      <c r="G55" s="143">
        <f>VLOOKUP($A55,'Data shares'!$C:$FA,127)*100</f>
        <v>-15.15</v>
      </c>
      <c r="H55" s="103">
        <f>VLOOKUP($A55,'OI(Volume)'!$A$7:$O$440,8)</f>
        <v>9837000</v>
      </c>
      <c r="I55" s="103">
        <f>VLOOKUP($A55,'OI(Volume)'!$A$7:$O$440,9)</f>
        <v>478800</v>
      </c>
      <c r="J55" s="103">
        <f>VLOOKUP($A55,'OI(Volume)'!$A$7:$O$440,11)</f>
        <v>5151600</v>
      </c>
      <c r="K55" s="103">
        <f>VLOOKUP($A55,'OI(Volume)'!$A$7:$O$440,12)</f>
        <v>167400</v>
      </c>
      <c r="L55" s="103">
        <f>VLOOKUP($A55,'OI(Value)'!$A$7:$O$323,8,0)</f>
        <v>244</v>
      </c>
      <c r="M55" s="103">
        <f>VLOOKUP($A55,'OI(Value)'!$A$7:$O$323,9,0)</f>
        <v>12</v>
      </c>
      <c r="N55" s="103">
        <f>VLOOKUP($A55,'OI(Value)'!$A$7:$O$323,11,0)</f>
        <v>128</v>
      </c>
      <c r="O55" s="103">
        <f>VLOOKUP($A55,'OI(Value)'!$A$7:$O$323,12,0)</f>
        <v>4</v>
      </c>
      <c r="P55" s="179">
        <f>VLOOKUP(A55,'OI(Value)'!A55:O273,8,0)</f>
        <v>244</v>
      </c>
      <c r="Q55" s="179">
        <f>VLOOKUP(A55,'OI(Value)'!A55:O273,9,0)</f>
        <v>12</v>
      </c>
      <c r="R55" s="179">
        <f>VLOOKUP(A55,'OI(Value)'!A55:O273,11,0)</f>
        <v>128</v>
      </c>
      <c r="S55" s="179">
        <f>VLOOKUP(A55,'OI(Value)'!A55:O273,11,0)</f>
        <v>128</v>
      </c>
    </row>
    <row r="56" spans="1:19" x14ac:dyDescent="0.25">
      <c r="A56" s="105" t="str">
        <f>'Data Vlaue (Cr)'!C51</f>
        <v>CUMMINSIND</v>
      </c>
      <c r="B56" s="143">
        <f>VLOOKUP($A56,'Data shares'!$C:$FA,118)</f>
        <v>0.76</v>
      </c>
      <c r="C56" s="143">
        <f>VLOOKUP($A56,'Data shares'!$C:$FA,119)</f>
        <v>0.69</v>
      </c>
      <c r="D56" s="143">
        <f>VLOOKUP($A56,'Data shares'!$C:$FA,121)*100</f>
        <v>10.14</v>
      </c>
      <c r="E56" s="143">
        <f>VLOOKUP($A56,'Data shares'!$C:$FA,124)</f>
        <v>0.47</v>
      </c>
      <c r="F56" s="143">
        <f>VLOOKUP($A56,'Data shares'!$C:$FA,125)</f>
        <v>0.3</v>
      </c>
      <c r="G56" s="143">
        <f>VLOOKUP($A56,'Data shares'!$C:$FA,127)*100</f>
        <v>56.67</v>
      </c>
      <c r="H56" s="103">
        <f>VLOOKUP($A56,'OI(Volume)'!$A$7:$O$440,8)</f>
        <v>1066800</v>
      </c>
      <c r="I56" s="103">
        <f>VLOOKUP($A56,'OI(Volume)'!$A$7:$O$440,9)</f>
        <v>-32000</v>
      </c>
      <c r="J56" s="103">
        <f>VLOOKUP($A56,'OI(Volume)'!$A$7:$O$440,11)</f>
        <v>808200</v>
      </c>
      <c r="K56" s="103">
        <f>VLOOKUP($A56,'OI(Volume)'!$A$7:$O$440,12)</f>
        <v>46000</v>
      </c>
      <c r="L56" s="103">
        <f>VLOOKUP($A56,'OI(Value)'!$A$7:$O$323,8,0)</f>
        <v>508</v>
      </c>
      <c r="M56" s="103">
        <f>VLOOKUP($A56,'OI(Value)'!$A$7:$O$323,9,0)</f>
        <v>-15</v>
      </c>
      <c r="N56" s="103">
        <f>VLOOKUP($A56,'OI(Value)'!$A$7:$O$323,11,0)</f>
        <v>385</v>
      </c>
      <c r="O56" s="103">
        <f>VLOOKUP($A56,'OI(Value)'!$A$7:$O$323,12,0)</f>
        <v>22</v>
      </c>
      <c r="P56" s="179">
        <f>VLOOKUP(A56,'OI(Value)'!A56:O274,8,0)</f>
        <v>508</v>
      </c>
      <c r="Q56" s="179">
        <f>VLOOKUP(A56,'OI(Value)'!A56:O274,9,0)</f>
        <v>-15</v>
      </c>
      <c r="R56" s="179">
        <f>VLOOKUP(A56,'OI(Value)'!A56:O274,11,0)</f>
        <v>385</v>
      </c>
      <c r="S56" s="179">
        <f>VLOOKUP(A56,'OI(Value)'!A56:O274,11,0)</f>
        <v>385</v>
      </c>
    </row>
    <row r="57" spans="1:19" x14ac:dyDescent="0.25">
      <c r="A57" s="105" t="str">
        <f>'Data Vlaue (Cr)'!C52</f>
        <v>DABUR</v>
      </c>
      <c r="B57" s="143">
        <f>VLOOKUP($A57,'Data shares'!$C:$FA,118)</f>
        <v>0.54</v>
      </c>
      <c r="C57" s="143">
        <f>VLOOKUP($A57,'Data shares'!$C:$FA,119)</f>
        <v>0.56000000000000005</v>
      </c>
      <c r="D57" s="143">
        <f>VLOOKUP($A57,'Data shares'!$C:$FA,121)*100</f>
        <v>-3.5700000000000003</v>
      </c>
      <c r="E57" s="143">
        <f>VLOOKUP($A57,'Data shares'!$C:$FA,124)</f>
        <v>0.9</v>
      </c>
      <c r="F57" s="143">
        <f>VLOOKUP($A57,'Data shares'!$C:$FA,125)</f>
        <v>0.95</v>
      </c>
      <c r="G57" s="143">
        <f>VLOOKUP($A57,'Data shares'!$C:$FA,127)*100</f>
        <v>-5.26</v>
      </c>
      <c r="H57" s="103">
        <f>VLOOKUP($A57,'OI(Volume)'!$A$7:$O$440,8)</f>
        <v>11450000</v>
      </c>
      <c r="I57" s="103">
        <f>VLOOKUP($A57,'OI(Volume)'!$A$7:$O$440,9)</f>
        <v>972500</v>
      </c>
      <c r="J57" s="103">
        <f>VLOOKUP($A57,'OI(Volume)'!$A$7:$O$440,11)</f>
        <v>6196250</v>
      </c>
      <c r="K57" s="103">
        <f>VLOOKUP($A57,'OI(Volume)'!$A$7:$O$440,12)</f>
        <v>343750</v>
      </c>
      <c r="L57" s="103">
        <f>VLOOKUP($A57,'OI(Value)'!$A$7:$O$323,8,0)</f>
        <v>528</v>
      </c>
      <c r="M57" s="103">
        <f>VLOOKUP($A57,'OI(Value)'!$A$7:$O$323,9,0)</f>
        <v>45</v>
      </c>
      <c r="N57" s="103">
        <f>VLOOKUP($A57,'OI(Value)'!$A$7:$O$323,11,0)</f>
        <v>286</v>
      </c>
      <c r="O57" s="103">
        <f>VLOOKUP($A57,'OI(Value)'!$A$7:$O$323,12,0)</f>
        <v>16</v>
      </c>
      <c r="P57" s="179">
        <f>VLOOKUP(A57,'OI(Value)'!A57:O275,8,0)</f>
        <v>528</v>
      </c>
      <c r="Q57" s="179">
        <f>VLOOKUP(A57,'OI(Value)'!A57:O275,9,0)</f>
        <v>45</v>
      </c>
      <c r="R57" s="179">
        <f>VLOOKUP(A57,'OI(Value)'!A57:O275,11,0)</f>
        <v>286</v>
      </c>
      <c r="S57" s="179">
        <f>VLOOKUP(A57,'OI(Value)'!A57:O275,11,0)</f>
        <v>286</v>
      </c>
    </row>
    <row r="58" spans="1:19" x14ac:dyDescent="0.25">
      <c r="A58" s="105" t="str">
        <f>'Data Vlaue (Cr)'!C53</f>
        <v>DALBHARAT</v>
      </c>
      <c r="B58" s="143">
        <f>VLOOKUP($A58,'Data shares'!$C:$FA,118)</f>
        <v>1.34</v>
      </c>
      <c r="C58" s="143">
        <f>VLOOKUP($A58,'Data shares'!$C:$FA,119)</f>
        <v>1.2</v>
      </c>
      <c r="D58" s="143">
        <f>VLOOKUP($A58,'Data shares'!$C:$FA,121)*100</f>
        <v>11.67</v>
      </c>
      <c r="E58" s="143">
        <f>VLOOKUP($A58,'Data shares'!$C:$FA,124)</f>
        <v>4.1100000000000003</v>
      </c>
      <c r="F58" s="143">
        <f>VLOOKUP($A58,'Data shares'!$C:$FA,125)</f>
        <v>1.54</v>
      </c>
      <c r="G58" s="143">
        <f>VLOOKUP($A58,'Data shares'!$C:$FA,127)*100</f>
        <v>166.88</v>
      </c>
      <c r="H58" s="103">
        <f>VLOOKUP($A58,'OI(Volume)'!$A$7:$O$440,8)</f>
        <v>1438450</v>
      </c>
      <c r="I58" s="103">
        <f>VLOOKUP($A58,'OI(Volume)'!$A$7:$O$440,9)</f>
        <v>181025</v>
      </c>
      <c r="J58" s="103">
        <f>VLOOKUP($A58,'OI(Volume)'!$A$7:$O$440,11)</f>
        <v>1928550</v>
      </c>
      <c r="K58" s="103">
        <f>VLOOKUP($A58,'OI(Volume)'!$A$7:$O$440,12)</f>
        <v>417625</v>
      </c>
      <c r="L58" s="103">
        <f>VLOOKUP($A58,'OI(Value)'!$A$7:$O$323,8,0)</f>
        <v>273</v>
      </c>
      <c r="M58" s="103">
        <f>VLOOKUP($A58,'OI(Value)'!$A$7:$O$323,9,0)</f>
        <v>34</v>
      </c>
      <c r="N58" s="103">
        <f>VLOOKUP($A58,'OI(Value)'!$A$7:$O$323,11,0)</f>
        <v>366</v>
      </c>
      <c r="O58" s="103">
        <f>VLOOKUP($A58,'OI(Value)'!$A$7:$O$323,12,0)</f>
        <v>79</v>
      </c>
      <c r="P58" s="179">
        <f>VLOOKUP(A58,'OI(Value)'!A58:O276,8,0)</f>
        <v>273</v>
      </c>
      <c r="Q58" s="179">
        <f>VLOOKUP(A58,'OI(Value)'!A58:O276,9,0)</f>
        <v>34</v>
      </c>
      <c r="R58" s="179">
        <f>VLOOKUP(A58,'OI(Value)'!A58:O276,11,0)</f>
        <v>366</v>
      </c>
      <c r="S58" s="179">
        <f>VLOOKUP(A58,'OI(Value)'!A58:O276,11,0)</f>
        <v>366</v>
      </c>
    </row>
    <row r="59" spans="1:19" x14ac:dyDescent="0.25">
      <c r="A59" s="105" t="str">
        <f>'Data Vlaue (Cr)'!C54</f>
        <v>DELHIVERY</v>
      </c>
      <c r="B59" s="143">
        <f>VLOOKUP($A59,'Data shares'!$C:$FA,118)</f>
        <v>0.56999999999999995</v>
      </c>
      <c r="C59" s="143">
        <f>VLOOKUP($A59,'Data shares'!$C:$FA,119)</f>
        <v>0.57999999999999996</v>
      </c>
      <c r="D59" s="143">
        <f>VLOOKUP($A59,'Data shares'!$C:$FA,121)*100</f>
        <v>-1.72</v>
      </c>
      <c r="E59" s="143">
        <f>VLOOKUP($A59,'Data shares'!$C:$FA,124)</f>
        <v>0.72</v>
      </c>
      <c r="F59" s="143">
        <f>VLOOKUP($A59,'Data shares'!$C:$FA,125)</f>
        <v>0.86</v>
      </c>
      <c r="G59" s="143">
        <f>VLOOKUP($A59,'Data shares'!$C:$FA,127)*100</f>
        <v>-16.28</v>
      </c>
      <c r="H59" s="103">
        <f>VLOOKUP($A59,'OI(Volume)'!$A$7:$O$440,8)</f>
        <v>7183650</v>
      </c>
      <c r="I59" s="103">
        <f>VLOOKUP($A59,'OI(Volume)'!$A$7:$O$440,9)</f>
        <v>431600</v>
      </c>
      <c r="J59" s="103">
        <f>VLOOKUP($A59,'OI(Volume)'!$A$7:$O$440,11)</f>
        <v>4114725</v>
      </c>
      <c r="K59" s="103">
        <f>VLOOKUP($A59,'OI(Volume)'!$A$7:$O$440,12)</f>
        <v>174300</v>
      </c>
      <c r="L59" s="103">
        <f>VLOOKUP($A59,'OI(Value)'!$A$7:$O$323,8,0)</f>
        <v>294</v>
      </c>
      <c r="M59" s="103">
        <f>VLOOKUP($A59,'OI(Value)'!$A$7:$O$323,9,0)</f>
        <v>18</v>
      </c>
      <c r="N59" s="103">
        <f>VLOOKUP($A59,'OI(Value)'!$A$7:$O$323,11,0)</f>
        <v>169</v>
      </c>
      <c r="O59" s="103">
        <f>VLOOKUP($A59,'OI(Value)'!$A$7:$O$323,12,0)</f>
        <v>7</v>
      </c>
      <c r="P59" s="179">
        <f>VLOOKUP(A59,'OI(Value)'!A59:O277,8,0)</f>
        <v>294</v>
      </c>
      <c r="Q59" s="179">
        <f>VLOOKUP(A59,'OI(Value)'!A59:O277,9,0)</f>
        <v>18</v>
      </c>
      <c r="R59" s="179">
        <f>VLOOKUP(A59,'OI(Value)'!A59:O277,11,0)</f>
        <v>169</v>
      </c>
      <c r="S59" s="179">
        <f>VLOOKUP(A59,'OI(Value)'!A59:O277,11,0)</f>
        <v>169</v>
      </c>
    </row>
    <row r="60" spans="1:19" x14ac:dyDescent="0.25">
      <c r="A60" s="105" t="str">
        <f>'Data Vlaue (Cr)'!C55</f>
        <v>DIVISLAB</v>
      </c>
      <c r="B60" s="143">
        <f>VLOOKUP($A60,'Data shares'!$C:$FA,118)</f>
        <v>0.6</v>
      </c>
      <c r="C60" s="143">
        <f>VLOOKUP($A60,'Data shares'!$C:$FA,119)</f>
        <v>0.56000000000000005</v>
      </c>
      <c r="D60" s="143">
        <f>VLOOKUP($A60,'Data shares'!$C:$FA,121)*100</f>
        <v>7.1400000000000006</v>
      </c>
      <c r="E60" s="143">
        <f>VLOOKUP($A60,'Data shares'!$C:$FA,124)</f>
        <v>0.48</v>
      </c>
      <c r="F60" s="143">
        <f>VLOOKUP($A60,'Data shares'!$C:$FA,125)</f>
        <v>0.37</v>
      </c>
      <c r="G60" s="143">
        <f>VLOOKUP($A60,'Data shares'!$C:$FA,127)*100</f>
        <v>29.73</v>
      </c>
      <c r="H60" s="103">
        <f>VLOOKUP($A60,'OI(Volume)'!$A$7:$O$440,8)</f>
        <v>779000</v>
      </c>
      <c r="I60" s="103">
        <f>VLOOKUP($A60,'OI(Volume)'!$A$7:$O$440,9)</f>
        <v>-56300</v>
      </c>
      <c r="J60" s="103">
        <f>VLOOKUP($A60,'OI(Volume)'!$A$7:$O$440,11)</f>
        <v>464500</v>
      </c>
      <c r="K60" s="103">
        <f>VLOOKUP($A60,'OI(Volume)'!$A$7:$O$440,12)</f>
        <v>-1200</v>
      </c>
      <c r="L60" s="103">
        <f>VLOOKUP($A60,'OI(Value)'!$A$7:$O$323,8,0)</f>
        <v>490</v>
      </c>
      <c r="M60" s="103">
        <f>VLOOKUP($A60,'OI(Value)'!$A$7:$O$323,9,0)</f>
        <v>-35</v>
      </c>
      <c r="N60" s="103">
        <f>VLOOKUP($A60,'OI(Value)'!$A$7:$O$323,11,0)</f>
        <v>292</v>
      </c>
      <c r="O60" s="103">
        <f>VLOOKUP($A60,'OI(Value)'!$A$7:$O$323,12,0)</f>
        <v>-1</v>
      </c>
      <c r="P60" s="179">
        <f>VLOOKUP(A60,'OI(Value)'!A60:O278,8,0)</f>
        <v>490</v>
      </c>
      <c r="Q60" s="179">
        <f>VLOOKUP(A60,'OI(Value)'!A60:O278,9,0)</f>
        <v>-35</v>
      </c>
      <c r="R60" s="179">
        <f>VLOOKUP(A60,'OI(Value)'!A60:O278,11,0)</f>
        <v>292</v>
      </c>
      <c r="S60" s="179">
        <f>VLOOKUP(A60,'OI(Value)'!A60:O278,11,0)</f>
        <v>292</v>
      </c>
    </row>
    <row r="61" spans="1:19" x14ac:dyDescent="0.25">
      <c r="A61" s="105" t="str">
        <f>'Data Vlaue (Cr)'!C56</f>
        <v>DIXON</v>
      </c>
      <c r="B61" s="143">
        <f>VLOOKUP($A61,'Data shares'!$C:$FA,118)</f>
        <v>0.63</v>
      </c>
      <c r="C61" s="143">
        <f>VLOOKUP($A61,'Data shares'!$C:$FA,119)</f>
        <v>0.59</v>
      </c>
      <c r="D61" s="143">
        <f>VLOOKUP($A61,'Data shares'!$C:$FA,121)*100</f>
        <v>6.78</v>
      </c>
      <c r="E61" s="143">
        <f>VLOOKUP($A61,'Data shares'!$C:$FA,124)</f>
        <v>0.39</v>
      </c>
      <c r="F61" s="143">
        <f>VLOOKUP($A61,'Data shares'!$C:$FA,125)</f>
        <v>0.46</v>
      </c>
      <c r="G61" s="143">
        <f>VLOOKUP($A61,'Data shares'!$C:$FA,127)*100</f>
        <v>-15.22</v>
      </c>
      <c r="H61" s="103">
        <f>VLOOKUP($A61,'OI(Volume)'!$A$7:$O$440,8)</f>
        <v>2350950</v>
      </c>
      <c r="I61" s="103">
        <f>VLOOKUP($A61,'OI(Volume)'!$A$7:$O$440,9)</f>
        <v>-33950</v>
      </c>
      <c r="J61" s="103">
        <f>VLOOKUP($A61,'OI(Volume)'!$A$7:$O$440,11)</f>
        <v>1471850</v>
      </c>
      <c r="K61" s="103">
        <f>VLOOKUP($A61,'OI(Volume)'!$A$7:$O$440,12)</f>
        <v>54550</v>
      </c>
      <c r="L61" s="103">
        <f>VLOOKUP($A61,'OI(Value)'!$A$7:$O$323,8,0)</f>
        <v>2524</v>
      </c>
      <c r="M61" s="103">
        <f>VLOOKUP($A61,'OI(Value)'!$A$7:$O$323,9,0)</f>
        <v>-36</v>
      </c>
      <c r="N61" s="103">
        <f>VLOOKUP($A61,'OI(Value)'!$A$7:$O$323,11,0)</f>
        <v>1580</v>
      </c>
      <c r="O61" s="103">
        <f>VLOOKUP($A61,'OI(Value)'!$A$7:$O$323,12,0)</f>
        <v>59</v>
      </c>
      <c r="P61" s="179">
        <f>VLOOKUP(A61,'OI(Value)'!A61:O279,8,0)</f>
        <v>2524</v>
      </c>
      <c r="Q61" s="179">
        <f>VLOOKUP(A61,'OI(Value)'!A61:O279,9,0)</f>
        <v>-36</v>
      </c>
      <c r="R61" s="179">
        <f>VLOOKUP(A61,'OI(Value)'!A61:O279,11,0)</f>
        <v>1580</v>
      </c>
      <c r="S61" s="179">
        <f>VLOOKUP(A61,'OI(Value)'!A61:O279,11,0)</f>
        <v>1580</v>
      </c>
    </row>
    <row r="62" spans="1:19" x14ac:dyDescent="0.25">
      <c r="A62" s="105" t="str">
        <f>'Data Vlaue (Cr)'!C57</f>
        <v>DLF</v>
      </c>
      <c r="B62" s="143">
        <f>VLOOKUP($A62,'Data shares'!$C:$FA,118)</f>
        <v>0.77</v>
      </c>
      <c r="C62" s="143">
        <f>VLOOKUP($A62,'Data shares'!$C:$FA,119)</f>
        <v>0.82</v>
      </c>
      <c r="D62" s="143">
        <f>VLOOKUP($A62,'Data shares'!$C:$FA,121)*100</f>
        <v>-6.1</v>
      </c>
      <c r="E62" s="143">
        <f>VLOOKUP($A62,'Data shares'!$C:$FA,124)</f>
        <v>0.64</v>
      </c>
      <c r="F62" s="143">
        <f>VLOOKUP($A62,'Data shares'!$C:$FA,125)</f>
        <v>0.98</v>
      </c>
      <c r="G62" s="143">
        <f>VLOOKUP($A62,'Data shares'!$C:$FA,127)*100</f>
        <v>-34.69</v>
      </c>
      <c r="H62" s="103">
        <f>VLOOKUP($A62,'OI(Volume)'!$A$7:$O$440,8)</f>
        <v>12766050</v>
      </c>
      <c r="I62" s="103">
        <f>VLOOKUP($A62,'OI(Volume)'!$A$7:$O$440,9)</f>
        <v>1077450</v>
      </c>
      <c r="J62" s="103">
        <f>VLOOKUP($A62,'OI(Volume)'!$A$7:$O$440,11)</f>
        <v>9801000</v>
      </c>
      <c r="K62" s="103">
        <f>VLOOKUP($A62,'OI(Volume)'!$A$7:$O$440,12)</f>
        <v>197175</v>
      </c>
      <c r="L62" s="103">
        <f>VLOOKUP($A62,'OI(Value)'!$A$7:$O$323,8,0)</f>
        <v>715</v>
      </c>
      <c r="M62" s="103">
        <f>VLOOKUP($A62,'OI(Value)'!$A$7:$O$323,9,0)</f>
        <v>60</v>
      </c>
      <c r="N62" s="103">
        <f>VLOOKUP($A62,'OI(Value)'!$A$7:$O$323,11,0)</f>
        <v>549</v>
      </c>
      <c r="O62" s="103">
        <f>VLOOKUP($A62,'OI(Value)'!$A$7:$O$323,12,0)</f>
        <v>11</v>
      </c>
      <c r="P62" s="179">
        <f>VLOOKUP(A62,'OI(Value)'!A62:O280,8,0)</f>
        <v>715</v>
      </c>
      <c r="Q62" s="179">
        <f>VLOOKUP(A62,'OI(Value)'!A62:O280,9,0)</f>
        <v>60</v>
      </c>
      <c r="R62" s="179">
        <f>VLOOKUP(A62,'OI(Value)'!A62:O280,11,0)</f>
        <v>549</v>
      </c>
      <c r="S62" s="179">
        <f>VLOOKUP(A62,'OI(Value)'!A62:O280,11,0)</f>
        <v>549</v>
      </c>
    </row>
    <row r="63" spans="1:19" x14ac:dyDescent="0.25">
      <c r="A63" s="105" t="str">
        <f>'Data Vlaue (Cr)'!C58</f>
        <v>DMART</v>
      </c>
      <c r="B63" s="143">
        <f>VLOOKUP($A63,'Data shares'!$C:$FA,118)</f>
        <v>0.73</v>
      </c>
      <c r="C63" s="143">
        <f>VLOOKUP($A63,'Data shares'!$C:$FA,119)</f>
        <v>0.73</v>
      </c>
      <c r="D63" s="143">
        <f>VLOOKUP($A63,'Data shares'!$C:$FA,121)*100</f>
        <v>0</v>
      </c>
      <c r="E63" s="143">
        <f>VLOOKUP($A63,'Data shares'!$C:$FA,124)</f>
        <v>0.49</v>
      </c>
      <c r="F63" s="143">
        <f>VLOOKUP($A63,'Data shares'!$C:$FA,125)</f>
        <v>0.46</v>
      </c>
      <c r="G63" s="143">
        <f>VLOOKUP($A63,'Data shares'!$C:$FA,127)*100</f>
        <v>6.52</v>
      </c>
      <c r="H63" s="103">
        <f>VLOOKUP($A63,'OI(Volume)'!$A$7:$O$440,8)</f>
        <v>1345950</v>
      </c>
      <c r="I63" s="103">
        <f>VLOOKUP($A63,'OI(Volume)'!$A$7:$O$440,9)</f>
        <v>82200</v>
      </c>
      <c r="J63" s="103">
        <f>VLOOKUP($A63,'OI(Volume)'!$A$7:$O$440,11)</f>
        <v>977250</v>
      </c>
      <c r="K63" s="103">
        <f>VLOOKUP($A63,'OI(Volume)'!$A$7:$O$440,12)</f>
        <v>53550</v>
      </c>
      <c r="L63" s="103">
        <f>VLOOKUP($A63,'OI(Value)'!$A$7:$O$323,8,0)</f>
        <v>534</v>
      </c>
      <c r="M63" s="103">
        <f>VLOOKUP($A63,'OI(Value)'!$A$7:$O$323,9,0)</f>
        <v>33</v>
      </c>
      <c r="N63" s="103">
        <f>VLOOKUP($A63,'OI(Value)'!$A$7:$O$323,11,0)</f>
        <v>388</v>
      </c>
      <c r="O63" s="103">
        <f>VLOOKUP($A63,'OI(Value)'!$A$7:$O$323,12,0)</f>
        <v>21</v>
      </c>
      <c r="P63" s="179">
        <f>VLOOKUP(A63,'OI(Value)'!A63:O281,8,0)</f>
        <v>534</v>
      </c>
      <c r="Q63" s="179">
        <f>VLOOKUP(A63,'OI(Value)'!A63:O281,9,0)</f>
        <v>33</v>
      </c>
      <c r="R63" s="179">
        <f>VLOOKUP(A63,'OI(Value)'!A63:O281,11,0)</f>
        <v>388</v>
      </c>
      <c r="S63" s="179">
        <f>VLOOKUP(A63,'OI(Value)'!A63:O281,11,0)</f>
        <v>388</v>
      </c>
    </row>
    <row r="64" spans="1:19" x14ac:dyDescent="0.25">
      <c r="A64" s="105" t="str">
        <f>'Data Vlaue (Cr)'!C59</f>
        <v>DRREDDY</v>
      </c>
      <c r="B64" s="143">
        <f>VLOOKUP($A64,'Data shares'!$C:$FA,118)</f>
        <v>0.47</v>
      </c>
      <c r="C64" s="143">
        <f>VLOOKUP($A64,'Data shares'!$C:$FA,119)</f>
        <v>0.46</v>
      </c>
      <c r="D64" s="143">
        <f>VLOOKUP($A64,'Data shares'!$C:$FA,121)*100</f>
        <v>2.17</v>
      </c>
      <c r="E64" s="143">
        <f>VLOOKUP($A64,'Data shares'!$C:$FA,124)</f>
        <v>0.37</v>
      </c>
      <c r="F64" s="143">
        <f>VLOOKUP($A64,'Data shares'!$C:$FA,125)</f>
        <v>0.28999999999999998</v>
      </c>
      <c r="G64" s="143">
        <f>VLOOKUP($A64,'Data shares'!$C:$FA,127)*100</f>
        <v>27.589999999999996</v>
      </c>
      <c r="H64" s="103">
        <f>VLOOKUP($A64,'OI(Volume)'!$A$7:$O$440,8)</f>
        <v>9868750</v>
      </c>
      <c r="I64" s="103">
        <f>VLOOKUP($A64,'OI(Volume)'!$A$7:$O$440,9)</f>
        <v>72500</v>
      </c>
      <c r="J64" s="103">
        <f>VLOOKUP($A64,'OI(Volume)'!$A$7:$O$440,11)</f>
        <v>4674375</v>
      </c>
      <c r="K64" s="103">
        <f>VLOOKUP($A64,'OI(Volume)'!$A$7:$O$440,12)</f>
        <v>155000</v>
      </c>
      <c r="L64" s="103">
        <f>VLOOKUP($A64,'OI(Value)'!$A$7:$O$323,8,0)</f>
        <v>1307</v>
      </c>
      <c r="M64" s="103">
        <f>VLOOKUP($A64,'OI(Value)'!$A$7:$O$323,9,0)</f>
        <v>10</v>
      </c>
      <c r="N64" s="103">
        <f>VLOOKUP($A64,'OI(Value)'!$A$7:$O$323,11,0)</f>
        <v>619</v>
      </c>
      <c r="O64" s="103">
        <f>VLOOKUP($A64,'OI(Value)'!$A$7:$O$323,12,0)</f>
        <v>21</v>
      </c>
      <c r="P64" s="179">
        <f>VLOOKUP(A64,'OI(Value)'!A64:O282,8,0)</f>
        <v>1307</v>
      </c>
      <c r="Q64" s="179">
        <f>VLOOKUP(A64,'OI(Value)'!A64:O282,9,0)</f>
        <v>10</v>
      </c>
      <c r="R64" s="179">
        <f>VLOOKUP(A64,'OI(Value)'!A64:O282,11,0)</f>
        <v>619</v>
      </c>
      <c r="S64" s="179">
        <f>VLOOKUP(A64,'OI(Value)'!A64:O282,11,0)</f>
        <v>619</v>
      </c>
    </row>
    <row r="65" spans="1:19" x14ac:dyDescent="0.25">
      <c r="A65" s="105" t="str">
        <f>'Data Vlaue (Cr)'!C60</f>
        <v>EICHERMOT</v>
      </c>
      <c r="B65" s="143">
        <f>VLOOKUP($A65,'Data shares'!$C:$FA,118)</f>
        <v>0.54</v>
      </c>
      <c r="C65" s="143">
        <f>VLOOKUP($A65,'Data shares'!$C:$FA,119)</f>
        <v>0.57999999999999996</v>
      </c>
      <c r="D65" s="143">
        <f>VLOOKUP($A65,'Data shares'!$C:$FA,121)*100</f>
        <v>-6.9</v>
      </c>
      <c r="E65" s="143">
        <f>VLOOKUP($A65,'Data shares'!$C:$FA,124)</f>
        <v>0.7</v>
      </c>
      <c r="F65" s="143">
        <f>VLOOKUP($A65,'Data shares'!$C:$FA,125)</f>
        <v>0.69</v>
      </c>
      <c r="G65" s="143">
        <f>VLOOKUP($A65,'Data shares'!$C:$FA,127)*100</f>
        <v>1.4500000000000002</v>
      </c>
      <c r="H65" s="103">
        <f>VLOOKUP($A65,'OI(Volume)'!$A$7:$O$440,8)</f>
        <v>2684600</v>
      </c>
      <c r="I65" s="103">
        <f>VLOOKUP($A65,'OI(Volume)'!$A$7:$O$440,9)</f>
        <v>387000</v>
      </c>
      <c r="J65" s="103">
        <f>VLOOKUP($A65,'OI(Volume)'!$A$7:$O$440,11)</f>
        <v>1449400</v>
      </c>
      <c r="K65" s="103">
        <f>VLOOKUP($A65,'OI(Volume)'!$A$7:$O$440,12)</f>
        <v>109200</v>
      </c>
      <c r="L65" s="103">
        <f>VLOOKUP($A65,'OI(Value)'!$A$7:$O$323,8,0)</f>
        <v>1881</v>
      </c>
      <c r="M65" s="103">
        <f>VLOOKUP($A65,'OI(Value)'!$A$7:$O$323,9,0)</f>
        <v>271</v>
      </c>
      <c r="N65" s="103">
        <f>VLOOKUP($A65,'OI(Value)'!$A$7:$O$323,11,0)</f>
        <v>1015</v>
      </c>
      <c r="O65" s="103">
        <f>VLOOKUP($A65,'OI(Value)'!$A$7:$O$323,12,0)</f>
        <v>76</v>
      </c>
      <c r="P65" s="179">
        <f>VLOOKUP(A65,'OI(Value)'!A65:O283,8,0)</f>
        <v>1881</v>
      </c>
      <c r="Q65" s="179">
        <f>VLOOKUP(A65,'OI(Value)'!A65:O283,9,0)</f>
        <v>271</v>
      </c>
      <c r="R65" s="179">
        <f>VLOOKUP(A65,'OI(Value)'!A65:O283,11,0)</f>
        <v>1015</v>
      </c>
      <c r="S65" s="179">
        <f>VLOOKUP(A65,'OI(Value)'!A65:O283,11,0)</f>
        <v>1015</v>
      </c>
    </row>
    <row r="66" spans="1:19" x14ac:dyDescent="0.25">
      <c r="A66" s="105" t="str">
        <f>'Data Vlaue (Cr)'!C61</f>
        <v>ETERNAL</v>
      </c>
      <c r="B66" s="143">
        <f>VLOOKUP($A66,'Data shares'!$C:$FA,118)</f>
        <v>0.56999999999999995</v>
      </c>
      <c r="C66" s="143">
        <f>VLOOKUP($A66,'Data shares'!$C:$FA,119)</f>
        <v>0.54</v>
      </c>
      <c r="D66" s="143">
        <f>VLOOKUP($A66,'Data shares'!$C:$FA,121)*100</f>
        <v>5.56</v>
      </c>
      <c r="E66" s="143">
        <f>VLOOKUP($A66,'Data shares'!$C:$FA,124)</f>
        <v>1.21</v>
      </c>
      <c r="F66" s="143">
        <f>VLOOKUP($A66,'Data shares'!$C:$FA,125)</f>
        <v>0.72</v>
      </c>
      <c r="G66" s="143">
        <f>VLOOKUP($A66,'Data shares'!$C:$FA,127)*100</f>
        <v>68.06</v>
      </c>
      <c r="H66" s="103">
        <f>VLOOKUP($A66,'OI(Volume)'!$A$7:$O$440,8)</f>
        <v>123408250</v>
      </c>
      <c r="I66" s="103">
        <f>VLOOKUP($A66,'OI(Volume)'!$A$7:$O$440,9)</f>
        <v>-982125</v>
      </c>
      <c r="J66" s="103">
        <f>VLOOKUP($A66,'OI(Volume)'!$A$7:$O$440,11)</f>
        <v>69970950</v>
      </c>
      <c r="K66" s="103">
        <f>VLOOKUP($A66,'OI(Volume)'!$A$7:$O$440,12)</f>
        <v>2568075</v>
      </c>
      <c r="L66" s="103">
        <f>VLOOKUP($A66,'OI(Value)'!$A$7:$O$323,8,0)</f>
        <v>2740</v>
      </c>
      <c r="M66" s="103">
        <f>VLOOKUP($A66,'OI(Value)'!$A$7:$O$323,9,0)</f>
        <v>-22</v>
      </c>
      <c r="N66" s="103">
        <f>VLOOKUP($A66,'OI(Value)'!$A$7:$O$323,11,0)</f>
        <v>1553</v>
      </c>
      <c r="O66" s="103">
        <f>VLOOKUP($A66,'OI(Value)'!$A$7:$O$323,12,0)</f>
        <v>57</v>
      </c>
      <c r="P66" s="179">
        <f>VLOOKUP(A66,'OI(Value)'!A66:O284,8,0)</f>
        <v>2740</v>
      </c>
      <c r="Q66" s="179">
        <f>VLOOKUP(A66,'OI(Value)'!A66:O284,9,0)</f>
        <v>-22</v>
      </c>
      <c r="R66" s="179">
        <f>VLOOKUP(A66,'OI(Value)'!A66:O284,11,0)</f>
        <v>1553</v>
      </c>
      <c r="S66" s="179">
        <f>VLOOKUP(A66,'OI(Value)'!A66:O284,11,0)</f>
        <v>1553</v>
      </c>
    </row>
    <row r="67" spans="1:19" x14ac:dyDescent="0.25">
      <c r="A67" s="105" t="str">
        <f>'Data Vlaue (Cr)'!C62</f>
        <v>EXIDEIND</v>
      </c>
      <c r="B67" s="143">
        <f>VLOOKUP($A67,'Data shares'!$C:$FA,118)</f>
        <v>0.8</v>
      </c>
      <c r="C67" s="143">
        <f>VLOOKUP($A67,'Data shares'!$C:$FA,119)</f>
        <v>0.83</v>
      </c>
      <c r="D67" s="143">
        <f>VLOOKUP($A67,'Data shares'!$C:$FA,121)*100</f>
        <v>-3.61</v>
      </c>
      <c r="E67" s="143">
        <f>VLOOKUP($A67,'Data shares'!$C:$FA,124)</f>
        <v>0.33</v>
      </c>
      <c r="F67" s="143">
        <f>VLOOKUP($A67,'Data shares'!$C:$FA,125)</f>
        <v>0.45</v>
      </c>
      <c r="G67" s="143">
        <f>VLOOKUP($A67,'Data shares'!$C:$FA,127)*100</f>
        <v>-26.669999999999998</v>
      </c>
      <c r="H67" s="103">
        <f>VLOOKUP($A67,'OI(Volume)'!$A$7:$O$440,8)</f>
        <v>11547000</v>
      </c>
      <c r="I67" s="103">
        <f>VLOOKUP($A67,'OI(Volume)'!$A$7:$O$440,9)</f>
        <v>545400</v>
      </c>
      <c r="J67" s="103">
        <f>VLOOKUP($A67,'OI(Volume)'!$A$7:$O$440,11)</f>
        <v>9252000</v>
      </c>
      <c r="K67" s="103">
        <f>VLOOKUP($A67,'OI(Volume)'!$A$7:$O$440,12)</f>
        <v>66600</v>
      </c>
      <c r="L67" s="103">
        <f>VLOOKUP($A67,'OI(Value)'!$A$7:$O$323,8,0)</f>
        <v>358</v>
      </c>
      <c r="M67" s="103">
        <f>VLOOKUP($A67,'OI(Value)'!$A$7:$O$323,9,0)</f>
        <v>17</v>
      </c>
      <c r="N67" s="103">
        <f>VLOOKUP($A67,'OI(Value)'!$A$7:$O$323,11,0)</f>
        <v>287</v>
      </c>
      <c r="O67" s="103">
        <f>VLOOKUP($A67,'OI(Value)'!$A$7:$O$323,12,0)</f>
        <v>2</v>
      </c>
      <c r="P67" s="179">
        <f>VLOOKUP(A67,'OI(Value)'!A67:O285,8,0)</f>
        <v>358</v>
      </c>
      <c r="Q67" s="179">
        <f>VLOOKUP(A67,'OI(Value)'!A67:O285,9,0)</f>
        <v>17</v>
      </c>
      <c r="R67" s="179">
        <f>VLOOKUP(A67,'OI(Value)'!A67:O285,11,0)</f>
        <v>287</v>
      </c>
      <c r="S67" s="179">
        <f>VLOOKUP(A67,'OI(Value)'!A67:O285,11,0)</f>
        <v>287</v>
      </c>
    </row>
    <row r="68" spans="1:19" x14ac:dyDescent="0.25">
      <c r="A68" s="105" t="str">
        <f>'Data Vlaue (Cr)'!C63</f>
        <v>FEDERALBNK</v>
      </c>
      <c r="B68" s="143">
        <f>VLOOKUP($A68,'Data shares'!$C:$FA,118)</f>
        <v>0.52</v>
      </c>
      <c r="C68" s="143">
        <f>VLOOKUP($A68,'Data shares'!$C:$FA,119)</f>
        <v>0.54</v>
      </c>
      <c r="D68" s="143">
        <f>VLOOKUP($A68,'Data shares'!$C:$FA,121)*100</f>
        <v>-3.6999999999999997</v>
      </c>
      <c r="E68" s="143">
        <f>VLOOKUP($A68,'Data shares'!$C:$FA,124)</f>
        <v>0.41</v>
      </c>
      <c r="F68" s="143">
        <f>VLOOKUP($A68,'Data shares'!$C:$FA,125)</f>
        <v>0.31</v>
      </c>
      <c r="G68" s="143">
        <f>VLOOKUP($A68,'Data shares'!$C:$FA,127)*100</f>
        <v>32.26</v>
      </c>
      <c r="H68" s="103">
        <f>VLOOKUP($A68,'OI(Volume)'!$A$7:$O$440,8)</f>
        <v>62375000</v>
      </c>
      <c r="I68" s="103">
        <f>VLOOKUP($A68,'OI(Volume)'!$A$7:$O$440,9)</f>
        <v>2990000</v>
      </c>
      <c r="J68" s="103">
        <f>VLOOKUP($A68,'OI(Volume)'!$A$7:$O$440,11)</f>
        <v>32740000</v>
      </c>
      <c r="K68" s="103">
        <f>VLOOKUP($A68,'OI(Volume)'!$A$7:$O$440,12)</f>
        <v>745000</v>
      </c>
      <c r="L68" s="103">
        <f>VLOOKUP($A68,'OI(Value)'!$A$7:$O$323,8,0)</f>
        <v>1691</v>
      </c>
      <c r="M68" s="103">
        <f>VLOOKUP($A68,'OI(Value)'!$A$7:$O$323,9,0)</f>
        <v>81</v>
      </c>
      <c r="N68" s="103">
        <f>VLOOKUP($A68,'OI(Value)'!$A$7:$O$323,11,0)</f>
        <v>888</v>
      </c>
      <c r="O68" s="103">
        <f>VLOOKUP($A68,'OI(Value)'!$A$7:$O$323,12,0)</f>
        <v>20</v>
      </c>
      <c r="P68" s="179">
        <f>VLOOKUP(A68,'OI(Value)'!A68:O286,8,0)</f>
        <v>1691</v>
      </c>
      <c r="Q68" s="179">
        <f>VLOOKUP(A68,'OI(Value)'!A68:O286,9,0)</f>
        <v>81</v>
      </c>
      <c r="R68" s="179">
        <f>VLOOKUP(A68,'OI(Value)'!A68:O286,11,0)</f>
        <v>888</v>
      </c>
      <c r="S68" s="179">
        <f>VLOOKUP(A68,'OI(Value)'!A68:O286,11,0)</f>
        <v>888</v>
      </c>
    </row>
    <row r="69" spans="1:19" x14ac:dyDescent="0.25">
      <c r="A69" s="105" t="str">
        <f>'Data Vlaue (Cr)'!C64</f>
        <v>FINNIFTY</v>
      </c>
      <c r="B69" s="143">
        <f>VLOOKUP($A69,'Data shares'!$C:$FA,118)</f>
        <v>0.92</v>
      </c>
      <c r="C69" s="143">
        <f>VLOOKUP($A69,'Data shares'!$C:$FA,119)</f>
        <v>0.92</v>
      </c>
      <c r="D69" s="143">
        <f>VLOOKUP($A69,'Data shares'!$C:$FA,121)*100</f>
        <v>0</v>
      </c>
      <c r="E69" s="143">
        <f>VLOOKUP($A69,'Data shares'!$C:$FA,124)</f>
        <v>1.32</v>
      </c>
      <c r="F69" s="143">
        <f>VLOOKUP($A69,'Data shares'!$C:$FA,125)</f>
        <v>0.95</v>
      </c>
      <c r="G69" s="143">
        <f>VLOOKUP($A69,'Data shares'!$C:$FA,127)*100</f>
        <v>38.950000000000003</v>
      </c>
      <c r="H69" s="103">
        <f>VLOOKUP($A69,'OI(Volume)'!$A$7:$O$440,8)</f>
        <v>858120</v>
      </c>
      <c r="I69" s="103">
        <f>VLOOKUP($A69,'OI(Volume)'!$A$7:$O$440,9)</f>
        <v>35100</v>
      </c>
      <c r="J69" s="103">
        <f>VLOOKUP($A69,'OI(Volume)'!$A$7:$O$440,11)</f>
        <v>792660</v>
      </c>
      <c r="K69" s="103">
        <f>VLOOKUP($A69,'OI(Volume)'!$A$7:$O$440,12)</f>
        <v>33720</v>
      </c>
      <c r="L69" s="103">
        <f>VLOOKUP($A69,'OI(Value)'!$A$7:$O$323,8,0)</f>
        <v>2210</v>
      </c>
      <c r="M69" s="103">
        <f>VLOOKUP($A69,'OI(Value)'!$A$7:$O$323,9,0)</f>
        <v>90</v>
      </c>
      <c r="N69" s="103">
        <f>VLOOKUP($A69,'OI(Value)'!$A$7:$O$323,11,0)</f>
        <v>2041</v>
      </c>
      <c r="O69" s="103">
        <f>VLOOKUP($A69,'OI(Value)'!$A$7:$O$323,12,0)</f>
        <v>87</v>
      </c>
      <c r="P69" s="179">
        <f>VLOOKUP(A69,'OI(Value)'!A69:O287,8,0)</f>
        <v>2210</v>
      </c>
      <c r="Q69" s="179">
        <f>VLOOKUP(A69,'OI(Value)'!A69:O287,9,0)</f>
        <v>90</v>
      </c>
      <c r="R69" s="179">
        <f>VLOOKUP(A69,'OI(Value)'!A69:O287,11,0)</f>
        <v>2041</v>
      </c>
      <c r="S69" s="179">
        <f>VLOOKUP(A69,'OI(Value)'!A69:O287,11,0)</f>
        <v>2041</v>
      </c>
    </row>
    <row r="70" spans="1:19" x14ac:dyDescent="0.25">
      <c r="A70" s="105" t="str">
        <f>'Data Vlaue (Cr)'!C65</f>
        <v>FORTIS</v>
      </c>
      <c r="B70" s="143">
        <f>VLOOKUP($A70,'Data shares'!$C:$FA,118)</f>
        <v>0.42</v>
      </c>
      <c r="C70" s="143">
        <f>VLOOKUP($A70,'Data shares'!$C:$FA,119)</f>
        <v>0.43</v>
      </c>
      <c r="D70" s="143">
        <f>VLOOKUP($A70,'Data shares'!$C:$FA,121)*100</f>
        <v>-2.33</v>
      </c>
      <c r="E70" s="143">
        <f>VLOOKUP($A70,'Data shares'!$C:$FA,124)</f>
        <v>0.28999999999999998</v>
      </c>
      <c r="F70" s="143">
        <f>VLOOKUP($A70,'Data shares'!$C:$FA,125)</f>
        <v>0.38</v>
      </c>
      <c r="G70" s="143">
        <f>VLOOKUP($A70,'Data shares'!$C:$FA,127)*100</f>
        <v>-23.68</v>
      </c>
      <c r="H70" s="103">
        <f>VLOOKUP($A70,'OI(Volume)'!$A$7:$O$440,8)</f>
        <v>4232275</v>
      </c>
      <c r="I70" s="103">
        <f>VLOOKUP($A70,'OI(Volume)'!$A$7:$O$440,9)</f>
        <v>202275</v>
      </c>
      <c r="J70" s="103">
        <f>VLOOKUP($A70,'OI(Volume)'!$A$7:$O$440,11)</f>
        <v>1780175</v>
      </c>
      <c r="K70" s="103">
        <f>VLOOKUP($A70,'OI(Volume)'!$A$7:$O$440,12)</f>
        <v>65100</v>
      </c>
      <c r="L70" s="103">
        <f>VLOOKUP($A70,'OI(Value)'!$A$7:$O$323,8,0)</f>
        <v>365</v>
      </c>
      <c r="M70" s="103">
        <f>VLOOKUP($A70,'OI(Value)'!$A$7:$O$323,9,0)</f>
        <v>17</v>
      </c>
      <c r="N70" s="103">
        <f>VLOOKUP($A70,'OI(Value)'!$A$7:$O$323,11,0)</f>
        <v>154</v>
      </c>
      <c r="O70" s="103">
        <f>VLOOKUP($A70,'OI(Value)'!$A$7:$O$323,12,0)</f>
        <v>6</v>
      </c>
      <c r="P70" s="179">
        <f>VLOOKUP(A70,'OI(Value)'!A70:O288,8,0)</f>
        <v>365</v>
      </c>
      <c r="Q70" s="179">
        <f>VLOOKUP(A70,'OI(Value)'!A70:O288,9,0)</f>
        <v>17</v>
      </c>
      <c r="R70" s="179">
        <f>VLOOKUP(A70,'OI(Value)'!A70:O288,11,0)</f>
        <v>154</v>
      </c>
      <c r="S70" s="179">
        <f>VLOOKUP(A70,'OI(Value)'!A70:O288,11,0)</f>
        <v>154</v>
      </c>
    </row>
    <row r="71" spans="1:19" x14ac:dyDescent="0.25">
      <c r="A71" s="105" t="str">
        <f>'Data Vlaue (Cr)'!C66</f>
        <v>GAIL</v>
      </c>
      <c r="B71" s="143">
        <f>VLOOKUP($A71,'Data shares'!$C:$FA,118)</f>
        <v>1.01</v>
      </c>
      <c r="C71" s="143">
        <f>VLOOKUP($A71,'Data shares'!$C:$FA,119)</f>
        <v>1.02</v>
      </c>
      <c r="D71" s="143">
        <f>VLOOKUP($A71,'Data shares'!$C:$FA,121)*100</f>
        <v>-0.98</v>
      </c>
      <c r="E71" s="143">
        <f>VLOOKUP($A71,'Data shares'!$C:$FA,124)</f>
        <v>0.4</v>
      </c>
      <c r="F71" s="143">
        <f>VLOOKUP($A71,'Data shares'!$C:$FA,125)</f>
        <v>0.56000000000000005</v>
      </c>
      <c r="G71" s="143">
        <f>VLOOKUP($A71,'Data shares'!$C:$FA,127)*100</f>
        <v>-28.57</v>
      </c>
      <c r="H71" s="103">
        <f>VLOOKUP($A71,'OI(Volume)'!$A$7:$O$440,8)</f>
        <v>38596950</v>
      </c>
      <c r="I71" s="103">
        <f>VLOOKUP($A71,'OI(Volume)'!$A$7:$O$440,9)</f>
        <v>1008000</v>
      </c>
      <c r="J71" s="103">
        <f>VLOOKUP($A71,'OI(Volume)'!$A$7:$O$440,11)</f>
        <v>38946600</v>
      </c>
      <c r="K71" s="103">
        <f>VLOOKUP($A71,'OI(Volume)'!$A$7:$O$440,12)</f>
        <v>595350</v>
      </c>
      <c r="L71" s="103">
        <f>VLOOKUP($A71,'OI(Value)'!$A$7:$O$323,8,0)</f>
        <v>590</v>
      </c>
      <c r="M71" s="103">
        <f>VLOOKUP($A71,'OI(Value)'!$A$7:$O$323,9,0)</f>
        <v>15</v>
      </c>
      <c r="N71" s="103">
        <f>VLOOKUP($A71,'OI(Value)'!$A$7:$O$323,11,0)</f>
        <v>596</v>
      </c>
      <c r="O71" s="103">
        <f>VLOOKUP($A71,'OI(Value)'!$A$7:$O$323,12,0)</f>
        <v>9</v>
      </c>
      <c r="P71" s="179">
        <f>VLOOKUP(A71,'OI(Value)'!A71:O289,8,0)</f>
        <v>590</v>
      </c>
      <c r="Q71" s="179">
        <f>VLOOKUP(A71,'OI(Value)'!A71:O289,9,0)</f>
        <v>15</v>
      </c>
      <c r="R71" s="179">
        <f>VLOOKUP(A71,'OI(Value)'!A71:O289,11,0)</f>
        <v>596</v>
      </c>
      <c r="S71" s="179">
        <f>VLOOKUP(A71,'OI(Value)'!A71:O289,11,0)</f>
        <v>596</v>
      </c>
    </row>
    <row r="72" spans="1:19" x14ac:dyDescent="0.25">
      <c r="A72" s="105" t="str">
        <f>'Data Vlaue (Cr)'!C67</f>
        <v>GLENMARK</v>
      </c>
      <c r="B72" s="143">
        <f>VLOOKUP($A72,'Data shares'!$C:$FA,118)</f>
        <v>0.56000000000000005</v>
      </c>
      <c r="C72" s="143">
        <f>VLOOKUP($A72,'Data shares'!$C:$FA,119)</f>
        <v>0.54</v>
      </c>
      <c r="D72" s="143">
        <f>VLOOKUP($A72,'Data shares'!$C:$FA,121)*100</f>
        <v>3.6999999999999997</v>
      </c>
      <c r="E72" s="143">
        <f>VLOOKUP($A72,'Data shares'!$C:$FA,124)</f>
        <v>0.72</v>
      </c>
      <c r="F72" s="143">
        <f>VLOOKUP($A72,'Data shares'!$C:$FA,125)</f>
        <v>0.28999999999999998</v>
      </c>
      <c r="G72" s="143">
        <f>VLOOKUP($A72,'Data shares'!$C:$FA,127)*100</f>
        <v>148.28</v>
      </c>
      <c r="H72" s="103">
        <f>VLOOKUP($A72,'OI(Volume)'!$A$7:$O$440,8)</f>
        <v>2099250</v>
      </c>
      <c r="I72" s="103">
        <f>VLOOKUP($A72,'OI(Volume)'!$A$7:$O$440,9)</f>
        <v>-138375</v>
      </c>
      <c r="J72" s="103">
        <f>VLOOKUP($A72,'OI(Volume)'!$A$7:$O$440,11)</f>
        <v>1177500</v>
      </c>
      <c r="K72" s="103">
        <f>VLOOKUP($A72,'OI(Volume)'!$A$7:$O$440,12)</f>
        <v>-21375</v>
      </c>
      <c r="L72" s="103">
        <f>VLOOKUP($A72,'OI(Value)'!$A$7:$O$323,8,0)</f>
        <v>475</v>
      </c>
      <c r="M72" s="103">
        <f>VLOOKUP($A72,'OI(Value)'!$A$7:$O$323,9,0)</f>
        <v>-31</v>
      </c>
      <c r="N72" s="103">
        <f>VLOOKUP($A72,'OI(Value)'!$A$7:$O$323,11,0)</f>
        <v>267</v>
      </c>
      <c r="O72" s="103">
        <f>VLOOKUP($A72,'OI(Value)'!$A$7:$O$323,12,0)</f>
        <v>-5</v>
      </c>
      <c r="P72" s="179">
        <f>VLOOKUP(A72,'OI(Value)'!A72:O290,8,0)</f>
        <v>475</v>
      </c>
      <c r="Q72" s="179">
        <f>VLOOKUP(A72,'OI(Value)'!A72:O290,9,0)</f>
        <v>-31</v>
      </c>
      <c r="R72" s="179">
        <f>VLOOKUP(A72,'OI(Value)'!A72:O290,11,0)</f>
        <v>267</v>
      </c>
      <c r="S72" s="179">
        <f>VLOOKUP(A72,'OI(Value)'!A72:O290,11,0)</f>
        <v>267</v>
      </c>
    </row>
    <row r="73" spans="1:19" x14ac:dyDescent="0.25">
      <c r="A73" s="105" t="str">
        <f>'Data Vlaue (Cr)'!C68</f>
        <v>GMRAIRPORT</v>
      </c>
      <c r="B73" s="143">
        <f>VLOOKUP($A73,'Data shares'!$C:$FA,118)</f>
        <v>0.63</v>
      </c>
      <c r="C73" s="143">
        <f>VLOOKUP($A73,'Data shares'!$C:$FA,119)</f>
        <v>0.64</v>
      </c>
      <c r="D73" s="143">
        <f>VLOOKUP($A73,'Data shares'!$C:$FA,121)*100</f>
        <v>-1.5599999999999998</v>
      </c>
      <c r="E73" s="143">
        <f>VLOOKUP($A73,'Data shares'!$C:$FA,124)</f>
        <v>1.0900000000000001</v>
      </c>
      <c r="F73" s="143">
        <f>VLOOKUP($A73,'Data shares'!$C:$FA,125)</f>
        <v>0.63</v>
      </c>
      <c r="G73" s="143">
        <f>VLOOKUP($A73,'Data shares'!$C:$FA,127)*100</f>
        <v>73.02</v>
      </c>
      <c r="H73" s="103">
        <f>VLOOKUP($A73,'OI(Volume)'!$A$7:$O$440,8)</f>
        <v>58094775</v>
      </c>
      <c r="I73" s="103">
        <f>VLOOKUP($A73,'OI(Volume)'!$A$7:$O$440,9)</f>
        <v>1109025</v>
      </c>
      <c r="J73" s="103">
        <f>VLOOKUP($A73,'OI(Volume)'!$A$7:$O$440,11)</f>
        <v>36465300</v>
      </c>
      <c r="K73" s="103">
        <f>VLOOKUP($A73,'OI(Volume)'!$A$7:$O$440,12)</f>
        <v>174375</v>
      </c>
      <c r="L73" s="103">
        <f>VLOOKUP($A73,'OI(Value)'!$A$7:$O$323,8,0)</f>
        <v>544</v>
      </c>
      <c r="M73" s="103">
        <f>VLOOKUP($A73,'OI(Value)'!$A$7:$O$323,9,0)</f>
        <v>10</v>
      </c>
      <c r="N73" s="103">
        <f>VLOOKUP($A73,'OI(Value)'!$A$7:$O$323,11,0)</f>
        <v>342</v>
      </c>
      <c r="O73" s="103">
        <f>VLOOKUP($A73,'OI(Value)'!$A$7:$O$323,12,0)</f>
        <v>2</v>
      </c>
      <c r="P73" s="179">
        <f>VLOOKUP(A73,'OI(Value)'!A73:O291,8,0)</f>
        <v>544</v>
      </c>
      <c r="Q73" s="179">
        <f>VLOOKUP(A73,'OI(Value)'!A73:O291,9,0)</f>
        <v>10</v>
      </c>
      <c r="R73" s="179">
        <f>VLOOKUP(A73,'OI(Value)'!A73:O291,11,0)</f>
        <v>342</v>
      </c>
      <c r="S73" s="179">
        <f>VLOOKUP(A73,'OI(Value)'!A73:O291,11,0)</f>
        <v>342</v>
      </c>
    </row>
    <row r="74" spans="1:19" x14ac:dyDescent="0.25">
      <c r="A74" s="105" t="str">
        <f>'Data Vlaue (Cr)'!C69</f>
        <v>GODREJCP</v>
      </c>
      <c r="B74" s="143">
        <f>VLOOKUP($A74,'Data shares'!$C:$FA,118)</f>
        <v>0.87</v>
      </c>
      <c r="C74" s="143">
        <f>VLOOKUP($A74,'Data shares'!$C:$FA,119)</f>
        <v>0.88</v>
      </c>
      <c r="D74" s="143">
        <f>VLOOKUP($A74,'Data shares'!$C:$FA,121)*100</f>
        <v>-1.1400000000000001</v>
      </c>
      <c r="E74" s="143">
        <f>VLOOKUP($A74,'Data shares'!$C:$FA,124)</f>
        <v>0.8</v>
      </c>
      <c r="F74" s="143">
        <f>VLOOKUP($A74,'Data shares'!$C:$FA,125)</f>
        <v>0.94</v>
      </c>
      <c r="G74" s="143">
        <f>VLOOKUP($A74,'Data shares'!$C:$FA,127)*100</f>
        <v>-14.89</v>
      </c>
      <c r="H74" s="103">
        <f>VLOOKUP($A74,'OI(Volume)'!$A$7:$O$440,8)</f>
        <v>1887500</v>
      </c>
      <c r="I74" s="103">
        <f>VLOOKUP($A74,'OI(Volume)'!$A$7:$O$440,9)</f>
        <v>333000</v>
      </c>
      <c r="J74" s="103">
        <f>VLOOKUP($A74,'OI(Volume)'!$A$7:$O$440,11)</f>
        <v>1640500</v>
      </c>
      <c r="K74" s="103">
        <f>VLOOKUP($A74,'OI(Volume)'!$A$7:$O$440,12)</f>
        <v>268500</v>
      </c>
      <c r="L74" s="103">
        <f>VLOOKUP($A74,'OI(Value)'!$A$7:$O$323,8,0)</f>
        <v>199</v>
      </c>
      <c r="M74" s="103">
        <f>VLOOKUP($A74,'OI(Value)'!$A$7:$O$323,9,0)</f>
        <v>35</v>
      </c>
      <c r="N74" s="103">
        <f>VLOOKUP($A74,'OI(Value)'!$A$7:$O$323,11,0)</f>
        <v>173</v>
      </c>
      <c r="O74" s="103">
        <f>VLOOKUP($A74,'OI(Value)'!$A$7:$O$323,12,0)</f>
        <v>28</v>
      </c>
      <c r="P74" s="179">
        <f>VLOOKUP(A74,'OI(Value)'!A74:O292,8,0)</f>
        <v>199</v>
      </c>
      <c r="Q74" s="179">
        <f>VLOOKUP(A74,'OI(Value)'!A74:O292,9,0)</f>
        <v>35</v>
      </c>
      <c r="R74" s="179">
        <f>VLOOKUP(A74,'OI(Value)'!A74:O292,11,0)</f>
        <v>173</v>
      </c>
      <c r="S74" s="179">
        <f>VLOOKUP(A74,'OI(Value)'!A74:O292,11,0)</f>
        <v>173</v>
      </c>
    </row>
    <row r="75" spans="1:19" x14ac:dyDescent="0.25">
      <c r="A75" s="105" t="str">
        <f>'Data Vlaue (Cr)'!C70</f>
        <v>GODREJPROP</v>
      </c>
      <c r="B75" s="143">
        <f>VLOOKUP($A75,'Data shares'!$C:$FA,118)</f>
        <v>0.72</v>
      </c>
      <c r="C75" s="143">
        <f>VLOOKUP($A75,'Data shares'!$C:$FA,119)</f>
        <v>0.73</v>
      </c>
      <c r="D75" s="143">
        <f>VLOOKUP($A75,'Data shares'!$C:$FA,121)*100</f>
        <v>-1.37</v>
      </c>
      <c r="E75" s="143">
        <f>VLOOKUP($A75,'Data shares'!$C:$FA,124)</f>
        <v>0.85</v>
      </c>
      <c r="F75" s="143">
        <f>VLOOKUP($A75,'Data shares'!$C:$FA,125)</f>
        <v>0.75</v>
      </c>
      <c r="G75" s="143">
        <f>VLOOKUP($A75,'Data shares'!$C:$FA,127)*100</f>
        <v>13.33</v>
      </c>
      <c r="H75" s="103">
        <f>VLOOKUP($A75,'OI(Volume)'!$A$7:$O$440,8)</f>
        <v>2815725</v>
      </c>
      <c r="I75" s="103">
        <f>VLOOKUP($A75,'OI(Volume)'!$A$7:$O$440,9)</f>
        <v>1375</v>
      </c>
      <c r="J75" s="103">
        <f>VLOOKUP($A75,'OI(Volume)'!$A$7:$O$440,11)</f>
        <v>2037750</v>
      </c>
      <c r="K75" s="103">
        <f>VLOOKUP($A75,'OI(Volume)'!$A$7:$O$440,12)</f>
        <v>-4400</v>
      </c>
      <c r="L75" s="103">
        <f>VLOOKUP($A75,'OI(Value)'!$A$7:$O$323,8,0)</f>
        <v>457</v>
      </c>
      <c r="M75" s="103">
        <f>VLOOKUP($A75,'OI(Value)'!$A$7:$O$323,9,0)</f>
        <v>0</v>
      </c>
      <c r="N75" s="103">
        <f>VLOOKUP($A75,'OI(Value)'!$A$7:$O$323,11,0)</f>
        <v>331</v>
      </c>
      <c r="O75" s="103">
        <f>VLOOKUP($A75,'OI(Value)'!$A$7:$O$323,12,0)</f>
        <v>-1</v>
      </c>
      <c r="P75" s="179">
        <f>VLOOKUP(A75,'OI(Value)'!A75:O293,8,0)</f>
        <v>457</v>
      </c>
      <c r="Q75" s="179">
        <f>VLOOKUP(A75,'OI(Value)'!A75:O293,9,0)</f>
        <v>0</v>
      </c>
      <c r="R75" s="179">
        <f>VLOOKUP(A75,'OI(Value)'!A75:O293,11,0)</f>
        <v>331</v>
      </c>
      <c r="S75" s="179">
        <f>VLOOKUP(A75,'OI(Value)'!A75:O293,11,0)</f>
        <v>331</v>
      </c>
    </row>
    <row r="76" spans="1:19" x14ac:dyDescent="0.25">
      <c r="A76" s="105" t="str">
        <f>'Data Vlaue (Cr)'!C71</f>
        <v>GRASIM</v>
      </c>
      <c r="B76" s="143">
        <f>VLOOKUP($A76,'Data shares'!$C:$FA,118)</f>
        <v>0.56999999999999995</v>
      </c>
      <c r="C76" s="143">
        <f>VLOOKUP($A76,'Data shares'!$C:$FA,119)</f>
        <v>0.6</v>
      </c>
      <c r="D76" s="143">
        <f>VLOOKUP($A76,'Data shares'!$C:$FA,121)*100</f>
        <v>-5</v>
      </c>
      <c r="E76" s="143">
        <f>VLOOKUP($A76,'Data shares'!$C:$FA,124)</f>
        <v>0.71</v>
      </c>
      <c r="F76" s="143">
        <f>VLOOKUP($A76,'Data shares'!$C:$FA,125)</f>
        <v>0.69</v>
      </c>
      <c r="G76" s="143">
        <f>VLOOKUP($A76,'Data shares'!$C:$FA,127)*100</f>
        <v>2.9000000000000004</v>
      </c>
      <c r="H76" s="103">
        <f>VLOOKUP($A76,'OI(Volume)'!$A$7:$O$440,8)</f>
        <v>1975500</v>
      </c>
      <c r="I76" s="103">
        <f>VLOOKUP($A76,'OI(Volume)'!$A$7:$O$440,9)</f>
        <v>87500</v>
      </c>
      <c r="J76" s="103">
        <f>VLOOKUP($A76,'OI(Volume)'!$A$7:$O$440,11)</f>
        <v>1130000</v>
      </c>
      <c r="K76" s="103">
        <f>VLOOKUP($A76,'OI(Volume)'!$A$7:$O$440,12)</f>
        <v>2250</v>
      </c>
      <c r="L76" s="103">
        <f>VLOOKUP($A76,'OI(Value)'!$A$7:$O$323,8,0)</f>
        <v>529</v>
      </c>
      <c r="M76" s="103">
        <f>VLOOKUP($A76,'OI(Value)'!$A$7:$O$323,9,0)</f>
        <v>23</v>
      </c>
      <c r="N76" s="103">
        <f>VLOOKUP($A76,'OI(Value)'!$A$7:$O$323,11,0)</f>
        <v>302</v>
      </c>
      <c r="O76" s="103">
        <f>VLOOKUP($A76,'OI(Value)'!$A$7:$O$323,12,0)</f>
        <v>1</v>
      </c>
      <c r="P76" s="179">
        <f>VLOOKUP(A76,'OI(Value)'!A76:O294,8,0)</f>
        <v>529</v>
      </c>
      <c r="Q76" s="179">
        <f>VLOOKUP(A76,'OI(Value)'!A76:O294,9,0)</f>
        <v>23</v>
      </c>
      <c r="R76" s="179">
        <f>VLOOKUP(A76,'OI(Value)'!A76:O294,11,0)</f>
        <v>302</v>
      </c>
      <c r="S76" s="179">
        <f>VLOOKUP(A76,'OI(Value)'!A76:O294,11,0)</f>
        <v>302</v>
      </c>
    </row>
    <row r="77" spans="1:19" x14ac:dyDescent="0.25">
      <c r="A77" s="105" t="str">
        <f>'Data Vlaue (Cr)'!C72</f>
        <v>HAL</v>
      </c>
      <c r="B77" s="143">
        <f>VLOOKUP($A77,'Data shares'!$C:$FA,118)</f>
        <v>0.65</v>
      </c>
      <c r="C77" s="143">
        <f>VLOOKUP($A77,'Data shares'!$C:$FA,119)</f>
        <v>0.66</v>
      </c>
      <c r="D77" s="143">
        <f>VLOOKUP($A77,'Data shares'!$C:$FA,121)*100</f>
        <v>-1.52</v>
      </c>
      <c r="E77" s="143">
        <f>VLOOKUP($A77,'Data shares'!$C:$FA,124)</f>
        <v>0.32</v>
      </c>
      <c r="F77" s="143">
        <f>VLOOKUP($A77,'Data shares'!$C:$FA,125)</f>
        <v>0.41</v>
      </c>
      <c r="G77" s="143">
        <f>VLOOKUP($A77,'Data shares'!$C:$FA,127)*100</f>
        <v>-21.95</v>
      </c>
      <c r="H77" s="103">
        <f>VLOOKUP($A77,'OI(Volume)'!$A$7:$O$440,8)</f>
        <v>5596950</v>
      </c>
      <c r="I77" s="103">
        <f>VLOOKUP($A77,'OI(Volume)'!$A$7:$O$440,9)</f>
        <v>-36300</v>
      </c>
      <c r="J77" s="103">
        <f>VLOOKUP($A77,'OI(Volume)'!$A$7:$O$440,11)</f>
        <v>3665850</v>
      </c>
      <c r="K77" s="103">
        <f>VLOOKUP($A77,'OI(Volume)'!$A$7:$O$440,12)</f>
        <v>-66000</v>
      </c>
      <c r="L77" s="103">
        <f>VLOOKUP($A77,'OI(Value)'!$A$7:$O$323,8,0)</f>
        <v>2249</v>
      </c>
      <c r="M77" s="103">
        <f>VLOOKUP($A77,'OI(Value)'!$A$7:$O$323,9,0)</f>
        <v>-15</v>
      </c>
      <c r="N77" s="103">
        <f>VLOOKUP($A77,'OI(Value)'!$A$7:$O$323,11,0)</f>
        <v>1473</v>
      </c>
      <c r="O77" s="103">
        <f>VLOOKUP($A77,'OI(Value)'!$A$7:$O$323,12,0)</f>
        <v>-27</v>
      </c>
      <c r="P77" s="179">
        <f>VLOOKUP(A77,'OI(Value)'!A77:O295,8,0)</f>
        <v>2249</v>
      </c>
      <c r="Q77" s="179">
        <f>VLOOKUP(A77,'OI(Value)'!A77:O295,9,0)</f>
        <v>-15</v>
      </c>
      <c r="R77" s="179">
        <f>VLOOKUP(A77,'OI(Value)'!A77:O295,11,0)</f>
        <v>1473</v>
      </c>
      <c r="S77" s="179">
        <f>VLOOKUP(A77,'OI(Value)'!A77:O295,11,0)</f>
        <v>1473</v>
      </c>
    </row>
    <row r="78" spans="1:19" x14ac:dyDescent="0.25">
      <c r="A78" s="105" t="str">
        <f>'Data Vlaue (Cr)'!C73</f>
        <v>HAVELLS</v>
      </c>
      <c r="B78" s="143">
        <f>VLOOKUP($A78,'Data shares'!$C:$FA,118)</f>
        <v>0.75</v>
      </c>
      <c r="C78" s="143">
        <f>VLOOKUP($A78,'Data shares'!$C:$FA,119)</f>
        <v>0.84</v>
      </c>
      <c r="D78" s="143">
        <f>VLOOKUP($A78,'Data shares'!$C:$FA,121)*100</f>
        <v>-10.71</v>
      </c>
      <c r="E78" s="143">
        <f>VLOOKUP($A78,'Data shares'!$C:$FA,124)</f>
        <v>0.68</v>
      </c>
      <c r="F78" s="143">
        <f>VLOOKUP($A78,'Data shares'!$C:$FA,125)</f>
        <v>0.32</v>
      </c>
      <c r="G78" s="143">
        <f>VLOOKUP($A78,'Data shares'!$C:$FA,127)*100</f>
        <v>112.5</v>
      </c>
      <c r="H78" s="103">
        <f>VLOOKUP($A78,'OI(Volume)'!$A$7:$O$440,8)</f>
        <v>2593000</v>
      </c>
      <c r="I78" s="103">
        <f>VLOOKUP($A78,'OI(Volume)'!$A$7:$O$440,9)</f>
        <v>91000</v>
      </c>
      <c r="J78" s="103">
        <f>VLOOKUP($A78,'OI(Volume)'!$A$7:$O$440,11)</f>
        <v>1943000</v>
      </c>
      <c r="K78" s="103">
        <f>VLOOKUP($A78,'OI(Volume)'!$A$7:$O$440,12)</f>
        <v>-147500</v>
      </c>
      <c r="L78" s="103">
        <f>VLOOKUP($A78,'OI(Value)'!$A$7:$O$323,8,0)</f>
        <v>352</v>
      </c>
      <c r="M78" s="103">
        <f>VLOOKUP($A78,'OI(Value)'!$A$7:$O$323,9,0)</f>
        <v>12</v>
      </c>
      <c r="N78" s="103">
        <f>VLOOKUP($A78,'OI(Value)'!$A$7:$O$323,11,0)</f>
        <v>263</v>
      </c>
      <c r="O78" s="103">
        <f>VLOOKUP($A78,'OI(Value)'!$A$7:$O$323,12,0)</f>
        <v>-20</v>
      </c>
      <c r="P78" s="179">
        <f>VLOOKUP(A78,'OI(Value)'!A78:O296,8,0)</f>
        <v>352</v>
      </c>
      <c r="Q78" s="179">
        <f>VLOOKUP(A78,'OI(Value)'!A78:O296,9,0)</f>
        <v>12</v>
      </c>
      <c r="R78" s="179">
        <f>VLOOKUP(A78,'OI(Value)'!A78:O296,11,0)</f>
        <v>263</v>
      </c>
      <c r="S78" s="179">
        <f>VLOOKUP(A78,'OI(Value)'!A78:O296,11,0)</f>
        <v>263</v>
      </c>
    </row>
    <row r="79" spans="1:19" x14ac:dyDescent="0.25">
      <c r="A79" s="105" t="str">
        <f>'Data Vlaue (Cr)'!C74</f>
        <v>HCLTECH</v>
      </c>
      <c r="B79" s="143">
        <f>VLOOKUP($A79,'Data shares'!$C:$FA,118)</f>
        <v>0.5</v>
      </c>
      <c r="C79" s="143">
        <f>VLOOKUP($A79,'Data shares'!$C:$FA,119)</f>
        <v>0.55000000000000004</v>
      </c>
      <c r="D79" s="143">
        <f>VLOOKUP($A79,'Data shares'!$C:$FA,121)*100</f>
        <v>-9.09</v>
      </c>
      <c r="E79" s="143">
        <f>VLOOKUP($A79,'Data shares'!$C:$FA,124)</f>
        <v>0.48</v>
      </c>
      <c r="F79" s="143">
        <f>VLOOKUP($A79,'Data shares'!$C:$FA,125)</f>
        <v>0.87</v>
      </c>
      <c r="G79" s="143">
        <f>VLOOKUP($A79,'Data shares'!$C:$FA,127)*100</f>
        <v>-44.83</v>
      </c>
      <c r="H79" s="103">
        <f>VLOOKUP($A79,'OI(Volume)'!$A$7:$O$440,8)</f>
        <v>6809250</v>
      </c>
      <c r="I79" s="103">
        <f>VLOOKUP($A79,'OI(Volume)'!$A$7:$O$440,9)</f>
        <v>656950</v>
      </c>
      <c r="J79" s="103">
        <f>VLOOKUP($A79,'OI(Volume)'!$A$7:$O$440,11)</f>
        <v>3376800</v>
      </c>
      <c r="K79" s="103">
        <f>VLOOKUP($A79,'OI(Volume)'!$A$7:$O$440,12)</f>
        <v>-19600</v>
      </c>
      <c r="L79" s="103">
        <f>VLOOKUP($A79,'OI(Value)'!$A$7:$O$323,8,0)</f>
        <v>921</v>
      </c>
      <c r="M79" s="103">
        <f>VLOOKUP($A79,'OI(Value)'!$A$7:$O$323,9,0)</f>
        <v>89</v>
      </c>
      <c r="N79" s="103">
        <f>VLOOKUP($A79,'OI(Value)'!$A$7:$O$323,11,0)</f>
        <v>457</v>
      </c>
      <c r="O79" s="103">
        <f>VLOOKUP($A79,'OI(Value)'!$A$7:$O$323,12,0)</f>
        <v>-3</v>
      </c>
      <c r="P79" s="179">
        <f>VLOOKUP(A79,'OI(Value)'!A79:O297,8,0)</f>
        <v>921</v>
      </c>
      <c r="Q79" s="179">
        <f>VLOOKUP(A79,'OI(Value)'!A79:O297,9,0)</f>
        <v>89</v>
      </c>
      <c r="R79" s="179">
        <f>VLOOKUP(A79,'OI(Value)'!A79:O297,11,0)</f>
        <v>457</v>
      </c>
      <c r="S79" s="179">
        <f>VLOOKUP(A79,'OI(Value)'!A79:O297,11,0)</f>
        <v>457</v>
      </c>
    </row>
    <row r="80" spans="1:19" x14ac:dyDescent="0.25">
      <c r="A80" s="105" t="str">
        <f>'Data Vlaue (Cr)'!C75</f>
        <v>HDFCAMC</v>
      </c>
      <c r="B80" s="143">
        <f>VLOOKUP($A80,'Data shares'!$C:$FA,118)</f>
        <v>0.64</v>
      </c>
      <c r="C80" s="143">
        <f>VLOOKUP($A80,'Data shares'!$C:$FA,119)</f>
        <v>0.68</v>
      </c>
      <c r="D80" s="143">
        <f>VLOOKUP($A80,'Data shares'!$C:$FA,121)*100</f>
        <v>-5.88</v>
      </c>
      <c r="E80" s="143">
        <f>VLOOKUP($A80,'Data shares'!$C:$FA,124)</f>
        <v>0.54</v>
      </c>
      <c r="F80" s="143">
        <f>VLOOKUP($A80,'Data shares'!$C:$FA,125)</f>
        <v>0.48</v>
      </c>
      <c r="G80" s="143">
        <f>VLOOKUP($A80,'Data shares'!$C:$FA,127)*100</f>
        <v>12.5</v>
      </c>
      <c r="H80" s="103">
        <f>VLOOKUP($A80,'OI(Volume)'!$A$7:$O$440,8)</f>
        <v>1617300</v>
      </c>
      <c r="I80" s="103">
        <f>VLOOKUP($A80,'OI(Volume)'!$A$7:$O$440,9)</f>
        <v>123600</v>
      </c>
      <c r="J80" s="103">
        <f>VLOOKUP($A80,'OI(Volume)'!$A$7:$O$440,11)</f>
        <v>1037400</v>
      </c>
      <c r="K80" s="103">
        <f>VLOOKUP($A80,'OI(Volume)'!$A$7:$O$440,12)</f>
        <v>15600</v>
      </c>
      <c r="L80" s="103">
        <f>VLOOKUP($A80,'OI(Value)'!$A$7:$O$323,8,0)</f>
        <v>394</v>
      </c>
      <c r="M80" s="103">
        <f>VLOOKUP($A80,'OI(Value)'!$A$7:$O$323,9,0)</f>
        <v>30</v>
      </c>
      <c r="N80" s="103">
        <f>VLOOKUP($A80,'OI(Value)'!$A$7:$O$323,11,0)</f>
        <v>253</v>
      </c>
      <c r="O80" s="103">
        <f>VLOOKUP($A80,'OI(Value)'!$A$7:$O$323,12,0)</f>
        <v>4</v>
      </c>
      <c r="P80" s="179">
        <f>VLOOKUP(A80,'OI(Value)'!A80:O298,8,0)</f>
        <v>394</v>
      </c>
      <c r="Q80" s="179">
        <f>VLOOKUP(A80,'OI(Value)'!A80:O298,9,0)</f>
        <v>30</v>
      </c>
      <c r="R80" s="179">
        <f>VLOOKUP(A80,'OI(Value)'!A80:O298,11,0)</f>
        <v>253</v>
      </c>
      <c r="S80" s="179">
        <f>VLOOKUP(A80,'OI(Value)'!A80:O298,11,0)</f>
        <v>253</v>
      </c>
    </row>
    <row r="81" spans="1:19" x14ac:dyDescent="0.25">
      <c r="A81" s="105" t="str">
        <f>'Data Vlaue (Cr)'!C76</f>
        <v>HDFCBANK</v>
      </c>
      <c r="B81" s="143">
        <f>VLOOKUP($A81,'Data shares'!$C:$FA,118)</f>
        <v>0.52</v>
      </c>
      <c r="C81" s="143">
        <f>VLOOKUP($A81,'Data shares'!$C:$FA,119)</f>
        <v>0.51</v>
      </c>
      <c r="D81" s="143">
        <f>VLOOKUP($A81,'Data shares'!$C:$FA,121)*100</f>
        <v>1.96</v>
      </c>
      <c r="E81" s="143">
        <f>VLOOKUP($A81,'Data shares'!$C:$FA,124)</f>
        <v>0.56999999999999995</v>
      </c>
      <c r="F81" s="143">
        <f>VLOOKUP($A81,'Data shares'!$C:$FA,125)</f>
        <v>0.5</v>
      </c>
      <c r="G81" s="143">
        <f>VLOOKUP($A81,'Data shares'!$C:$FA,127)*100</f>
        <v>14.000000000000002</v>
      </c>
      <c r="H81" s="103">
        <f>VLOOKUP($A81,'OI(Volume)'!$A$7:$O$440,8)</f>
        <v>87743150</v>
      </c>
      <c r="I81" s="103">
        <f>VLOOKUP($A81,'OI(Volume)'!$A$7:$O$440,9)</f>
        <v>1328800</v>
      </c>
      <c r="J81" s="103">
        <f>VLOOKUP($A81,'OI(Volume)'!$A$7:$O$440,11)</f>
        <v>45431650</v>
      </c>
      <c r="K81" s="103">
        <f>VLOOKUP($A81,'OI(Volume)'!$A$7:$O$440,12)</f>
        <v>1383800</v>
      </c>
      <c r="L81" s="103">
        <f>VLOOKUP($A81,'OI(Value)'!$A$7:$O$323,8,0)</f>
        <v>7329</v>
      </c>
      <c r="M81" s="103">
        <f>VLOOKUP($A81,'OI(Value)'!$A$7:$O$323,9,0)</f>
        <v>111</v>
      </c>
      <c r="N81" s="103">
        <f>VLOOKUP($A81,'OI(Value)'!$A$7:$O$323,11,0)</f>
        <v>3795</v>
      </c>
      <c r="O81" s="103">
        <f>VLOOKUP($A81,'OI(Value)'!$A$7:$O$323,12,0)</f>
        <v>116</v>
      </c>
      <c r="P81" s="179">
        <f>VLOOKUP(A81,'OI(Value)'!A81:O299,8,0)</f>
        <v>7329</v>
      </c>
      <c r="Q81" s="179">
        <f>VLOOKUP(A81,'OI(Value)'!A81:O299,9,0)</f>
        <v>111</v>
      </c>
      <c r="R81" s="179">
        <f>VLOOKUP(A81,'OI(Value)'!A81:O299,11,0)</f>
        <v>3795</v>
      </c>
      <c r="S81" s="179">
        <f>VLOOKUP(A81,'OI(Value)'!A81:O299,11,0)</f>
        <v>3795</v>
      </c>
    </row>
    <row r="82" spans="1:19" x14ac:dyDescent="0.25">
      <c r="A82" s="105" t="str">
        <f>'Data Vlaue (Cr)'!C77</f>
        <v>HDFCLIFE</v>
      </c>
      <c r="B82" s="143">
        <f>VLOOKUP($A82,'Data shares'!$C:$FA,118)</f>
        <v>0.39</v>
      </c>
      <c r="C82" s="143">
        <f>VLOOKUP($A82,'Data shares'!$C:$FA,119)</f>
        <v>0.37</v>
      </c>
      <c r="D82" s="143">
        <f>VLOOKUP($A82,'Data shares'!$C:$FA,121)*100</f>
        <v>5.41</v>
      </c>
      <c r="E82" s="143">
        <f>VLOOKUP($A82,'Data shares'!$C:$FA,124)</f>
        <v>0.41</v>
      </c>
      <c r="F82" s="143">
        <f>VLOOKUP($A82,'Data shares'!$C:$FA,125)</f>
        <v>0.5</v>
      </c>
      <c r="G82" s="143">
        <f>VLOOKUP($A82,'Data shares'!$C:$FA,127)*100</f>
        <v>-18</v>
      </c>
      <c r="H82" s="103">
        <f>VLOOKUP($A82,'OI(Volume)'!$A$7:$O$440,8)</f>
        <v>14316500</v>
      </c>
      <c r="I82" s="103">
        <f>VLOOKUP($A82,'OI(Volume)'!$A$7:$O$440,9)</f>
        <v>-292600</v>
      </c>
      <c r="J82" s="103">
        <f>VLOOKUP($A82,'OI(Volume)'!$A$7:$O$440,11)</f>
        <v>5615500</v>
      </c>
      <c r="K82" s="103">
        <f>VLOOKUP($A82,'OI(Volume)'!$A$7:$O$440,12)</f>
        <v>234300</v>
      </c>
      <c r="L82" s="103">
        <f>VLOOKUP($A82,'OI(Value)'!$A$7:$O$323,8,0)</f>
        <v>926</v>
      </c>
      <c r="M82" s="103">
        <f>VLOOKUP($A82,'OI(Value)'!$A$7:$O$323,9,0)</f>
        <v>-19</v>
      </c>
      <c r="N82" s="103">
        <f>VLOOKUP($A82,'OI(Value)'!$A$7:$O$323,11,0)</f>
        <v>363</v>
      </c>
      <c r="O82" s="103">
        <f>VLOOKUP($A82,'OI(Value)'!$A$7:$O$323,12,0)</f>
        <v>15</v>
      </c>
      <c r="P82" s="179">
        <f>VLOOKUP(A82,'OI(Value)'!A82:O300,8,0)</f>
        <v>926</v>
      </c>
      <c r="Q82" s="179">
        <f>VLOOKUP(A82,'OI(Value)'!A82:O300,9,0)</f>
        <v>-19</v>
      </c>
      <c r="R82" s="179">
        <f>VLOOKUP(A82,'OI(Value)'!A82:O300,11,0)</f>
        <v>363</v>
      </c>
      <c r="S82" s="179">
        <f>VLOOKUP(A82,'OI(Value)'!A82:O300,11,0)</f>
        <v>363</v>
      </c>
    </row>
    <row r="83" spans="1:19" x14ac:dyDescent="0.25">
      <c r="A83" s="105" t="str">
        <f>'Data Vlaue (Cr)'!C78</f>
        <v>HEROMOTOCO</v>
      </c>
      <c r="B83" s="143">
        <f>VLOOKUP($A83,'Data shares'!$C:$FA,118)</f>
        <v>0.66</v>
      </c>
      <c r="C83" s="143">
        <f>VLOOKUP($A83,'Data shares'!$C:$FA,119)</f>
        <v>0.72</v>
      </c>
      <c r="D83" s="143">
        <f>VLOOKUP($A83,'Data shares'!$C:$FA,121)*100</f>
        <v>-8.33</v>
      </c>
      <c r="E83" s="143">
        <f>VLOOKUP($A83,'Data shares'!$C:$FA,124)</f>
        <v>0.65</v>
      </c>
      <c r="F83" s="143">
        <f>VLOOKUP($A83,'Data shares'!$C:$FA,125)</f>
        <v>0.56999999999999995</v>
      </c>
      <c r="G83" s="143">
        <f>VLOOKUP($A83,'Data shares'!$C:$FA,127)*100</f>
        <v>14.04</v>
      </c>
      <c r="H83" s="103">
        <f>VLOOKUP($A83,'OI(Volume)'!$A$7:$O$440,8)</f>
        <v>1940850</v>
      </c>
      <c r="I83" s="103">
        <f>VLOOKUP($A83,'OI(Volume)'!$A$7:$O$440,9)</f>
        <v>212850</v>
      </c>
      <c r="J83" s="103">
        <f>VLOOKUP($A83,'OI(Volume)'!$A$7:$O$440,11)</f>
        <v>1288350</v>
      </c>
      <c r="K83" s="103">
        <f>VLOOKUP($A83,'OI(Volume)'!$A$7:$O$440,12)</f>
        <v>51600</v>
      </c>
      <c r="L83" s="103">
        <f>VLOOKUP($A83,'OI(Value)'!$A$7:$O$323,8,0)</f>
        <v>1049</v>
      </c>
      <c r="M83" s="103">
        <f>VLOOKUP($A83,'OI(Value)'!$A$7:$O$323,9,0)</f>
        <v>115</v>
      </c>
      <c r="N83" s="103">
        <f>VLOOKUP($A83,'OI(Value)'!$A$7:$O$323,11,0)</f>
        <v>696</v>
      </c>
      <c r="O83" s="103">
        <f>VLOOKUP($A83,'OI(Value)'!$A$7:$O$323,12,0)</f>
        <v>28</v>
      </c>
      <c r="P83" s="179">
        <f>VLOOKUP(A83,'OI(Value)'!A83:O301,8,0)</f>
        <v>1049</v>
      </c>
      <c r="Q83" s="179">
        <f>VLOOKUP(A83,'OI(Value)'!A83:O301,9,0)</f>
        <v>115</v>
      </c>
      <c r="R83" s="179">
        <f>VLOOKUP(A83,'OI(Value)'!A83:O301,11,0)</f>
        <v>696</v>
      </c>
      <c r="S83" s="179">
        <f>VLOOKUP(A83,'OI(Value)'!A83:O301,11,0)</f>
        <v>696</v>
      </c>
    </row>
    <row r="84" spans="1:19" x14ac:dyDescent="0.25">
      <c r="A84" s="105" t="str">
        <f>'Data Vlaue (Cr)'!C79</f>
        <v>HINDALCO</v>
      </c>
      <c r="B84" s="143">
        <f>VLOOKUP($A84,'Data shares'!$C:$FA,118)</f>
        <v>0.9</v>
      </c>
      <c r="C84" s="143">
        <f>VLOOKUP($A84,'Data shares'!$C:$FA,119)</f>
        <v>0.87</v>
      </c>
      <c r="D84" s="143">
        <f>VLOOKUP($A84,'Data shares'!$C:$FA,121)*100</f>
        <v>3.45</v>
      </c>
      <c r="E84" s="143">
        <f>VLOOKUP($A84,'Data shares'!$C:$FA,124)</f>
        <v>0.64</v>
      </c>
      <c r="F84" s="143">
        <f>VLOOKUP($A84,'Data shares'!$C:$FA,125)</f>
        <v>0.67</v>
      </c>
      <c r="G84" s="143">
        <f>VLOOKUP($A84,'Data shares'!$C:$FA,127)*100</f>
        <v>-4.4799999999999995</v>
      </c>
      <c r="H84" s="103">
        <f>VLOOKUP($A84,'OI(Volume)'!$A$7:$O$440,8)</f>
        <v>10581200</v>
      </c>
      <c r="I84" s="103">
        <f>VLOOKUP($A84,'OI(Volume)'!$A$7:$O$440,9)</f>
        <v>-506100</v>
      </c>
      <c r="J84" s="103">
        <f>VLOOKUP($A84,'OI(Volume)'!$A$7:$O$440,11)</f>
        <v>9531200</v>
      </c>
      <c r="K84" s="103">
        <f>VLOOKUP($A84,'OI(Volume)'!$A$7:$O$440,12)</f>
        <v>-86800</v>
      </c>
      <c r="L84" s="103">
        <f>VLOOKUP($A84,'OI(Value)'!$A$7:$O$323,8,0)</f>
        <v>1027</v>
      </c>
      <c r="M84" s="103">
        <f>VLOOKUP($A84,'OI(Value)'!$A$7:$O$323,9,0)</f>
        <v>-49</v>
      </c>
      <c r="N84" s="103">
        <f>VLOOKUP($A84,'OI(Value)'!$A$7:$O$323,11,0)</f>
        <v>925</v>
      </c>
      <c r="O84" s="103">
        <f>VLOOKUP($A84,'OI(Value)'!$A$7:$O$323,12,0)</f>
        <v>-8</v>
      </c>
      <c r="P84" s="179">
        <f>VLOOKUP(A84,'OI(Value)'!A84:O302,8,0)</f>
        <v>1027</v>
      </c>
      <c r="Q84" s="179">
        <f>VLOOKUP(A84,'OI(Value)'!A84:O302,9,0)</f>
        <v>-49</v>
      </c>
      <c r="R84" s="179">
        <f>VLOOKUP(A84,'OI(Value)'!A84:O302,11,0)</f>
        <v>925</v>
      </c>
      <c r="S84" s="179">
        <f>VLOOKUP(A84,'OI(Value)'!A84:O302,11,0)</f>
        <v>925</v>
      </c>
    </row>
    <row r="85" spans="1:19" x14ac:dyDescent="0.25">
      <c r="A85" s="105" t="str">
        <f>'Data Vlaue (Cr)'!C80</f>
        <v>HINDPETRO</v>
      </c>
      <c r="B85" s="143">
        <f>VLOOKUP($A85,'Data shares'!$C:$FA,118)</f>
        <v>0.93</v>
      </c>
      <c r="C85" s="143">
        <f>VLOOKUP($A85,'Data shares'!$C:$FA,119)</f>
        <v>0.95</v>
      </c>
      <c r="D85" s="143">
        <f>VLOOKUP($A85,'Data shares'!$C:$FA,121)*100</f>
        <v>-2.11</v>
      </c>
      <c r="E85" s="143">
        <f>VLOOKUP($A85,'Data shares'!$C:$FA,124)</f>
        <v>0.88</v>
      </c>
      <c r="F85" s="143">
        <f>VLOOKUP($A85,'Data shares'!$C:$FA,125)</f>
        <v>0.95</v>
      </c>
      <c r="G85" s="143">
        <f>VLOOKUP($A85,'Data shares'!$C:$FA,127)*100</f>
        <v>-7.37</v>
      </c>
      <c r="H85" s="103">
        <f>VLOOKUP($A85,'OI(Volume)'!$A$7:$O$440,8)</f>
        <v>18239175</v>
      </c>
      <c r="I85" s="103">
        <f>VLOOKUP($A85,'OI(Volume)'!$A$7:$O$440,9)</f>
        <v>449550</v>
      </c>
      <c r="J85" s="103">
        <f>VLOOKUP($A85,'OI(Volume)'!$A$7:$O$440,11)</f>
        <v>16943175</v>
      </c>
      <c r="K85" s="103">
        <f>VLOOKUP($A85,'OI(Volume)'!$A$7:$O$440,12)</f>
        <v>-10125</v>
      </c>
      <c r="L85" s="103">
        <f>VLOOKUP($A85,'OI(Value)'!$A$7:$O$323,8,0)</f>
        <v>698</v>
      </c>
      <c r="M85" s="103">
        <f>VLOOKUP($A85,'OI(Value)'!$A$7:$O$323,9,0)</f>
        <v>17</v>
      </c>
      <c r="N85" s="103">
        <f>VLOOKUP($A85,'OI(Value)'!$A$7:$O$323,11,0)</f>
        <v>649</v>
      </c>
      <c r="O85" s="103">
        <f>VLOOKUP($A85,'OI(Value)'!$A$7:$O$323,12,0)</f>
        <v>0</v>
      </c>
      <c r="P85" s="179">
        <f>VLOOKUP(A85,'OI(Value)'!A85:O303,8,0)</f>
        <v>698</v>
      </c>
      <c r="Q85" s="179">
        <f>VLOOKUP(A85,'OI(Value)'!A85:O303,9,0)</f>
        <v>17</v>
      </c>
      <c r="R85" s="179">
        <f>VLOOKUP(A85,'OI(Value)'!A85:O303,11,0)</f>
        <v>649</v>
      </c>
      <c r="S85" s="179">
        <f>VLOOKUP(A85,'OI(Value)'!A85:O303,11,0)</f>
        <v>649</v>
      </c>
    </row>
    <row r="86" spans="1:19" x14ac:dyDescent="0.25">
      <c r="A86" s="105" t="str">
        <f>'Data Vlaue (Cr)'!C81</f>
        <v>HINDUNILVR</v>
      </c>
      <c r="B86" s="143">
        <f>VLOOKUP($A86,'Data shares'!$C:$FA,118)</f>
        <v>0.47</v>
      </c>
      <c r="C86" s="143">
        <f>VLOOKUP($A86,'Data shares'!$C:$FA,119)</f>
        <v>0.52</v>
      </c>
      <c r="D86" s="143">
        <f>VLOOKUP($A86,'Data shares'!$C:$FA,121)*100</f>
        <v>-9.6199999999999992</v>
      </c>
      <c r="E86" s="143">
        <f>VLOOKUP($A86,'Data shares'!$C:$FA,124)</f>
        <v>0.45</v>
      </c>
      <c r="F86" s="143">
        <f>VLOOKUP($A86,'Data shares'!$C:$FA,125)</f>
        <v>0.54</v>
      </c>
      <c r="G86" s="143">
        <f>VLOOKUP($A86,'Data shares'!$C:$FA,127)*100</f>
        <v>-16.669999999999998</v>
      </c>
      <c r="H86" s="103">
        <f>VLOOKUP($A86,'OI(Volume)'!$A$7:$O$440,8)</f>
        <v>6921900</v>
      </c>
      <c r="I86" s="103">
        <f>VLOOKUP($A86,'OI(Volume)'!$A$7:$O$440,9)</f>
        <v>988200</v>
      </c>
      <c r="J86" s="103">
        <f>VLOOKUP($A86,'OI(Volume)'!$A$7:$O$440,11)</f>
        <v>3270300</v>
      </c>
      <c r="K86" s="103">
        <f>VLOOKUP($A86,'OI(Volume)'!$A$7:$O$440,12)</f>
        <v>166800</v>
      </c>
      <c r="L86" s="103">
        <f>VLOOKUP($A86,'OI(Value)'!$A$7:$O$323,8,0)</f>
        <v>1481</v>
      </c>
      <c r="M86" s="103">
        <f>VLOOKUP($A86,'OI(Value)'!$A$7:$O$323,9,0)</f>
        <v>211</v>
      </c>
      <c r="N86" s="103">
        <f>VLOOKUP($A86,'OI(Value)'!$A$7:$O$323,11,0)</f>
        <v>700</v>
      </c>
      <c r="O86" s="103">
        <f>VLOOKUP($A86,'OI(Value)'!$A$7:$O$323,12,0)</f>
        <v>36</v>
      </c>
      <c r="P86" s="179">
        <f>VLOOKUP(A86,'OI(Value)'!A86:O304,8,0)</f>
        <v>1481</v>
      </c>
      <c r="Q86" s="179">
        <f>VLOOKUP(A86,'OI(Value)'!A86:O304,9,0)</f>
        <v>211</v>
      </c>
      <c r="R86" s="179">
        <f>VLOOKUP(A86,'OI(Value)'!A86:O304,11,0)</f>
        <v>700</v>
      </c>
      <c r="S86" s="179">
        <f>VLOOKUP(A86,'OI(Value)'!A86:O304,11,0)</f>
        <v>700</v>
      </c>
    </row>
    <row r="87" spans="1:19" x14ac:dyDescent="0.25">
      <c r="A87" s="105" t="str">
        <f>'Data Vlaue (Cr)'!C82</f>
        <v>HINDZINC</v>
      </c>
      <c r="B87" s="143">
        <f>VLOOKUP($A87,'Data shares'!$C:$FA,118)</f>
        <v>0.56999999999999995</v>
      </c>
      <c r="C87" s="143">
        <f>VLOOKUP($A87,'Data shares'!$C:$FA,119)</f>
        <v>0.57999999999999996</v>
      </c>
      <c r="D87" s="143">
        <f>VLOOKUP($A87,'Data shares'!$C:$FA,121)*100</f>
        <v>-1.72</v>
      </c>
      <c r="E87" s="143">
        <f>VLOOKUP($A87,'Data shares'!$C:$FA,124)</f>
        <v>0.56999999999999995</v>
      </c>
      <c r="F87" s="143">
        <f>VLOOKUP($A87,'Data shares'!$C:$FA,125)</f>
        <v>0.68</v>
      </c>
      <c r="G87" s="143">
        <f>VLOOKUP($A87,'Data shares'!$C:$FA,127)*100</f>
        <v>-16.18</v>
      </c>
      <c r="H87" s="103">
        <f>VLOOKUP($A87,'OI(Volume)'!$A$7:$O$440,8)</f>
        <v>27551475</v>
      </c>
      <c r="I87" s="103">
        <f>VLOOKUP($A87,'OI(Volume)'!$A$7:$O$440,9)</f>
        <v>96775</v>
      </c>
      <c r="J87" s="103">
        <f>VLOOKUP($A87,'OI(Volume)'!$A$7:$O$440,11)</f>
        <v>15714300</v>
      </c>
      <c r="K87" s="103">
        <f>VLOOKUP($A87,'OI(Volume)'!$A$7:$O$440,12)</f>
        <v>-134750</v>
      </c>
      <c r="L87" s="103">
        <f>VLOOKUP($A87,'OI(Value)'!$A$7:$O$323,8,0)</f>
        <v>1608</v>
      </c>
      <c r="M87" s="103">
        <f>VLOOKUP($A87,'OI(Value)'!$A$7:$O$323,9,0)</f>
        <v>6</v>
      </c>
      <c r="N87" s="103">
        <f>VLOOKUP($A87,'OI(Value)'!$A$7:$O$323,11,0)</f>
        <v>917</v>
      </c>
      <c r="O87" s="103">
        <f>VLOOKUP($A87,'OI(Value)'!$A$7:$O$323,12,0)</f>
        <v>-8</v>
      </c>
      <c r="P87" s="179">
        <f>VLOOKUP(A87,'OI(Value)'!A87:O305,8,0)</f>
        <v>1608</v>
      </c>
      <c r="Q87" s="179">
        <f>VLOOKUP(A87,'OI(Value)'!A87:O305,9,0)</f>
        <v>6</v>
      </c>
      <c r="R87" s="179">
        <f>VLOOKUP(A87,'OI(Value)'!A87:O305,11,0)</f>
        <v>917</v>
      </c>
      <c r="S87" s="179">
        <f>VLOOKUP(A87,'OI(Value)'!A87:O305,11,0)</f>
        <v>917</v>
      </c>
    </row>
    <row r="88" spans="1:19" x14ac:dyDescent="0.25">
      <c r="A88" s="105" t="str">
        <f>'Data Vlaue (Cr)'!C83</f>
        <v>HUDCO</v>
      </c>
      <c r="B88" s="143">
        <f>VLOOKUP($A88,'Data shares'!$C:$FA,118)</f>
        <v>0.63</v>
      </c>
      <c r="C88" s="143">
        <f>VLOOKUP($A88,'Data shares'!$C:$FA,119)</f>
        <v>0.67</v>
      </c>
      <c r="D88" s="143">
        <f>VLOOKUP($A88,'Data shares'!$C:$FA,121)*100</f>
        <v>-5.9700000000000006</v>
      </c>
      <c r="E88" s="143">
        <f>VLOOKUP($A88,'Data shares'!$C:$FA,124)</f>
        <v>0.28000000000000003</v>
      </c>
      <c r="F88" s="143">
        <f>VLOOKUP($A88,'Data shares'!$C:$FA,125)</f>
        <v>0.54</v>
      </c>
      <c r="G88" s="143">
        <f>VLOOKUP($A88,'Data shares'!$C:$FA,127)*100</f>
        <v>-48.15</v>
      </c>
      <c r="H88" s="103">
        <f>VLOOKUP($A88,'OI(Volume)'!$A$7:$O$440,8)</f>
        <v>20820825</v>
      </c>
      <c r="I88" s="103">
        <f>VLOOKUP($A88,'OI(Volume)'!$A$7:$O$440,9)</f>
        <v>1118325</v>
      </c>
      <c r="J88" s="103">
        <f>VLOOKUP($A88,'OI(Volume)'!$A$7:$O$440,11)</f>
        <v>13184025</v>
      </c>
      <c r="K88" s="103">
        <f>VLOOKUP($A88,'OI(Volume)'!$A$7:$O$440,12)</f>
        <v>-11100</v>
      </c>
      <c r="L88" s="103">
        <f>VLOOKUP($A88,'OI(Value)'!$A$7:$O$323,8,0)</f>
        <v>369</v>
      </c>
      <c r="M88" s="103">
        <f>VLOOKUP($A88,'OI(Value)'!$A$7:$O$323,9,0)</f>
        <v>20</v>
      </c>
      <c r="N88" s="103">
        <f>VLOOKUP($A88,'OI(Value)'!$A$7:$O$323,11,0)</f>
        <v>233</v>
      </c>
      <c r="O88" s="103">
        <f>VLOOKUP($A88,'OI(Value)'!$A$7:$O$323,12,0)</f>
        <v>0</v>
      </c>
      <c r="P88" s="179">
        <f>VLOOKUP(A88,'OI(Value)'!A88:O306,8,0)</f>
        <v>369</v>
      </c>
      <c r="Q88" s="179">
        <f>VLOOKUP(A88,'OI(Value)'!A88:O306,9,0)</f>
        <v>20</v>
      </c>
      <c r="R88" s="179">
        <f>VLOOKUP(A88,'OI(Value)'!A88:O306,11,0)</f>
        <v>233</v>
      </c>
      <c r="S88" s="179">
        <f>VLOOKUP(A88,'OI(Value)'!A88:O306,11,0)</f>
        <v>233</v>
      </c>
    </row>
    <row r="89" spans="1:19" x14ac:dyDescent="0.25">
      <c r="A89" s="105" t="str">
        <f>'Data Vlaue (Cr)'!C84</f>
        <v>ICICIBANK</v>
      </c>
      <c r="B89" s="143">
        <f>VLOOKUP($A89,'Data shares'!$C:$FA,118)</f>
        <v>0.59</v>
      </c>
      <c r="C89" s="143">
        <f>VLOOKUP($A89,'Data shares'!$C:$FA,119)</f>
        <v>0.61</v>
      </c>
      <c r="D89" s="143">
        <f>VLOOKUP($A89,'Data shares'!$C:$FA,121)*100</f>
        <v>-3.2800000000000002</v>
      </c>
      <c r="E89" s="143">
        <f>VLOOKUP($A89,'Data shares'!$C:$FA,124)</f>
        <v>0.54</v>
      </c>
      <c r="F89" s="143">
        <f>VLOOKUP($A89,'Data shares'!$C:$FA,125)</f>
        <v>0.68</v>
      </c>
      <c r="G89" s="143">
        <f>VLOOKUP($A89,'Data shares'!$C:$FA,127)*100</f>
        <v>-20.59</v>
      </c>
      <c r="H89" s="103">
        <f>VLOOKUP($A89,'OI(Volume)'!$A$7:$O$440,8)</f>
        <v>34589100</v>
      </c>
      <c r="I89" s="103">
        <f>VLOOKUP($A89,'OI(Volume)'!$A$7:$O$440,9)</f>
        <v>1179500</v>
      </c>
      <c r="J89" s="103">
        <f>VLOOKUP($A89,'OI(Volume)'!$A$7:$O$440,11)</f>
        <v>20379100</v>
      </c>
      <c r="K89" s="103">
        <f>VLOOKUP($A89,'OI(Volume)'!$A$7:$O$440,12)</f>
        <v>-83300</v>
      </c>
      <c r="L89" s="103">
        <f>VLOOKUP($A89,'OI(Value)'!$A$7:$O$323,8,0)</f>
        <v>4398</v>
      </c>
      <c r="M89" s="103">
        <f>VLOOKUP($A89,'OI(Value)'!$A$7:$O$323,9,0)</f>
        <v>150</v>
      </c>
      <c r="N89" s="103">
        <f>VLOOKUP($A89,'OI(Value)'!$A$7:$O$323,11,0)</f>
        <v>2591</v>
      </c>
      <c r="O89" s="103">
        <f>VLOOKUP($A89,'OI(Value)'!$A$7:$O$323,12,0)</f>
        <v>-11</v>
      </c>
      <c r="P89" s="179">
        <f>VLOOKUP(A89,'OI(Value)'!A89:O307,8,0)</f>
        <v>4398</v>
      </c>
      <c r="Q89" s="179">
        <f>VLOOKUP(A89,'OI(Value)'!A89:O307,9,0)</f>
        <v>150</v>
      </c>
      <c r="R89" s="179">
        <f>VLOOKUP(A89,'OI(Value)'!A89:O307,11,0)</f>
        <v>2591</v>
      </c>
      <c r="S89" s="179">
        <f>VLOOKUP(A89,'OI(Value)'!A89:O307,11,0)</f>
        <v>2591</v>
      </c>
    </row>
    <row r="90" spans="1:19" x14ac:dyDescent="0.25">
      <c r="A90" s="105" t="str">
        <f>'Data Vlaue (Cr)'!C85</f>
        <v>ICICIGI</v>
      </c>
      <c r="B90" s="143">
        <f>VLOOKUP($A90,'Data shares'!$C:$FA,118)</f>
        <v>0.53</v>
      </c>
      <c r="C90" s="143">
        <f>VLOOKUP($A90,'Data shares'!$C:$FA,119)</f>
        <v>0.63</v>
      </c>
      <c r="D90" s="143">
        <f>VLOOKUP($A90,'Data shares'!$C:$FA,121)*100</f>
        <v>-15.870000000000001</v>
      </c>
      <c r="E90" s="143">
        <f>VLOOKUP($A90,'Data shares'!$C:$FA,124)</f>
        <v>0.36</v>
      </c>
      <c r="F90" s="143">
        <f>VLOOKUP($A90,'Data shares'!$C:$FA,125)</f>
        <v>0.65</v>
      </c>
      <c r="G90" s="143">
        <f>VLOOKUP($A90,'Data shares'!$C:$FA,127)*100</f>
        <v>-44.62</v>
      </c>
      <c r="H90" s="103">
        <f>VLOOKUP($A90,'OI(Volume)'!$A$7:$O$440,8)</f>
        <v>1263275</v>
      </c>
      <c r="I90" s="103">
        <f>VLOOKUP($A90,'OI(Volume)'!$A$7:$O$440,9)</f>
        <v>185900</v>
      </c>
      <c r="J90" s="103">
        <f>VLOOKUP($A90,'OI(Volume)'!$A$7:$O$440,11)</f>
        <v>674700</v>
      </c>
      <c r="K90" s="103">
        <f>VLOOKUP($A90,'OI(Volume)'!$A$7:$O$440,12)</f>
        <v>-5200</v>
      </c>
      <c r="L90" s="103">
        <f>VLOOKUP($A90,'OI(Value)'!$A$7:$O$323,8,0)</f>
        <v>234</v>
      </c>
      <c r="M90" s="103">
        <f>VLOOKUP($A90,'OI(Value)'!$A$7:$O$323,9,0)</f>
        <v>35</v>
      </c>
      <c r="N90" s="103">
        <f>VLOOKUP($A90,'OI(Value)'!$A$7:$O$323,11,0)</f>
        <v>125</v>
      </c>
      <c r="O90" s="103">
        <f>VLOOKUP($A90,'OI(Value)'!$A$7:$O$323,12,0)</f>
        <v>-1</v>
      </c>
      <c r="P90" s="179">
        <f>VLOOKUP(A90,'OI(Value)'!A90:O308,8,0)</f>
        <v>234</v>
      </c>
      <c r="Q90" s="179">
        <f>VLOOKUP(A90,'OI(Value)'!A90:O308,9,0)</f>
        <v>35</v>
      </c>
      <c r="R90" s="179">
        <f>VLOOKUP(A90,'OI(Value)'!A90:O308,11,0)</f>
        <v>125</v>
      </c>
      <c r="S90" s="179">
        <f>VLOOKUP(A90,'OI(Value)'!A90:O308,11,0)</f>
        <v>125</v>
      </c>
    </row>
    <row r="91" spans="1:19" x14ac:dyDescent="0.25">
      <c r="A91" s="105" t="str">
        <f>'Data Vlaue (Cr)'!C86</f>
        <v>ICICIPRULI</v>
      </c>
      <c r="B91" s="143">
        <f>VLOOKUP($A91,'Data shares'!$C:$FA,118)</f>
        <v>0.69</v>
      </c>
      <c r="C91" s="143">
        <f>VLOOKUP($A91,'Data shares'!$C:$FA,119)</f>
        <v>0.73</v>
      </c>
      <c r="D91" s="143">
        <f>VLOOKUP($A91,'Data shares'!$C:$FA,121)*100</f>
        <v>-5.48</v>
      </c>
      <c r="E91" s="143">
        <f>VLOOKUP($A91,'Data shares'!$C:$FA,124)</f>
        <v>0.86</v>
      </c>
      <c r="F91" s="143">
        <f>VLOOKUP($A91,'Data shares'!$C:$FA,125)</f>
        <v>0.66</v>
      </c>
      <c r="G91" s="143">
        <f>VLOOKUP($A91,'Data shares'!$C:$FA,127)*100</f>
        <v>30.3</v>
      </c>
      <c r="H91" s="103">
        <f>VLOOKUP($A91,'OI(Volume)'!$A$7:$O$440,8)</f>
        <v>3449325</v>
      </c>
      <c r="I91" s="103">
        <f>VLOOKUP($A91,'OI(Volume)'!$A$7:$O$440,9)</f>
        <v>207200</v>
      </c>
      <c r="J91" s="103">
        <f>VLOOKUP($A91,'OI(Volume)'!$A$7:$O$440,11)</f>
        <v>2394825</v>
      </c>
      <c r="K91" s="103">
        <f>VLOOKUP($A91,'OI(Volume)'!$A$7:$O$440,12)</f>
        <v>18500</v>
      </c>
      <c r="L91" s="103">
        <f>VLOOKUP($A91,'OI(Value)'!$A$7:$O$323,8,0)</f>
        <v>205</v>
      </c>
      <c r="M91" s="103">
        <f>VLOOKUP($A91,'OI(Value)'!$A$7:$O$323,9,0)</f>
        <v>12</v>
      </c>
      <c r="N91" s="103">
        <f>VLOOKUP($A91,'OI(Value)'!$A$7:$O$323,11,0)</f>
        <v>142</v>
      </c>
      <c r="O91" s="103">
        <f>VLOOKUP($A91,'OI(Value)'!$A$7:$O$323,12,0)</f>
        <v>1</v>
      </c>
      <c r="P91" s="179">
        <f>VLOOKUP(A91,'OI(Value)'!A91:O309,8,0)</f>
        <v>205</v>
      </c>
      <c r="Q91" s="179">
        <f>VLOOKUP(A91,'OI(Value)'!A91:O309,9,0)</f>
        <v>12</v>
      </c>
      <c r="R91" s="179">
        <f>VLOOKUP(A91,'OI(Value)'!A91:O309,11,0)</f>
        <v>142</v>
      </c>
      <c r="S91" s="179">
        <f>VLOOKUP(A91,'OI(Value)'!A91:O309,11,0)</f>
        <v>142</v>
      </c>
    </row>
    <row r="92" spans="1:19" x14ac:dyDescent="0.25">
      <c r="A92" s="105" t="str">
        <f>'Data Vlaue (Cr)'!C87</f>
        <v>IDEA</v>
      </c>
      <c r="B92" s="143">
        <f>VLOOKUP($A92,'Data shares'!$C:$FA,118)</f>
        <v>0.49</v>
      </c>
      <c r="C92" s="143">
        <f>VLOOKUP($A92,'Data shares'!$C:$FA,119)</f>
        <v>0.5</v>
      </c>
      <c r="D92" s="143">
        <f>VLOOKUP($A92,'Data shares'!$C:$FA,121)*100</f>
        <v>-2</v>
      </c>
      <c r="E92" s="143">
        <f>VLOOKUP($A92,'Data shares'!$C:$FA,124)</f>
        <v>0.4</v>
      </c>
      <c r="F92" s="143">
        <f>VLOOKUP($A92,'Data shares'!$C:$FA,125)</f>
        <v>0.42</v>
      </c>
      <c r="G92" s="143">
        <f>VLOOKUP($A92,'Data shares'!$C:$FA,127)*100</f>
        <v>-4.7600000000000007</v>
      </c>
      <c r="H92" s="103">
        <f>VLOOKUP($A92,'OI(Volume)'!$A$7:$O$440,8)</f>
        <v>1996797075</v>
      </c>
      <c r="I92" s="103">
        <f>VLOOKUP($A92,'OI(Volume)'!$A$7:$O$440,9)</f>
        <v>48460050</v>
      </c>
      <c r="J92" s="103">
        <f>VLOOKUP($A92,'OI(Volume)'!$A$7:$O$440,11)</f>
        <v>987570075</v>
      </c>
      <c r="K92" s="103">
        <f>VLOOKUP($A92,'OI(Volume)'!$A$7:$O$440,12)</f>
        <v>9434700</v>
      </c>
      <c r="L92" s="103">
        <f>VLOOKUP($A92,'OI(Value)'!$A$7:$O$323,8,0)</f>
        <v>1917</v>
      </c>
      <c r="M92" s="103">
        <f>VLOOKUP($A92,'OI(Value)'!$A$7:$O$323,9,0)</f>
        <v>47</v>
      </c>
      <c r="N92" s="103">
        <f>VLOOKUP($A92,'OI(Value)'!$A$7:$O$323,11,0)</f>
        <v>948</v>
      </c>
      <c r="O92" s="103">
        <f>VLOOKUP($A92,'OI(Value)'!$A$7:$O$323,12,0)</f>
        <v>9</v>
      </c>
      <c r="P92" s="179">
        <f>VLOOKUP(A92,'OI(Value)'!A92:O310,8,0)</f>
        <v>1917</v>
      </c>
      <c r="Q92" s="179">
        <f>VLOOKUP(A92,'OI(Value)'!A92:O310,9,0)</f>
        <v>47</v>
      </c>
      <c r="R92" s="179">
        <f>VLOOKUP(A92,'OI(Value)'!A92:O310,11,0)</f>
        <v>948</v>
      </c>
      <c r="S92" s="179">
        <f>VLOOKUP(A92,'OI(Value)'!A92:O310,11,0)</f>
        <v>948</v>
      </c>
    </row>
    <row r="93" spans="1:19" x14ac:dyDescent="0.25">
      <c r="A93" s="105" t="str">
        <f>'Data Vlaue (Cr)'!C88</f>
        <v>IDFCFIRSTB</v>
      </c>
      <c r="B93" s="143">
        <f>VLOOKUP($A93,'Data shares'!$C:$FA,118)</f>
        <v>0.56999999999999995</v>
      </c>
      <c r="C93" s="143">
        <f>VLOOKUP($A93,'Data shares'!$C:$FA,119)</f>
        <v>0.57999999999999996</v>
      </c>
      <c r="D93" s="143">
        <f>VLOOKUP($A93,'Data shares'!$C:$FA,121)*100</f>
        <v>-1.72</v>
      </c>
      <c r="E93" s="143">
        <f>VLOOKUP($A93,'Data shares'!$C:$FA,124)</f>
        <v>0.71</v>
      </c>
      <c r="F93" s="143">
        <f>VLOOKUP($A93,'Data shares'!$C:$FA,125)</f>
        <v>0.55000000000000004</v>
      </c>
      <c r="G93" s="143">
        <f>VLOOKUP($A93,'Data shares'!$C:$FA,127)*100</f>
        <v>29.09</v>
      </c>
      <c r="H93" s="103">
        <f>VLOOKUP($A93,'OI(Volume)'!$A$7:$O$440,8)</f>
        <v>333037425</v>
      </c>
      <c r="I93" s="103">
        <f>VLOOKUP($A93,'OI(Volume)'!$A$7:$O$440,9)</f>
        <v>4090275</v>
      </c>
      <c r="J93" s="103">
        <f>VLOOKUP($A93,'OI(Volume)'!$A$7:$O$440,11)</f>
        <v>191296875</v>
      </c>
      <c r="K93" s="103">
        <f>VLOOKUP($A93,'OI(Volume)'!$A$7:$O$440,12)</f>
        <v>844025</v>
      </c>
      <c r="L93" s="103">
        <f>VLOOKUP($A93,'OI(Value)'!$A$7:$O$323,8,0)</f>
        <v>2164</v>
      </c>
      <c r="M93" s="103">
        <f>VLOOKUP($A93,'OI(Value)'!$A$7:$O$323,9,0)</f>
        <v>27</v>
      </c>
      <c r="N93" s="103">
        <f>VLOOKUP($A93,'OI(Value)'!$A$7:$O$323,11,0)</f>
        <v>1243</v>
      </c>
      <c r="O93" s="103">
        <f>VLOOKUP($A93,'OI(Value)'!$A$7:$O$323,12,0)</f>
        <v>5</v>
      </c>
      <c r="P93" s="179">
        <f>VLOOKUP(A93,'OI(Value)'!A93:O311,8,0)</f>
        <v>2164</v>
      </c>
      <c r="Q93" s="179">
        <f>VLOOKUP(A93,'OI(Value)'!A93:O311,9,0)</f>
        <v>27</v>
      </c>
      <c r="R93" s="179">
        <f>VLOOKUP(A93,'OI(Value)'!A93:O311,11,0)</f>
        <v>1243</v>
      </c>
      <c r="S93" s="179">
        <f>VLOOKUP(A93,'OI(Value)'!A93:O311,11,0)</f>
        <v>1243</v>
      </c>
    </row>
    <row r="94" spans="1:19" x14ac:dyDescent="0.25">
      <c r="A94" s="105" t="str">
        <f>'Data Vlaue (Cr)'!C89</f>
        <v>IEX</v>
      </c>
      <c r="B94" s="143">
        <f>VLOOKUP($A94,'Data shares'!$C:$FA,118)</f>
        <v>0.68</v>
      </c>
      <c r="C94" s="143">
        <f>VLOOKUP($A94,'Data shares'!$C:$FA,119)</f>
        <v>0.67</v>
      </c>
      <c r="D94" s="143">
        <f>VLOOKUP($A94,'Data shares'!$C:$FA,121)*100</f>
        <v>1.49</v>
      </c>
      <c r="E94" s="143">
        <f>VLOOKUP($A94,'Data shares'!$C:$FA,124)</f>
        <v>0.27</v>
      </c>
      <c r="F94" s="143">
        <f>VLOOKUP($A94,'Data shares'!$C:$FA,125)</f>
        <v>0.25</v>
      </c>
      <c r="G94" s="143">
        <f>VLOOKUP($A94,'Data shares'!$C:$FA,127)*100</f>
        <v>8</v>
      </c>
      <c r="H94" s="103">
        <f>VLOOKUP($A94,'OI(Volume)'!$A$7:$O$440,8)</f>
        <v>43252500</v>
      </c>
      <c r="I94" s="103">
        <f>VLOOKUP($A94,'OI(Volume)'!$A$7:$O$440,9)</f>
        <v>367500</v>
      </c>
      <c r="J94" s="103">
        <f>VLOOKUP($A94,'OI(Volume)'!$A$7:$O$440,11)</f>
        <v>29317500</v>
      </c>
      <c r="K94" s="103">
        <f>VLOOKUP($A94,'OI(Volume)'!$A$7:$O$440,12)</f>
        <v>487500</v>
      </c>
      <c r="L94" s="103">
        <f>VLOOKUP($A94,'OI(Value)'!$A$7:$O$323,8,0)</f>
        <v>532</v>
      </c>
      <c r="M94" s="103">
        <f>VLOOKUP($A94,'OI(Value)'!$A$7:$O$323,9,0)</f>
        <v>5</v>
      </c>
      <c r="N94" s="103">
        <f>VLOOKUP($A94,'OI(Value)'!$A$7:$O$323,11,0)</f>
        <v>360</v>
      </c>
      <c r="O94" s="103">
        <f>VLOOKUP($A94,'OI(Value)'!$A$7:$O$323,12,0)</f>
        <v>6</v>
      </c>
      <c r="P94" s="179">
        <f>VLOOKUP(A94,'OI(Value)'!A94:O312,8,0)</f>
        <v>532</v>
      </c>
      <c r="Q94" s="179">
        <f>VLOOKUP(A94,'OI(Value)'!A94:O312,9,0)</f>
        <v>5</v>
      </c>
      <c r="R94" s="179">
        <f>VLOOKUP(A94,'OI(Value)'!A94:O312,11,0)</f>
        <v>360</v>
      </c>
      <c r="S94" s="179">
        <f>VLOOKUP(A94,'OI(Value)'!A94:O312,11,0)</f>
        <v>360</v>
      </c>
    </row>
    <row r="95" spans="1:19" x14ac:dyDescent="0.25">
      <c r="A95" s="105" t="str">
        <f>'Data Vlaue (Cr)'!C90</f>
        <v>INDHOTEL</v>
      </c>
      <c r="B95" s="143">
        <f>VLOOKUP($A95,'Data shares'!$C:$FA,118)</f>
        <v>0.86</v>
      </c>
      <c r="C95" s="143">
        <f>VLOOKUP($A95,'Data shares'!$C:$FA,119)</f>
        <v>0.83</v>
      </c>
      <c r="D95" s="143">
        <f>VLOOKUP($A95,'Data shares'!$C:$FA,121)*100</f>
        <v>3.61</v>
      </c>
      <c r="E95" s="143">
        <f>VLOOKUP($A95,'Data shares'!$C:$FA,124)</f>
        <v>1.1599999999999999</v>
      </c>
      <c r="F95" s="143">
        <f>VLOOKUP($A95,'Data shares'!$C:$FA,125)</f>
        <v>1.39</v>
      </c>
      <c r="G95" s="143">
        <f>VLOOKUP($A95,'Data shares'!$C:$FA,127)*100</f>
        <v>-16.55</v>
      </c>
      <c r="H95" s="103">
        <f>VLOOKUP($A95,'OI(Volume)'!$A$7:$O$440,8)</f>
        <v>8356000</v>
      </c>
      <c r="I95" s="103">
        <f>VLOOKUP($A95,'OI(Volume)'!$A$7:$O$440,9)</f>
        <v>286000</v>
      </c>
      <c r="J95" s="103">
        <f>VLOOKUP($A95,'OI(Volume)'!$A$7:$O$440,11)</f>
        <v>7163000</v>
      </c>
      <c r="K95" s="103">
        <f>VLOOKUP($A95,'OI(Volume)'!$A$7:$O$440,12)</f>
        <v>505000</v>
      </c>
      <c r="L95" s="103">
        <f>VLOOKUP($A95,'OI(Value)'!$A$7:$O$323,8,0)</f>
        <v>523</v>
      </c>
      <c r="M95" s="103">
        <f>VLOOKUP($A95,'OI(Value)'!$A$7:$O$323,9,0)</f>
        <v>18</v>
      </c>
      <c r="N95" s="103">
        <f>VLOOKUP($A95,'OI(Value)'!$A$7:$O$323,11,0)</f>
        <v>448</v>
      </c>
      <c r="O95" s="103">
        <f>VLOOKUP($A95,'OI(Value)'!$A$7:$O$323,12,0)</f>
        <v>32</v>
      </c>
      <c r="P95" s="179">
        <f>VLOOKUP(A95,'OI(Value)'!A95:O313,8,0)</f>
        <v>523</v>
      </c>
      <c r="Q95" s="179">
        <f>VLOOKUP(A95,'OI(Value)'!A95:O313,9,0)</f>
        <v>18</v>
      </c>
      <c r="R95" s="179">
        <f>VLOOKUP(A95,'OI(Value)'!A95:O313,11,0)</f>
        <v>448</v>
      </c>
      <c r="S95" s="179">
        <f>VLOOKUP(A95,'OI(Value)'!A95:O313,11,0)</f>
        <v>448</v>
      </c>
    </row>
    <row r="96" spans="1:19" x14ac:dyDescent="0.25">
      <c r="A96" s="105" t="str">
        <f>'Data Vlaue (Cr)'!C91</f>
        <v>INDIANB</v>
      </c>
      <c r="B96" s="143">
        <f>VLOOKUP($A96,'Data shares'!$C:$FA,118)</f>
        <v>0.67</v>
      </c>
      <c r="C96" s="143">
        <f>VLOOKUP($A96,'Data shares'!$C:$FA,119)</f>
        <v>0.73</v>
      </c>
      <c r="D96" s="143">
        <f>VLOOKUP($A96,'Data shares'!$C:$FA,121)*100</f>
        <v>-8.2199999999999989</v>
      </c>
      <c r="E96" s="143">
        <f>VLOOKUP($A96,'Data shares'!$C:$FA,124)</f>
        <v>0.59</v>
      </c>
      <c r="F96" s="143">
        <f>VLOOKUP($A96,'Data shares'!$C:$FA,125)</f>
        <v>0.63</v>
      </c>
      <c r="G96" s="143">
        <f>VLOOKUP($A96,'Data shares'!$C:$FA,127)*100</f>
        <v>-6.35</v>
      </c>
      <c r="H96" s="103">
        <f>VLOOKUP($A96,'OI(Volume)'!$A$7:$O$440,8)</f>
        <v>5595000</v>
      </c>
      <c r="I96" s="103">
        <f>VLOOKUP($A96,'OI(Volume)'!$A$7:$O$440,9)</f>
        <v>592000</v>
      </c>
      <c r="J96" s="103">
        <f>VLOOKUP($A96,'OI(Volume)'!$A$7:$O$440,11)</f>
        <v>3722000</v>
      </c>
      <c r="K96" s="103">
        <f>VLOOKUP($A96,'OI(Volume)'!$A$7:$O$440,12)</f>
        <v>76000</v>
      </c>
      <c r="L96" s="103">
        <f>VLOOKUP($A96,'OI(Value)'!$A$7:$O$323,8,0)</f>
        <v>511</v>
      </c>
      <c r="M96" s="103">
        <f>VLOOKUP($A96,'OI(Value)'!$A$7:$O$323,9,0)</f>
        <v>54</v>
      </c>
      <c r="N96" s="103">
        <f>VLOOKUP($A96,'OI(Value)'!$A$7:$O$323,11,0)</f>
        <v>340</v>
      </c>
      <c r="O96" s="103">
        <f>VLOOKUP($A96,'OI(Value)'!$A$7:$O$323,12,0)</f>
        <v>7</v>
      </c>
      <c r="P96" s="179">
        <f>VLOOKUP(A96,'OI(Value)'!A96:O314,8,0)</f>
        <v>511</v>
      </c>
      <c r="Q96" s="179">
        <f>VLOOKUP(A96,'OI(Value)'!A96:O314,9,0)</f>
        <v>54</v>
      </c>
      <c r="R96" s="179">
        <f>VLOOKUP(A96,'OI(Value)'!A96:O314,11,0)</f>
        <v>340</v>
      </c>
      <c r="S96" s="179">
        <f>VLOOKUP(A96,'OI(Value)'!A96:O314,11,0)</f>
        <v>340</v>
      </c>
    </row>
    <row r="97" spans="1:19" x14ac:dyDescent="0.25">
      <c r="A97" s="105" t="str">
        <f>'Data Vlaue (Cr)'!C92</f>
        <v>INDIAVIX</v>
      </c>
      <c r="B97" s="143">
        <f>VLOOKUP($A97,'Data shares'!$C:$FA,118)</f>
        <v>0</v>
      </c>
      <c r="C97" s="143">
        <f>VLOOKUP($A97,'Data shares'!$C:$FA,119)</f>
        <v>0</v>
      </c>
      <c r="D97" s="143">
        <f>VLOOKUP($A97,'Data shares'!$C:$FA,121)*100</f>
        <v>0</v>
      </c>
      <c r="E97" s="143">
        <f>VLOOKUP($A97,'Data shares'!$C:$FA,124)</f>
        <v>0</v>
      </c>
      <c r="F97" s="143">
        <f>VLOOKUP($A97,'Data shares'!$C:$FA,125)</f>
        <v>0</v>
      </c>
      <c r="G97" s="143">
        <f>VLOOKUP($A97,'Data shares'!$C:$FA,127)*100</f>
        <v>0</v>
      </c>
      <c r="H97" s="103">
        <f>VLOOKUP($A97,'OI(Volume)'!$A$7:$O$440,8)</f>
        <v>0</v>
      </c>
      <c r="I97" s="103">
        <f>VLOOKUP($A97,'OI(Volume)'!$A$7:$O$440,9)</f>
        <v>0</v>
      </c>
      <c r="J97" s="103">
        <f>VLOOKUP($A97,'OI(Volume)'!$A$7:$O$440,11)</f>
        <v>0</v>
      </c>
      <c r="K97" s="103">
        <f>VLOOKUP($A97,'OI(Volume)'!$A$7:$O$440,12)</f>
        <v>0</v>
      </c>
      <c r="L97" s="103">
        <f>VLOOKUP($A97,'OI(Value)'!$A$7:$O$323,8,0)</f>
        <v>0</v>
      </c>
      <c r="M97" s="103">
        <f>VLOOKUP($A97,'OI(Value)'!$A$7:$O$323,9,0)</f>
        <v>0</v>
      </c>
      <c r="N97" s="103">
        <f>VLOOKUP($A97,'OI(Value)'!$A$7:$O$323,11,0)</f>
        <v>0</v>
      </c>
      <c r="O97" s="103">
        <f>VLOOKUP($A97,'OI(Value)'!$A$7:$O$323,12,0)</f>
        <v>0</v>
      </c>
      <c r="P97" s="179">
        <f>VLOOKUP(A97,'OI(Value)'!A97:O315,8,0)</f>
        <v>0</v>
      </c>
      <c r="Q97" s="179">
        <f>VLOOKUP(A97,'OI(Value)'!A97:O315,9,0)</f>
        <v>0</v>
      </c>
      <c r="R97" s="179">
        <f>VLOOKUP(A97,'OI(Value)'!A97:O315,11,0)</f>
        <v>0</v>
      </c>
      <c r="S97" s="179">
        <f>VLOOKUP(A97,'OI(Value)'!A97:O315,11,0)</f>
        <v>0</v>
      </c>
    </row>
    <row r="98" spans="1:19" x14ac:dyDescent="0.25">
      <c r="A98" s="105" t="str">
        <f>'Data Vlaue (Cr)'!C93</f>
        <v>INDIGO</v>
      </c>
      <c r="B98" s="143">
        <f>VLOOKUP($A98,'Data shares'!$C:$FA,118)</f>
        <v>0.55000000000000004</v>
      </c>
      <c r="C98" s="143">
        <f>VLOOKUP($A98,'Data shares'!$C:$FA,119)</f>
        <v>0.6</v>
      </c>
      <c r="D98" s="143">
        <f>VLOOKUP($A98,'Data shares'!$C:$FA,121)*100</f>
        <v>-8.33</v>
      </c>
      <c r="E98" s="143">
        <f>VLOOKUP($A98,'Data shares'!$C:$FA,124)</f>
        <v>1.1599999999999999</v>
      </c>
      <c r="F98" s="143">
        <f>VLOOKUP($A98,'Data shares'!$C:$FA,125)</f>
        <v>0.85</v>
      </c>
      <c r="G98" s="143">
        <f>VLOOKUP($A98,'Data shares'!$C:$FA,127)*100</f>
        <v>36.47</v>
      </c>
      <c r="H98" s="103">
        <f>VLOOKUP($A98,'OI(Volume)'!$A$7:$O$440,8)</f>
        <v>7901400</v>
      </c>
      <c r="I98" s="103">
        <f>VLOOKUP($A98,'OI(Volume)'!$A$7:$O$440,9)</f>
        <v>228300</v>
      </c>
      <c r="J98" s="103">
        <f>VLOOKUP($A98,'OI(Volume)'!$A$7:$O$440,11)</f>
        <v>4338450</v>
      </c>
      <c r="K98" s="103">
        <f>VLOOKUP($A98,'OI(Volume)'!$A$7:$O$440,12)</f>
        <v>-238650</v>
      </c>
      <c r="L98" s="103">
        <f>VLOOKUP($A98,'OI(Value)'!$A$7:$O$323,8,0)</f>
        <v>3364</v>
      </c>
      <c r="M98" s="103">
        <f>VLOOKUP($A98,'OI(Value)'!$A$7:$O$323,9,0)</f>
        <v>97</v>
      </c>
      <c r="N98" s="103">
        <f>VLOOKUP($A98,'OI(Value)'!$A$7:$O$323,11,0)</f>
        <v>1847</v>
      </c>
      <c r="O98" s="103">
        <f>VLOOKUP($A98,'OI(Value)'!$A$7:$O$323,12,0)</f>
        <v>-102</v>
      </c>
      <c r="P98" s="179">
        <f>VLOOKUP(A98,'OI(Value)'!A98:O316,8,0)</f>
        <v>3364</v>
      </c>
      <c r="Q98" s="179">
        <f>VLOOKUP(A98,'OI(Value)'!A98:O316,9,0)</f>
        <v>97</v>
      </c>
      <c r="R98" s="179">
        <f>VLOOKUP(A98,'OI(Value)'!A98:O316,11,0)</f>
        <v>1847</v>
      </c>
      <c r="S98" s="179">
        <f>VLOOKUP(A98,'OI(Value)'!A98:O316,11,0)</f>
        <v>1847</v>
      </c>
    </row>
    <row r="99" spans="1:19" x14ac:dyDescent="0.25">
      <c r="A99" s="105" t="str">
        <f>'Data Vlaue (Cr)'!C94</f>
        <v>INDUSINDBK</v>
      </c>
      <c r="B99" s="143">
        <f>VLOOKUP($A99,'Data shares'!$C:$FA,118)</f>
        <v>0.79</v>
      </c>
      <c r="C99" s="143">
        <f>VLOOKUP($A99,'Data shares'!$C:$FA,119)</f>
        <v>0.85</v>
      </c>
      <c r="D99" s="143">
        <f>VLOOKUP($A99,'Data shares'!$C:$FA,121)*100</f>
        <v>-7.06</v>
      </c>
      <c r="E99" s="143">
        <f>VLOOKUP($A99,'Data shares'!$C:$FA,124)</f>
        <v>0.95</v>
      </c>
      <c r="F99" s="143">
        <f>VLOOKUP($A99,'Data shares'!$C:$FA,125)</f>
        <v>0.66</v>
      </c>
      <c r="G99" s="143">
        <f>VLOOKUP($A99,'Data shares'!$C:$FA,127)*100</f>
        <v>43.94</v>
      </c>
      <c r="H99" s="103">
        <f>VLOOKUP($A99,'OI(Volume)'!$A$7:$O$440,8)</f>
        <v>9250500</v>
      </c>
      <c r="I99" s="103">
        <f>VLOOKUP($A99,'OI(Volume)'!$A$7:$O$440,9)</f>
        <v>2322600</v>
      </c>
      <c r="J99" s="103">
        <f>VLOOKUP($A99,'OI(Volume)'!$A$7:$O$440,11)</f>
        <v>7284200</v>
      </c>
      <c r="K99" s="103">
        <f>VLOOKUP($A99,'OI(Volume)'!$A$7:$O$440,12)</f>
        <v>1367100</v>
      </c>
      <c r="L99" s="103">
        <f>VLOOKUP($A99,'OI(Value)'!$A$7:$O$323,8,0)</f>
        <v>769</v>
      </c>
      <c r="M99" s="103">
        <f>VLOOKUP($A99,'OI(Value)'!$A$7:$O$323,9,0)</f>
        <v>193</v>
      </c>
      <c r="N99" s="103">
        <f>VLOOKUP($A99,'OI(Value)'!$A$7:$O$323,11,0)</f>
        <v>605</v>
      </c>
      <c r="O99" s="103">
        <f>VLOOKUP($A99,'OI(Value)'!$A$7:$O$323,12,0)</f>
        <v>114</v>
      </c>
      <c r="P99" s="179">
        <f>VLOOKUP(A99,'OI(Value)'!A99:O317,8,0)</f>
        <v>769</v>
      </c>
      <c r="Q99" s="179">
        <f>VLOOKUP(A99,'OI(Value)'!A99:O317,9,0)</f>
        <v>193</v>
      </c>
      <c r="R99" s="179">
        <f>VLOOKUP(A99,'OI(Value)'!A99:O317,11,0)</f>
        <v>605</v>
      </c>
      <c r="S99" s="179">
        <f>VLOOKUP(A99,'OI(Value)'!A99:O317,11,0)</f>
        <v>605</v>
      </c>
    </row>
    <row r="100" spans="1:19" x14ac:dyDescent="0.25">
      <c r="A100" s="105" t="str">
        <f>'Data Vlaue (Cr)'!C95</f>
        <v>INDUSTOWER</v>
      </c>
      <c r="B100" s="143">
        <f>VLOOKUP($A100,'Data shares'!$C:$FA,118)</f>
        <v>0.53</v>
      </c>
      <c r="C100" s="143">
        <f>VLOOKUP($A100,'Data shares'!$C:$FA,119)</f>
        <v>0.51</v>
      </c>
      <c r="D100" s="143">
        <f>VLOOKUP($A100,'Data shares'!$C:$FA,121)*100</f>
        <v>3.92</v>
      </c>
      <c r="E100" s="143">
        <f>VLOOKUP($A100,'Data shares'!$C:$FA,124)</f>
        <v>0.6</v>
      </c>
      <c r="F100" s="143">
        <f>VLOOKUP($A100,'Data shares'!$C:$FA,125)</f>
        <v>0.43</v>
      </c>
      <c r="G100" s="143">
        <f>VLOOKUP($A100,'Data shares'!$C:$FA,127)*100</f>
        <v>39.53</v>
      </c>
      <c r="H100" s="103">
        <f>VLOOKUP($A100,'OI(Volume)'!$A$7:$O$440,8)</f>
        <v>13436800</v>
      </c>
      <c r="I100" s="103">
        <f>VLOOKUP($A100,'OI(Volume)'!$A$7:$O$440,9)</f>
        <v>486200</v>
      </c>
      <c r="J100" s="103">
        <f>VLOOKUP($A100,'OI(Volume)'!$A$7:$O$440,11)</f>
        <v>7119600</v>
      </c>
      <c r="K100" s="103">
        <f>VLOOKUP($A100,'OI(Volume)'!$A$7:$O$440,12)</f>
        <v>557600</v>
      </c>
      <c r="L100" s="103">
        <f>VLOOKUP($A100,'OI(Value)'!$A$7:$O$323,8,0)</f>
        <v>595</v>
      </c>
      <c r="M100" s="103">
        <f>VLOOKUP($A100,'OI(Value)'!$A$7:$O$323,9,0)</f>
        <v>22</v>
      </c>
      <c r="N100" s="103">
        <f>VLOOKUP($A100,'OI(Value)'!$A$7:$O$323,11,0)</f>
        <v>315</v>
      </c>
      <c r="O100" s="103">
        <f>VLOOKUP($A100,'OI(Value)'!$A$7:$O$323,12,0)</f>
        <v>25</v>
      </c>
      <c r="P100" s="179">
        <f>VLOOKUP(A100,'OI(Value)'!A100:O318,8,0)</f>
        <v>595</v>
      </c>
      <c r="Q100" s="179">
        <f>VLOOKUP(A100,'OI(Value)'!A100:O318,9,0)</f>
        <v>22</v>
      </c>
      <c r="R100" s="179">
        <f>VLOOKUP(A100,'OI(Value)'!A100:O318,11,0)</f>
        <v>315</v>
      </c>
      <c r="S100" s="179">
        <f>VLOOKUP(A100,'OI(Value)'!A100:O318,11,0)</f>
        <v>315</v>
      </c>
    </row>
    <row r="101" spans="1:19" x14ac:dyDescent="0.25">
      <c r="A101" s="105" t="str">
        <f>'Data Vlaue (Cr)'!C96</f>
        <v>INFY</v>
      </c>
      <c r="B101" s="143">
        <f>VLOOKUP($A101,'Data shares'!$C:$FA,118)</f>
        <v>0.47</v>
      </c>
      <c r="C101" s="143">
        <f>VLOOKUP($A101,'Data shares'!$C:$FA,119)</f>
        <v>0.47</v>
      </c>
      <c r="D101" s="143">
        <f>VLOOKUP($A101,'Data shares'!$C:$FA,121)*100</f>
        <v>0</v>
      </c>
      <c r="E101" s="143">
        <f>VLOOKUP($A101,'Data shares'!$C:$FA,124)</f>
        <v>0.52</v>
      </c>
      <c r="F101" s="143">
        <f>VLOOKUP($A101,'Data shares'!$C:$FA,125)</f>
        <v>0.59</v>
      </c>
      <c r="G101" s="143">
        <f>VLOOKUP($A101,'Data shares'!$C:$FA,127)*100</f>
        <v>-11.86</v>
      </c>
      <c r="H101" s="103">
        <f>VLOOKUP($A101,'OI(Volume)'!$A$7:$O$440,8)</f>
        <v>41625600</v>
      </c>
      <c r="I101" s="103">
        <f>VLOOKUP($A101,'OI(Volume)'!$A$7:$O$440,9)</f>
        <v>-12000</v>
      </c>
      <c r="J101" s="103">
        <f>VLOOKUP($A101,'OI(Volume)'!$A$7:$O$440,11)</f>
        <v>19366400</v>
      </c>
      <c r="K101" s="103">
        <f>VLOOKUP($A101,'OI(Volume)'!$A$7:$O$440,12)</f>
        <v>-153600</v>
      </c>
      <c r="L101" s="103">
        <f>VLOOKUP($A101,'OI(Value)'!$A$7:$O$323,8,0)</f>
        <v>5287</v>
      </c>
      <c r="M101" s="103">
        <f>VLOOKUP($A101,'OI(Value)'!$A$7:$O$323,9,0)</f>
        <v>-2</v>
      </c>
      <c r="N101" s="103">
        <f>VLOOKUP($A101,'OI(Value)'!$A$7:$O$323,11,0)</f>
        <v>2460</v>
      </c>
      <c r="O101" s="103">
        <f>VLOOKUP($A101,'OI(Value)'!$A$7:$O$323,12,0)</f>
        <v>-20</v>
      </c>
      <c r="P101" s="179">
        <f>VLOOKUP(A101,'OI(Value)'!A101:O319,8,0)</f>
        <v>5287</v>
      </c>
      <c r="Q101" s="179">
        <f>VLOOKUP(A101,'OI(Value)'!A101:O319,9,0)</f>
        <v>-2</v>
      </c>
      <c r="R101" s="179">
        <f>VLOOKUP(A101,'OI(Value)'!A101:O319,11,0)</f>
        <v>2460</v>
      </c>
      <c r="S101" s="179">
        <f>VLOOKUP(A101,'OI(Value)'!A101:O319,11,0)</f>
        <v>2460</v>
      </c>
    </row>
    <row r="102" spans="1:19" x14ac:dyDescent="0.25">
      <c r="A102" s="105" t="str">
        <f>'Data Vlaue (Cr)'!C97</f>
        <v>INOXWIND</v>
      </c>
      <c r="B102" s="143">
        <f>VLOOKUP($A102,'Data shares'!$C:$FA,118)</f>
        <v>0.68</v>
      </c>
      <c r="C102" s="143">
        <f>VLOOKUP($A102,'Data shares'!$C:$FA,119)</f>
        <v>0.65</v>
      </c>
      <c r="D102" s="143">
        <f>VLOOKUP($A102,'Data shares'!$C:$FA,121)*100</f>
        <v>4.62</v>
      </c>
      <c r="E102" s="143">
        <f>VLOOKUP($A102,'Data shares'!$C:$FA,124)</f>
        <v>0.22</v>
      </c>
      <c r="F102" s="143">
        <f>VLOOKUP($A102,'Data shares'!$C:$FA,125)</f>
        <v>0.32</v>
      </c>
      <c r="G102" s="143">
        <f>VLOOKUP($A102,'Data shares'!$C:$FA,127)*100</f>
        <v>-31.25</v>
      </c>
      <c r="H102" s="103">
        <f>VLOOKUP($A102,'OI(Volume)'!$A$7:$O$440,8)</f>
        <v>37083475</v>
      </c>
      <c r="I102" s="103">
        <f>VLOOKUP($A102,'OI(Volume)'!$A$7:$O$440,9)</f>
        <v>-1465750</v>
      </c>
      <c r="J102" s="103">
        <f>VLOOKUP($A102,'OI(Volume)'!$A$7:$O$440,11)</f>
        <v>25275250</v>
      </c>
      <c r="K102" s="103">
        <f>VLOOKUP($A102,'OI(Volume)'!$A$7:$O$440,12)</f>
        <v>239525</v>
      </c>
      <c r="L102" s="103">
        <f>VLOOKUP($A102,'OI(Value)'!$A$7:$O$323,8,0)</f>
        <v>311</v>
      </c>
      <c r="M102" s="103">
        <f>VLOOKUP($A102,'OI(Value)'!$A$7:$O$323,9,0)</f>
        <v>-12</v>
      </c>
      <c r="N102" s="103">
        <f>VLOOKUP($A102,'OI(Value)'!$A$7:$O$323,11,0)</f>
        <v>212</v>
      </c>
      <c r="O102" s="103">
        <f>VLOOKUP($A102,'OI(Value)'!$A$7:$O$323,12,0)</f>
        <v>2</v>
      </c>
      <c r="P102" s="179">
        <f>VLOOKUP(A102,'OI(Value)'!A102:O320,8,0)</f>
        <v>311</v>
      </c>
      <c r="Q102" s="179">
        <f>VLOOKUP(A102,'OI(Value)'!A102:O320,9,0)</f>
        <v>-12</v>
      </c>
      <c r="R102" s="179">
        <f>VLOOKUP(A102,'OI(Value)'!A102:O320,11,0)</f>
        <v>212</v>
      </c>
      <c r="S102" s="179">
        <f>VLOOKUP(A102,'OI(Value)'!A102:O320,11,0)</f>
        <v>212</v>
      </c>
    </row>
    <row r="103" spans="1:19" x14ac:dyDescent="0.25">
      <c r="A103" s="105" t="str">
        <f>'Data Vlaue (Cr)'!C98</f>
        <v>IOC</v>
      </c>
      <c r="B103" s="143">
        <f>VLOOKUP($A103,'Data shares'!$C:$FA,118)</f>
        <v>0.89</v>
      </c>
      <c r="C103" s="143">
        <f>VLOOKUP($A103,'Data shares'!$C:$FA,119)</f>
        <v>0.93</v>
      </c>
      <c r="D103" s="143">
        <f>VLOOKUP($A103,'Data shares'!$C:$FA,121)*100</f>
        <v>-4.3</v>
      </c>
      <c r="E103" s="143">
        <f>VLOOKUP($A103,'Data shares'!$C:$FA,124)</f>
        <v>1.01</v>
      </c>
      <c r="F103" s="143">
        <f>VLOOKUP($A103,'Data shares'!$C:$FA,125)</f>
        <v>0.94</v>
      </c>
      <c r="G103" s="143">
        <f>VLOOKUP($A103,'Data shares'!$C:$FA,127)*100</f>
        <v>7.4499999999999993</v>
      </c>
      <c r="H103" s="103">
        <f>VLOOKUP($A103,'OI(Volume)'!$A$7:$O$440,8)</f>
        <v>69907500</v>
      </c>
      <c r="I103" s="103">
        <f>VLOOKUP($A103,'OI(Volume)'!$A$7:$O$440,9)</f>
        <v>4558125</v>
      </c>
      <c r="J103" s="103">
        <f>VLOOKUP($A103,'OI(Volume)'!$A$7:$O$440,11)</f>
        <v>62068500</v>
      </c>
      <c r="K103" s="103">
        <f>VLOOKUP($A103,'OI(Volume)'!$A$7:$O$440,12)</f>
        <v>1267500</v>
      </c>
      <c r="L103" s="103">
        <f>VLOOKUP($A103,'OI(Value)'!$A$7:$O$323,8,0)</f>
        <v>1124</v>
      </c>
      <c r="M103" s="103">
        <f>VLOOKUP($A103,'OI(Value)'!$A$7:$O$323,9,0)</f>
        <v>73</v>
      </c>
      <c r="N103" s="103">
        <f>VLOOKUP($A103,'OI(Value)'!$A$7:$O$323,11,0)</f>
        <v>998</v>
      </c>
      <c r="O103" s="103">
        <f>VLOOKUP($A103,'OI(Value)'!$A$7:$O$323,12,0)</f>
        <v>20</v>
      </c>
      <c r="P103" s="179">
        <f>VLOOKUP(A103,'OI(Value)'!A103:O321,8,0)</f>
        <v>1124</v>
      </c>
      <c r="Q103" s="179">
        <f>VLOOKUP(A103,'OI(Value)'!A103:O321,9,0)</f>
        <v>73</v>
      </c>
      <c r="R103" s="179">
        <f>VLOOKUP(A103,'OI(Value)'!A103:O321,11,0)</f>
        <v>998</v>
      </c>
      <c r="S103" s="179">
        <f>VLOOKUP(A103,'OI(Value)'!A103:O321,11,0)</f>
        <v>998</v>
      </c>
    </row>
    <row r="104" spans="1:19" x14ac:dyDescent="0.25">
      <c r="A104" s="105" t="str">
        <f>'Data Vlaue (Cr)'!C99</f>
        <v>IREDA</v>
      </c>
      <c r="B104" s="143">
        <f>VLOOKUP($A104,'Data shares'!$C:$FA,118)</f>
        <v>0.66</v>
      </c>
      <c r="C104" s="143">
        <f>VLOOKUP($A104,'Data shares'!$C:$FA,119)</f>
        <v>0.67</v>
      </c>
      <c r="D104" s="143">
        <f>VLOOKUP($A104,'Data shares'!$C:$FA,121)*100</f>
        <v>-1.49</v>
      </c>
      <c r="E104" s="143">
        <f>VLOOKUP($A104,'Data shares'!$C:$FA,124)</f>
        <v>0.22</v>
      </c>
      <c r="F104" s="143">
        <f>VLOOKUP($A104,'Data shares'!$C:$FA,125)</f>
        <v>0.27</v>
      </c>
      <c r="G104" s="143">
        <f>VLOOKUP($A104,'Data shares'!$C:$FA,127)*100</f>
        <v>-18.52</v>
      </c>
      <c r="H104" s="103">
        <f>VLOOKUP($A104,'OI(Volume)'!$A$7:$O$440,8)</f>
        <v>28945500</v>
      </c>
      <c r="I104" s="103">
        <f>VLOOKUP($A104,'OI(Volume)'!$A$7:$O$440,9)</f>
        <v>-262200</v>
      </c>
      <c r="J104" s="103">
        <f>VLOOKUP($A104,'OI(Volume)'!$A$7:$O$440,11)</f>
        <v>19206150</v>
      </c>
      <c r="K104" s="103">
        <f>VLOOKUP($A104,'OI(Volume)'!$A$7:$O$440,12)</f>
        <v>-386400</v>
      </c>
      <c r="L104" s="103">
        <f>VLOOKUP($A104,'OI(Value)'!$A$7:$O$323,8,0)</f>
        <v>338</v>
      </c>
      <c r="M104" s="103">
        <f>VLOOKUP($A104,'OI(Value)'!$A$7:$O$323,9,0)</f>
        <v>-3</v>
      </c>
      <c r="N104" s="103">
        <f>VLOOKUP($A104,'OI(Value)'!$A$7:$O$323,11,0)</f>
        <v>224</v>
      </c>
      <c r="O104" s="103">
        <f>VLOOKUP($A104,'OI(Value)'!$A$7:$O$323,12,0)</f>
        <v>-5</v>
      </c>
      <c r="P104" s="179">
        <f>VLOOKUP(A104,'OI(Value)'!A104:O322,8,0)</f>
        <v>338</v>
      </c>
      <c r="Q104" s="179">
        <f>VLOOKUP(A104,'OI(Value)'!A104:O322,9,0)</f>
        <v>-3</v>
      </c>
      <c r="R104" s="179">
        <f>VLOOKUP(A104,'OI(Value)'!A104:O322,11,0)</f>
        <v>224</v>
      </c>
      <c r="S104" s="179">
        <f>VLOOKUP(A104,'OI(Value)'!A104:O322,11,0)</f>
        <v>224</v>
      </c>
    </row>
    <row r="105" spans="1:19" x14ac:dyDescent="0.25">
      <c r="A105" s="105" t="str">
        <f>'Data Vlaue (Cr)'!C100</f>
        <v>IRFC</v>
      </c>
      <c r="B105" s="143">
        <f>VLOOKUP($A105,'Data shares'!$C:$FA,118)</f>
        <v>0.57999999999999996</v>
      </c>
      <c r="C105" s="143">
        <f>VLOOKUP($A105,'Data shares'!$C:$FA,119)</f>
        <v>0.56999999999999995</v>
      </c>
      <c r="D105" s="143">
        <f>VLOOKUP($A105,'Data shares'!$C:$FA,121)*100</f>
        <v>1.7500000000000002</v>
      </c>
      <c r="E105" s="143">
        <f>VLOOKUP($A105,'Data shares'!$C:$FA,124)</f>
        <v>0.34</v>
      </c>
      <c r="F105" s="143">
        <f>VLOOKUP($A105,'Data shares'!$C:$FA,125)</f>
        <v>0.35</v>
      </c>
      <c r="G105" s="143">
        <f>VLOOKUP($A105,'Data shares'!$C:$FA,127)*100</f>
        <v>-2.86</v>
      </c>
      <c r="H105" s="103">
        <f>VLOOKUP($A105,'OI(Volume)'!$A$7:$O$440,8)</f>
        <v>82518000</v>
      </c>
      <c r="I105" s="103">
        <f>VLOOKUP($A105,'OI(Volume)'!$A$7:$O$440,9)</f>
        <v>34000</v>
      </c>
      <c r="J105" s="103">
        <f>VLOOKUP($A105,'OI(Volume)'!$A$7:$O$440,11)</f>
        <v>47540500</v>
      </c>
      <c r="K105" s="103">
        <f>VLOOKUP($A105,'OI(Volume)'!$A$7:$O$440,12)</f>
        <v>408000</v>
      </c>
      <c r="L105" s="103">
        <f>VLOOKUP($A105,'OI(Value)'!$A$7:$O$323,8,0)</f>
        <v>816</v>
      </c>
      <c r="M105" s="103">
        <f>VLOOKUP($A105,'OI(Value)'!$A$7:$O$323,9,0)</f>
        <v>0</v>
      </c>
      <c r="N105" s="103">
        <f>VLOOKUP($A105,'OI(Value)'!$A$7:$O$323,11,0)</f>
        <v>470</v>
      </c>
      <c r="O105" s="103">
        <f>VLOOKUP($A105,'OI(Value)'!$A$7:$O$323,12,0)</f>
        <v>4</v>
      </c>
      <c r="P105" s="179">
        <f>VLOOKUP(A105,'OI(Value)'!A105:O323,8,0)</f>
        <v>816</v>
      </c>
      <c r="Q105" s="179">
        <f>VLOOKUP(A105,'OI(Value)'!A105:O323,9,0)</f>
        <v>0</v>
      </c>
      <c r="R105" s="179">
        <f>VLOOKUP(A105,'OI(Value)'!A105:O323,11,0)</f>
        <v>470</v>
      </c>
      <c r="S105" s="179">
        <f>VLOOKUP(A105,'OI(Value)'!A105:O323,11,0)</f>
        <v>470</v>
      </c>
    </row>
    <row r="106" spans="1:19" x14ac:dyDescent="0.25">
      <c r="A106" s="105" t="str">
        <f>'Data Vlaue (Cr)'!C101</f>
        <v>ITC</v>
      </c>
      <c r="B106" s="143">
        <f>VLOOKUP($A106,'Data shares'!$C:$FA,118)</f>
        <v>0.45</v>
      </c>
      <c r="C106" s="143">
        <f>VLOOKUP($A106,'Data shares'!$C:$FA,119)</f>
        <v>0.44</v>
      </c>
      <c r="D106" s="143">
        <f>VLOOKUP($A106,'Data shares'!$C:$FA,121)*100</f>
        <v>2.27</v>
      </c>
      <c r="E106" s="143">
        <f>VLOOKUP($A106,'Data shares'!$C:$FA,124)</f>
        <v>0.35</v>
      </c>
      <c r="F106" s="143">
        <f>VLOOKUP($A106,'Data shares'!$C:$FA,125)</f>
        <v>0.42</v>
      </c>
      <c r="G106" s="143">
        <f>VLOOKUP($A106,'Data shares'!$C:$FA,127)*100</f>
        <v>-16.669999999999998</v>
      </c>
      <c r="H106" s="103">
        <f>VLOOKUP($A106,'OI(Volume)'!$A$7:$O$440,8)</f>
        <v>121761600</v>
      </c>
      <c r="I106" s="103">
        <f>VLOOKUP($A106,'OI(Volume)'!$A$7:$O$440,9)</f>
        <v>2187200</v>
      </c>
      <c r="J106" s="103">
        <f>VLOOKUP($A106,'OI(Volume)'!$A$7:$O$440,11)</f>
        <v>54900800</v>
      </c>
      <c r="K106" s="103">
        <f>VLOOKUP($A106,'OI(Volume)'!$A$7:$O$440,12)</f>
        <v>1782400</v>
      </c>
      <c r="L106" s="103">
        <f>VLOOKUP($A106,'OI(Value)'!$A$7:$O$323,8,0)</f>
        <v>3713</v>
      </c>
      <c r="M106" s="103">
        <f>VLOOKUP($A106,'OI(Value)'!$A$7:$O$323,9,0)</f>
        <v>67</v>
      </c>
      <c r="N106" s="103">
        <f>VLOOKUP($A106,'OI(Value)'!$A$7:$O$323,11,0)</f>
        <v>1674</v>
      </c>
      <c r="O106" s="103">
        <f>VLOOKUP($A106,'OI(Value)'!$A$7:$O$323,12,0)</f>
        <v>54</v>
      </c>
      <c r="P106" s="179">
        <f>VLOOKUP(A106,'OI(Value)'!A106:O324,8,0)</f>
        <v>3713</v>
      </c>
      <c r="Q106" s="179">
        <f>VLOOKUP(A106,'OI(Value)'!A106:O324,9,0)</f>
        <v>67</v>
      </c>
      <c r="R106" s="179">
        <f>VLOOKUP(A106,'OI(Value)'!A106:O324,11,0)</f>
        <v>1674</v>
      </c>
      <c r="S106" s="179">
        <f>VLOOKUP(A106,'OI(Value)'!A106:O324,11,0)</f>
        <v>1674</v>
      </c>
    </row>
    <row r="107" spans="1:19" x14ac:dyDescent="0.25">
      <c r="A107" s="105" t="str">
        <f>'Data Vlaue (Cr)'!C102</f>
        <v>JINDALSTEL</v>
      </c>
      <c r="B107" s="143">
        <f>VLOOKUP($A107,'Data shares'!$C:$FA,118)</f>
        <v>1.1299999999999999</v>
      </c>
      <c r="C107" s="143">
        <f>VLOOKUP($A107,'Data shares'!$C:$FA,119)</f>
        <v>1.03</v>
      </c>
      <c r="D107" s="143">
        <f>VLOOKUP($A107,'Data shares'!$C:$FA,121)*100</f>
        <v>9.7100000000000009</v>
      </c>
      <c r="E107" s="143">
        <f>VLOOKUP($A107,'Data shares'!$C:$FA,124)</f>
        <v>0.61</v>
      </c>
      <c r="F107" s="143">
        <f>VLOOKUP($A107,'Data shares'!$C:$FA,125)</f>
        <v>0.64</v>
      </c>
      <c r="G107" s="143">
        <f>VLOOKUP($A107,'Data shares'!$C:$FA,127)*100</f>
        <v>-4.6899999999999995</v>
      </c>
      <c r="H107" s="103">
        <f>VLOOKUP($A107,'OI(Volume)'!$A$7:$O$440,8)</f>
        <v>3258750</v>
      </c>
      <c r="I107" s="103">
        <f>VLOOKUP($A107,'OI(Volume)'!$A$7:$O$440,9)</f>
        <v>-154375</v>
      </c>
      <c r="J107" s="103">
        <f>VLOOKUP($A107,'OI(Volume)'!$A$7:$O$440,11)</f>
        <v>3684375</v>
      </c>
      <c r="K107" s="103">
        <f>VLOOKUP($A107,'OI(Volume)'!$A$7:$O$440,12)</f>
        <v>170625</v>
      </c>
      <c r="L107" s="103">
        <f>VLOOKUP($A107,'OI(Value)'!$A$7:$O$323,8,0)</f>
        <v>400</v>
      </c>
      <c r="M107" s="103">
        <f>VLOOKUP($A107,'OI(Value)'!$A$7:$O$323,9,0)</f>
        <v>-19</v>
      </c>
      <c r="N107" s="103">
        <f>VLOOKUP($A107,'OI(Value)'!$A$7:$O$323,11,0)</f>
        <v>452</v>
      </c>
      <c r="O107" s="103">
        <f>VLOOKUP($A107,'OI(Value)'!$A$7:$O$323,12,0)</f>
        <v>21</v>
      </c>
      <c r="P107" s="179">
        <f>VLOOKUP(A107,'OI(Value)'!A107:O325,8,0)</f>
        <v>400</v>
      </c>
      <c r="Q107" s="179">
        <f>VLOOKUP(A107,'OI(Value)'!A107:O325,9,0)</f>
        <v>-19</v>
      </c>
      <c r="R107" s="179">
        <f>VLOOKUP(A107,'OI(Value)'!A107:O325,11,0)</f>
        <v>452</v>
      </c>
      <c r="S107" s="179">
        <f>VLOOKUP(A107,'OI(Value)'!A107:O325,11,0)</f>
        <v>452</v>
      </c>
    </row>
    <row r="108" spans="1:19" x14ac:dyDescent="0.25">
      <c r="A108" s="105" t="str">
        <f>'Data Vlaue (Cr)'!C103</f>
        <v>JIOFIN</v>
      </c>
      <c r="B108" s="143">
        <f>VLOOKUP($A108,'Data shares'!$C:$FA,118)</f>
        <v>0.81</v>
      </c>
      <c r="C108" s="143">
        <f>VLOOKUP($A108,'Data shares'!$C:$FA,119)</f>
        <v>0.8</v>
      </c>
      <c r="D108" s="143">
        <f>VLOOKUP($A108,'Data shares'!$C:$FA,121)*100</f>
        <v>1.25</v>
      </c>
      <c r="E108" s="143">
        <f>VLOOKUP($A108,'Data shares'!$C:$FA,124)</f>
        <v>0.33</v>
      </c>
      <c r="F108" s="143">
        <f>VLOOKUP($A108,'Data shares'!$C:$FA,125)</f>
        <v>0.35</v>
      </c>
      <c r="G108" s="143">
        <f>VLOOKUP($A108,'Data shares'!$C:$FA,127)*100</f>
        <v>-5.71</v>
      </c>
      <c r="H108" s="103">
        <f>VLOOKUP($A108,'OI(Volume)'!$A$7:$O$440,8)</f>
        <v>52054850</v>
      </c>
      <c r="I108" s="103">
        <f>VLOOKUP($A108,'OI(Volume)'!$A$7:$O$440,9)</f>
        <v>138650</v>
      </c>
      <c r="J108" s="103">
        <f>VLOOKUP($A108,'OI(Volume)'!$A$7:$O$440,11)</f>
        <v>42151950</v>
      </c>
      <c r="K108" s="103">
        <f>VLOOKUP($A108,'OI(Volume)'!$A$7:$O$440,12)</f>
        <v>780200</v>
      </c>
      <c r="L108" s="103">
        <f>VLOOKUP($A108,'OI(Value)'!$A$7:$O$323,8,0)</f>
        <v>1263</v>
      </c>
      <c r="M108" s="103">
        <f>VLOOKUP($A108,'OI(Value)'!$A$7:$O$323,9,0)</f>
        <v>3</v>
      </c>
      <c r="N108" s="103">
        <f>VLOOKUP($A108,'OI(Value)'!$A$7:$O$323,11,0)</f>
        <v>1023</v>
      </c>
      <c r="O108" s="103">
        <f>VLOOKUP($A108,'OI(Value)'!$A$7:$O$323,12,0)</f>
        <v>19</v>
      </c>
      <c r="P108" s="179">
        <f>VLOOKUP(A108,'OI(Value)'!A108:O326,8,0)</f>
        <v>1263</v>
      </c>
      <c r="Q108" s="179">
        <f>VLOOKUP(A108,'OI(Value)'!A108:O326,9,0)</f>
        <v>3</v>
      </c>
      <c r="R108" s="179">
        <f>VLOOKUP(A108,'OI(Value)'!A108:O326,11,0)</f>
        <v>1023</v>
      </c>
      <c r="S108" s="179">
        <f>VLOOKUP(A108,'OI(Value)'!A108:O326,11,0)</f>
        <v>1023</v>
      </c>
    </row>
    <row r="109" spans="1:19" x14ac:dyDescent="0.25">
      <c r="A109" s="105" t="str">
        <f>'Data Vlaue (Cr)'!C104</f>
        <v>JSWENERGY</v>
      </c>
      <c r="B109" s="143">
        <f>VLOOKUP($A109,'Data shares'!$C:$FA,118)</f>
        <v>0.81</v>
      </c>
      <c r="C109" s="143">
        <f>VLOOKUP($A109,'Data shares'!$C:$FA,119)</f>
        <v>0.75</v>
      </c>
      <c r="D109" s="143">
        <f>VLOOKUP($A109,'Data shares'!$C:$FA,121)*100</f>
        <v>8</v>
      </c>
      <c r="E109" s="143">
        <f>VLOOKUP($A109,'Data shares'!$C:$FA,124)</f>
        <v>0.27</v>
      </c>
      <c r="F109" s="143">
        <f>VLOOKUP($A109,'Data shares'!$C:$FA,125)</f>
        <v>0.38</v>
      </c>
      <c r="G109" s="143">
        <f>VLOOKUP($A109,'Data shares'!$C:$FA,127)*100</f>
        <v>-28.95</v>
      </c>
      <c r="H109" s="103">
        <f>VLOOKUP($A109,'OI(Volume)'!$A$7:$O$440,8)</f>
        <v>7087000</v>
      </c>
      <c r="I109" s="103">
        <f>VLOOKUP($A109,'OI(Volume)'!$A$7:$O$440,9)</f>
        <v>978000</v>
      </c>
      <c r="J109" s="103">
        <f>VLOOKUP($A109,'OI(Volume)'!$A$7:$O$440,11)</f>
        <v>5727000</v>
      </c>
      <c r="K109" s="103">
        <f>VLOOKUP($A109,'OI(Volume)'!$A$7:$O$440,12)</f>
        <v>1155000</v>
      </c>
      <c r="L109" s="103">
        <f>VLOOKUP($A109,'OI(Value)'!$A$7:$O$323,8,0)</f>
        <v>369</v>
      </c>
      <c r="M109" s="103">
        <f>VLOOKUP($A109,'OI(Value)'!$A$7:$O$323,9,0)</f>
        <v>51</v>
      </c>
      <c r="N109" s="103">
        <f>VLOOKUP($A109,'OI(Value)'!$A$7:$O$323,11,0)</f>
        <v>298</v>
      </c>
      <c r="O109" s="103">
        <f>VLOOKUP($A109,'OI(Value)'!$A$7:$O$323,12,0)</f>
        <v>60</v>
      </c>
      <c r="P109" s="179">
        <f>VLOOKUP(A109,'OI(Value)'!A109:O327,8,0)</f>
        <v>369</v>
      </c>
      <c r="Q109" s="179">
        <f>VLOOKUP(A109,'OI(Value)'!A109:O327,9,0)</f>
        <v>51</v>
      </c>
      <c r="R109" s="179">
        <f>VLOOKUP(A109,'OI(Value)'!A109:O327,11,0)</f>
        <v>298</v>
      </c>
      <c r="S109" s="179">
        <f>VLOOKUP(A109,'OI(Value)'!A109:O327,11,0)</f>
        <v>298</v>
      </c>
    </row>
    <row r="110" spans="1:19" x14ac:dyDescent="0.25">
      <c r="A110" s="105" t="str">
        <f>'Data Vlaue (Cr)'!C105</f>
        <v>JSWSTEEL</v>
      </c>
      <c r="B110" s="143">
        <f>VLOOKUP($A110,'Data shares'!$C:$FA,118)</f>
        <v>0.52</v>
      </c>
      <c r="C110" s="143">
        <f>VLOOKUP($A110,'Data shares'!$C:$FA,119)</f>
        <v>0.52</v>
      </c>
      <c r="D110" s="143">
        <f>VLOOKUP($A110,'Data shares'!$C:$FA,121)*100</f>
        <v>0</v>
      </c>
      <c r="E110" s="143">
        <f>VLOOKUP($A110,'Data shares'!$C:$FA,124)</f>
        <v>0.56000000000000005</v>
      </c>
      <c r="F110" s="143">
        <f>VLOOKUP($A110,'Data shares'!$C:$FA,125)</f>
        <v>0.78</v>
      </c>
      <c r="G110" s="143">
        <f>VLOOKUP($A110,'Data shares'!$C:$FA,127)*100</f>
        <v>-28.21</v>
      </c>
      <c r="H110" s="103">
        <f>VLOOKUP($A110,'OI(Volume)'!$A$7:$O$440,8)</f>
        <v>7196850</v>
      </c>
      <c r="I110" s="103">
        <f>VLOOKUP($A110,'OI(Volume)'!$A$7:$O$440,9)</f>
        <v>263925</v>
      </c>
      <c r="J110" s="103">
        <f>VLOOKUP($A110,'OI(Volume)'!$A$7:$O$440,11)</f>
        <v>3722625</v>
      </c>
      <c r="K110" s="103">
        <f>VLOOKUP($A110,'OI(Volume)'!$A$7:$O$440,12)</f>
        <v>147150</v>
      </c>
      <c r="L110" s="103">
        <f>VLOOKUP($A110,'OI(Value)'!$A$7:$O$323,8,0)</f>
        <v>845</v>
      </c>
      <c r="M110" s="103">
        <f>VLOOKUP($A110,'OI(Value)'!$A$7:$O$323,9,0)</f>
        <v>31</v>
      </c>
      <c r="N110" s="103">
        <f>VLOOKUP($A110,'OI(Value)'!$A$7:$O$323,11,0)</f>
        <v>437</v>
      </c>
      <c r="O110" s="103">
        <f>VLOOKUP($A110,'OI(Value)'!$A$7:$O$323,12,0)</f>
        <v>17</v>
      </c>
      <c r="P110" s="179">
        <f>VLOOKUP(A110,'OI(Value)'!A110:O328,8,0)</f>
        <v>845</v>
      </c>
      <c r="Q110" s="179">
        <f>VLOOKUP(A110,'OI(Value)'!A110:O328,9,0)</f>
        <v>31</v>
      </c>
      <c r="R110" s="179">
        <f>VLOOKUP(A110,'OI(Value)'!A110:O328,11,0)</f>
        <v>437</v>
      </c>
      <c r="S110" s="179">
        <f>VLOOKUP(A110,'OI(Value)'!A110:O328,11,0)</f>
        <v>437</v>
      </c>
    </row>
    <row r="111" spans="1:19" x14ac:dyDescent="0.25">
      <c r="A111" s="105" t="str">
        <f>'Data Vlaue (Cr)'!C106</f>
        <v>JUBLFOOD</v>
      </c>
      <c r="B111" s="143">
        <f>VLOOKUP($A111,'Data shares'!$C:$FA,118)</f>
        <v>0.73</v>
      </c>
      <c r="C111" s="143">
        <f>VLOOKUP($A111,'Data shares'!$C:$FA,119)</f>
        <v>0.72</v>
      </c>
      <c r="D111" s="143">
        <f>VLOOKUP($A111,'Data shares'!$C:$FA,121)*100</f>
        <v>1.39</v>
      </c>
      <c r="E111" s="143">
        <f>VLOOKUP($A111,'Data shares'!$C:$FA,124)</f>
        <v>1.29</v>
      </c>
      <c r="F111" s="143">
        <f>VLOOKUP($A111,'Data shares'!$C:$FA,125)</f>
        <v>1.1599999999999999</v>
      </c>
      <c r="G111" s="143">
        <f>VLOOKUP($A111,'Data shares'!$C:$FA,127)*100</f>
        <v>11.21</v>
      </c>
      <c r="H111" s="103">
        <f>VLOOKUP($A111,'OI(Volume)'!$A$7:$O$440,8)</f>
        <v>9268750</v>
      </c>
      <c r="I111" s="103">
        <f>VLOOKUP($A111,'OI(Volume)'!$A$7:$O$440,9)</f>
        <v>748750</v>
      </c>
      <c r="J111" s="103">
        <f>VLOOKUP($A111,'OI(Volume)'!$A$7:$O$440,11)</f>
        <v>6777500</v>
      </c>
      <c r="K111" s="103">
        <f>VLOOKUP($A111,'OI(Volume)'!$A$7:$O$440,12)</f>
        <v>638750</v>
      </c>
      <c r="L111" s="103">
        <f>VLOOKUP($A111,'OI(Value)'!$A$7:$O$323,8,0)</f>
        <v>428</v>
      </c>
      <c r="M111" s="103">
        <f>VLOOKUP($A111,'OI(Value)'!$A$7:$O$323,9,0)</f>
        <v>35</v>
      </c>
      <c r="N111" s="103">
        <f>VLOOKUP($A111,'OI(Value)'!$A$7:$O$323,11,0)</f>
        <v>313</v>
      </c>
      <c r="O111" s="103">
        <f>VLOOKUP($A111,'OI(Value)'!$A$7:$O$323,12,0)</f>
        <v>30</v>
      </c>
      <c r="P111" s="179">
        <f>VLOOKUP(A111,'OI(Value)'!A111:O329,8,0)</f>
        <v>428</v>
      </c>
      <c r="Q111" s="179">
        <f>VLOOKUP(A111,'OI(Value)'!A111:O329,9,0)</f>
        <v>35</v>
      </c>
      <c r="R111" s="179">
        <f>VLOOKUP(A111,'OI(Value)'!A111:O329,11,0)</f>
        <v>313</v>
      </c>
      <c r="S111" s="179">
        <f>VLOOKUP(A111,'OI(Value)'!A111:O329,11,0)</f>
        <v>313</v>
      </c>
    </row>
    <row r="112" spans="1:19" x14ac:dyDescent="0.25">
      <c r="A112" s="105" t="str">
        <f>'Data Vlaue (Cr)'!C107</f>
        <v>KALYANKJIL</v>
      </c>
      <c r="B112" s="143">
        <f>VLOOKUP($A112,'Data shares'!$C:$FA,118)</f>
        <v>0.59</v>
      </c>
      <c r="C112" s="143">
        <f>VLOOKUP($A112,'Data shares'!$C:$FA,119)</f>
        <v>0.57999999999999996</v>
      </c>
      <c r="D112" s="143">
        <f>VLOOKUP($A112,'Data shares'!$C:$FA,121)*100</f>
        <v>1.72</v>
      </c>
      <c r="E112" s="143">
        <f>VLOOKUP($A112,'Data shares'!$C:$FA,124)</f>
        <v>0.56000000000000005</v>
      </c>
      <c r="F112" s="143">
        <f>VLOOKUP($A112,'Data shares'!$C:$FA,125)</f>
        <v>0.39</v>
      </c>
      <c r="G112" s="143">
        <f>VLOOKUP($A112,'Data shares'!$C:$FA,127)*100</f>
        <v>43.59</v>
      </c>
      <c r="H112" s="103">
        <f>VLOOKUP($A112,'OI(Volume)'!$A$7:$O$440,8)</f>
        <v>9014600</v>
      </c>
      <c r="I112" s="103">
        <f>VLOOKUP($A112,'OI(Volume)'!$A$7:$O$440,9)</f>
        <v>157450</v>
      </c>
      <c r="J112" s="103">
        <f>VLOOKUP($A112,'OI(Volume)'!$A$7:$O$440,11)</f>
        <v>5294550</v>
      </c>
      <c r="K112" s="103">
        <f>VLOOKUP($A112,'OI(Volume)'!$A$7:$O$440,12)</f>
        <v>116325</v>
      </c>
      <c r="L112" s="103">
        <f>VLOOKUP($A112,'OI(Value)'!$A$7:$O$323,8,0)</f>
        <v>352</v>
      </c>
      <c r="M112" s="103">
        <f>VLOOKUP($A112,'OI(Value)'!$A$7:$O$323,9,0)</f>
        <v>6</v>
      </c>
      <c r="N112" s="103">
        <f>VLOOKUP($A112,'OI(Value)'!$A$7:$O$323,11,0)</f>
        <v>207</v>
      </c>
      <c r="O112" s="103">
        <f>VLOOKUP($A112,'OI(Value)'!$A$7:$O$323,12,0)</f>
        <v>5</v>
      </c>
      <c r="P112" s="179">
        <f>VLOOKUP(A112,'OI(Value)'!A112:O330,8,0)</f>
        <v>352</v>
      </c>
      <c r="Q112" s="179">
        <f>VLOOKUP(A112,'OI(Value)'!A112:O330,9,0)</f>
        <v>6</v>
      </c>
      <c r="R112" s="179">
        <f>VLOOKUP(A112,'OI(Value)'!A112:O330,11,0)</f>
        <v>207</v>
      </c>
      <c r="S112" s="179">
        <f>VLOOKUP(A112,'OI(Value)'!A112:O330,11,0)</f>
        <v>207</v>
      </c>
    </row>
    <row r="113" spans="1:19" x14ac:dyDescent="0.25">
      <c r="A113" s="105" t="str">
        <f>'Data Vlaue (Cr)'!C108</f>
        <v>KAYNES</v>
      </c>
      <c r="B113" s="143">
        <f>VLOOKUP($A113,'Data shares'!$C:$FA,118)</f>
        <v>0.77</v>
      </c>
      <c r="C113" s="143">
        <f>VLOOKUP($A113,'Data shares'!$C:$FA,119)</f>
        <v>0.82</v>
      </c>
      <c r="D113" s="143">
        <f>VLOOKUP($A113,'Data shares'!$C:$FA,121)*100</f>
        <v>-6.1</v>
      </c>
      <c r="E113" s="143">
        <f>VLOOKUP($A113,'Data shares'!$C:$FA,124)</f>
        <v>0.34</v>
      </c>
      <c r="F113" s="143">
        <f>VLOOKUP($A113,'Data shares'!$C:$FA,125)</f>
        <v>0.25</v>
      </c>
      <c r="G113" s="143">
        <f>VLOOKUP($A113,'Data shares'!$C:$FA,127)*100</f>
        <v>36</v>
      </c>
      <c r="H113" s="103">
        <f>VLOOKUP($A113,'OI(Volume)'!$A$7:$O$440,8)</f>
        <v>1765000</v>
      </c>
      <c r="I113" s="103">
        <f>VLOOKUP($A113,'OI(Volume)'!$A$7:$O$440,9)</f>
        <v>130900</v>
      </c>
      <c r="J113" s="103">
        <f>VLOOKUP($A113,'OI(Volume)'!$A$7:$O$440,11)</f>
        <v>1350900</v>
      </c>
      <c r="K113" s="103">
        <f>VLOOKUP($A113,'OI(Volume)'!$A$7:$O$440,12)</f>
        <v>3000</v>
      </c>
      <c r="L113" s="103">
        <f>VLOOKUP($A113,'OI(Value)'!$A$7:$O$323,8,0)</f>
        <v>655</v>
      </c>
      <c r="M113" s="103">
        <f>VLOOKUP($A113,'OI(Value)'!$A$7:$O$323,9,0)</f>
        <v>49</v>
      </c>
      <c r="N113" s="103">
        <f>VLOOKUP($A113,'OI(Value)'!$A$7:$O$323,11,0)</f>
        <v>501</v>
      </c>
      <c r="O113" s="103">
        <f>VLOOKUP($A113,'OI(Value)'!$A$7:$O$323,12,0)</f>
        <v>1</v>
      </c>
      <c r="P113" s="179">
        <f>VLOOKUP(A113,'OI(Value)'!A113:O331,8,0)</f>
        <v>655</v>
      </c>
      <c r="Q113" s="179">
        <f>VLOOKUP(A113,'OI(Value)'!A113:O331,9,0)</f>
        <v>49</v>
      </c>
      <c r="R113" s="179">
        <f>VLOOKUP(A113,'OI(Value)'!A113:O331,11,0)</f>
        <v>501</v>
      </c>
      <c r="S113" s="179">
        <f>VLOOKUP(A113,'OI(Value)'!A113:O331,11,0)</f>
        <v>501</v>
      </c>
    </row>
    <row r="114" spans="1:19" x14ac:dyDescent="0.25">
      <c r="A114" s="105" t="str">
        <f>'Data Vlaue (Cr)'!C109</f>
        <v>KEI</v>
      </c>
      <c r="B114" s="143">
        <f>VLOOKUP($A114,'Data shares'!$C:$FA,118)</f>
        <v>0.79</v>
      </c>
      <c r="C114" s="143">
        <f>VLOOKUP($A114,'Data shares'!$C:$FA,119)</f>
        <v>0.83</v>
      </c>
      <c r="D114" s="143">
        <f>VLOOKUP($A114,'Data shares'!$C:$FA,121)*100</f>
        <v>-4.82</v>
      </c>
      <c r="E114" s="143">
        <f>VLOOKUP($A114,'Data shares'!$C:$FA,124)</f>
        <v>0.48</v>
      </c>
      <c r="F114" s="143">
        <f>VLOOKUP($A114,'Data shares'!$C:$FA,125)</f>
        <v>1.68</v>
      </c>
      <c r="G114" s="143">
        <f>VLOOKUP($A114,'Data shares'!$C:$FA,127)*100</f>
        <v>-71.430000000000007</v>
      </c>
      <c r="H114" s="103">
        <f>VLOOKUP($A114,'OI(Volume)'!$A$7:$O$440,8)</f>
        <v>976850</v>
      </c>
      <c r="I114" s="103">
        <f>VLOOKUP($A114,'OI(Volume)'!$A$7:$O$440,9)</f>
        <v>23450</v>
      </c>
      <c r="J114" s="103">
        <f>VLOOKUP($A114,'OI(Volume)'!$A$7:$O$440,11)</f>
        <v>770350</v>
      </c>
      <c r="K114" s="103">
        <f>VLOOKUP($A114,'OI(Volume)'!$A$7:$O$440,12)</f>
        <v>-25725</v>
      </c>
      <c r="L114" s="103">
        <f>VLOOKUP($A114,'OI(Value)'!$A$7:$O$323,8,0)</f>
        <v>424</v>
      </c>
      <c r="M114" s="103">
        <f>VLOOKUP($A114,'OI(Value)'!$A$7:$O$323,9,0)</f>
        <v>10</v>
      </c>
      <c r="N114" s="103">
        <f>VLOOKUP($A114,'OI(Value)'!$A$7:$O$323,11,0)</f>
        <v>334</v>
      </c>
      <c r="O114" s="103">
        <f>VLOOKUP($A114,'OI(Value)'!$A$7:$O$323,12,0)</f>
        <v>-11</v>
      </c>
      <c r="P114" s="179">
        <f>VLOOKUP(A114,'OI(Value)'!A114:O332,8,0)</f>
        <v>424</v>
      </c>
      <c r="Q114" s="179">
        <f>VLOOKUP(A114,'OI(Value)'!A114:O332,9,0)</f>
        <v>10</v>
      </c>
      <c r="R114" s="179">
        <f>VLOOKUP(A114,'OI(Value)'!A114:O332,11,0)</f>
        <v>334</v>
      </c>
      <c r="S114" s="179">
        <f>VLOOKUP(A114,'OI(Value)'!A114:O332,11,0)</f>
        <v>334</v>
      </c>
    </row>
    <row r="115" spans="1:19" x14ac:dyDescent="0.25">
      <c r="A115" s="105" t="str">
        <f>'Data Vlaue (Cr)'!C110</f>
        <v>KFINTECH</v>
      </c>
      <c r="B115" s="143">
        <f>VLOOKUP($A115,'Data shares'!$C:$FA,118)</f>
        <v>0.6</v>
      </c>
      <c r="C115" s="143">
        <f>VLOOKUP($A115,'Data shares'!$C:$FA,119)</f>
        <v>0.57999999999999996</v>
      </c>
      <c r="D115" s="143">
        <f>VLOOKUP($A115,'Data shares'!$C:$FA,121)*100</f>
        <v>3.45</v>
      </c>
      <c r="E115" s="143">
        <f>VLOOKUP($A115,'Data shares'!$C:$FA,124)</f>
        <v>0.64</v>
      </c>
      <c r="F115" s="143">
        <f>VLOOKUP($A115,'Data shares'!$C:$FA,125)</f>
        <v>0.48</v>
      </c>
      <c r="G115" s="143">
        <f>VLOOKUP($A115,'Data shares'!$C:$FA,127)*100</f>
        <v>33.33</v>
      </c>
      <c r="H115" s="103">
        <f>VLOOKUP($A115,'OI(Volume)'!$A$7:$O$440,8)</f>
        <v>1875000</v>
      </c>
      <c r="I115" s="103">
        <f>VLOOKUP($A115,'OI(Volume)'!$A$7:$O$440,9)</f>
        <v>-65000</v>
      </c>
      <c r="J115" s="103">
        <f>VLOOKUP($A115,'OI(Volume)'!$A$7:$O$440,11)</f>
        <v>1131000</v>
      </c>
      <c r="K115" s="103">
        <f>VLOOKUP($A115,'OI(Volume)'!$A$7:$O$440,12)</f>
        <v>15000</v>
      </c>
      <c r="L115" s="103">
        <f>VLOOKUP($A115,'OI(Value)'!$A$7:$O$323,8,0)</f>
        <v>171</v>
      </c>
      <c r="M115" s="103">
        <f>VLOOKUP($A115,'OI(Value)'!$A$7:$O$323,9,0)</f>
        <v>-6</v>
      </c>
      <c r="N115" s="103">
        <f>VLOOKUP($A115,'OI(Value)'!$A$7:$O$323,11,0)</f>
        <v>103</v>
      </c>
      <c r="O115" s="103">
        <f>VLOOKUP($A115,'OI(Value)'!$A$7:$O$323,12,0)</f>
        <v>1</v>
      </c>
      <c r="P115" s="179">
        <f>VLOOKUP(A115,'OI(Value)'!A115:O333,8,0)</f>
        <v>171</v>
      </c>
      <c r="Q115" s="179">
        <f>VLOOKUP(A115,'OI(Value)'!A115:O333,9,0)</f>
        <v>-6</v>
      </c>
      <c r="R115" s="179">
        <f>VLOOKUP(A115,'OI(Value)'!A115:O333,11,0)</f>
        <v>103</v>
      </c>
      <c r="S115" s="179">
        <f>VLOOKUP(A115,'OI(Value)'!A115:O333,11,0)</f>
        <v>103</v>
      </c>
    </row>
    <row r="116" spans="1:19" x14ac:dyDescent="0.25">
      <c r="A116" s="105" t="str">
        <f>'Data Vlaue (Cr)'!C111</f>
        <v>KOTAKBANK</v>
      </c>
      <c r="B116" s="143">
        <f>VLOOKUP($A116,'Data shares'!$C:$FA,118)</f>
        <v>0.64</v>
      </c>
      <c r="C116" s="143">
        <f>VLOOKUP($A116,'Data shares'!$C:$FA,119)</f>
        <v>0.67</v>
      </c>
      <c r="D116" s="143">
        <f>VLOOKUP($A116,'Data shares'!$C:$FA,121)*100</f>
        <v>-4.4799999999999995</v>
      </c>
      <c r="E116" s="143">
        <f>VLOOKUP($A116,'Data shares'!$C:$FA,124)</f>
        <v>0.62</v>
      </c>
      <c r="F116" s="143">
        <f>VLOOKUP($A116,'Data shares'!$C:$FA,125)</f>
        <v>0.84</v>
      </c>
      <c r="G116" s="143">
        <f>VLOOKUP($A116,'Data shares'!$C:$FA,127)*100</f>
        <v>-26.19</v>
      </c>
      <c r="H116" s="103">
        <f>VLOOKUP($A116,'OI(Volume)'!$A$7:$O$440,8)</f>
        <v>38688000</v>
      </c>
      <c r="I116" s="103">
        <f>VLOOKUP($A116,'OI(Volume)'!$A$7:$O$440,9)</f>
        <v>2174000</v>
      </c>
      <c r="J116" s="103">
        <f>VLOOKUP($A116,'OI(Volume)'!$A$7:$O$440,11)</f>
        <v>24886000</v>
      </c>
      <c r="K116" s="103">
        <f>VLOOKUP($A116,'OI(Volume)'!$A$7:$O$440,12)</f>
        <v>564000</v>
      </c>
      <c r="L116" s="103">
        <f>VLOOKUP($A116,'OI(Value)'!$A$7:$O$323,8,0)</f>
        <v>1458</v>
      </c>
      <c r="M116" s="103">
        <f>VLOOKUP($A116,'OI(Value)'!$A$7:$O$323,9,0)</f>
        <v>82</v>
      </c>
      <c r="N116" s="103">
        <f>VLOOKUP($A116,'OI(Value)'!$A$7:$O$323,11,0)</f>
        <v>938</v>
      </c>
      <c r="O116" s="103">
        <f>VLOOKUP($A116,'OI(Value)'!$A$7:$O$323,12,0)</f>
        <v>21</v>
      </c>
      <c r="P116" s="179">
        <f>VLOOKUP(A116,'OI(Value)'!A116:O334,8,0)</f>
        <v>1458</v>
      </c>
      <c r="Q116" s="179">
        <f>VLOOKUP(A116,'OI(Value)'!A116:O334,9,0)</f>
        <v>82</v>
      </c>
      <c r="R116" s="179">
        <f>VLOOKUP(A116,'OI(Value)'!A116:O334,11,0)</f>
        <v>938</v>
      </c>
      <c r="S116" s="179">
        <f>VLOOKUP(A116,'OI(Value)'!A116:O334,11,0)</f>
        <v>938</v>
      </c>
    </row>
    <row r="117" spans="1:19" x14ac:dyDescent="0.25">
      <c r="A117" s="105" t="str">
        <f>'Data Vlaue (Cr)'!C112</f>
        <v>KPITTECH</v>
      </c>
      <c r="B117" s="143">
        <f>VLOOKUP($A117,'Data shares'!$C:$FA,118)</f>
        <v>0.5</v>
      </c>
      <c r="C117" s="143">
        <f>VLOOKUP($A117,'Data shares'!$C:$FA,119)</f>
        <v>0.55000000000000004</v>
      </c>
      <c r="D117" s="143">
        <f>VLOOKUP($A117,'Data shares'!$C:$FA,121)*100</f>
        <v>-9.09</v>
      </c>
      <c r="E117" s="143">
        <f>VLOOKUP($A117,'Data shares'!$C:$FA,124)</f>
        <v>0.24</v>
      </c>
      <c r="F117" s="143">
        <f>VLOOKUP($A117,'Data shares'!$C:$FA,125)</f>
        <v>0.31</v>
      </c>
      <c r="G117" s="143">
        <f>VLOOKUP($A117,'Data shares'!$C:$FA,127)*100</f>
        <v>-22.58</v>
      </c>
      <c r="H117" s="103">
        <f>VLOOKUP($A117,'OI(Volume)'!$A$7:$O$440,8)</f>
        <v>5986125</v>
      </c>
      <c r="I117" s="103">
        <f>VLOOKUP($A117,'OI(Volume)'!$A$7:$O$440,9)</f>
        <v>605625</v>
      </c>
      <c r="J117" s="103">
        <f>VLOOKUP($A117,'OI(Volume)'!$A$7:$O$440,11)</f>
        <v>2995400</v>
      </c>
      <c r="K117" s="103">
        <f>VLOOKUP($A117,'OI(Volume)'!$A$7:$O$440,12)</f>
        <v>22950</v>
      </c>
      <c r="L117" s="103">
        <f>VLOOKUP($A117,'OI(Value)'!$A$7:$O$323,8,0)</f>
        <v>402</v>
      </c>
      <c r="M117" s="103">
        <f>VLOOKUP($A117,'OI(Value)'!$A$7:$O$323,9,0)</f>
        <v>41</v>
      </c>
      <c r="N117" s="103">
        <f>VLOOKUP($A117,'OI(Value)'!$A$7:$O$323,11,0)</f>
        <v>201</v>
      </c>
      <c r="O117" s="103">
        <f>VLOOKUP($A117,'OI(Value)'!$A$7:$O$323,12,0)</f>
        <v>2</v>
      </c>
      <c r="P117" s="179">
        <f>VLOOKUP(A117,'OI(Value)'!A117:O335,8,0)</f>
        <v>402</v>
      </c>
      <c r="Q117" s="179">
        <f>VLOOKUP(A117,'OI(Value)'!A117:O335,9,0)</f>
        <v>41</v>
      </c>
      <c r="R117" s="179">
        <f>VLOOKUP(A117,'OI(Value)'!A117:O335,11,0)</f>
        <v>201</v>
      </c>
      <c r="S117" s="179">
        <f>VLOOKUP(A117,'OI(Value)'!A117:O335,11,0)</f>
        <v>201</v>
      </c>
    </row>
    <row r="118" spans="1:19" x14ac:dyDescent="0.25">
      <c r="A118" s="105" t="str">
        <f>'Data Vlaue (Cr)'!C113</f>
        <v>LAURUSLABS</v>
      </c>
      <c r="B118" s="143">
        <f>VLOOKUP($A118,'Data shares'!$C:$FA,118)</f>
        <v>0.53</v>
      </c>
      <c r="C118" s="143">
        <f>VLOOKUP($A118,'Data shares'!$C:$FA,119)</f>
        <v>0.51</v>
      </c>
      <c r="D118" s="143">
        <f>VLOOKUP($A118,'Data shares'!$C:$FA,121)*100</f>
        <v>3.92</v>
      </c>
      <c r="E118" s="143">
        <f>VLOOKUP($A118,'Data shares'!$C:$FA,124)</f>
        <v>0.36</v>
      </c>
      <c r="F118" s="143">
        <f>VLOOKUP($A118,'Data shares'!$C:$FA,125)</f>
        <v>0.35</v>
      </c>
      <c r="G118" s="143">
        <f>VLOOKUP($A118,'Data shares'!$C:$FA,127)*100</f>
        <v>2.86</v>
      </c>
      <c r="H118" s="103">
        <f>VLOOKUP($A118,'OI(Volume)'!$A$7:$O$440,8)</f>
        <v>8985350</v>
      </c>
      <c r="I118" s="103">
        <f>VLOOKUP($A118,'OI(Volume)'!$A$7:$O$440,9)</f>
        <v>191250</v>
      </c>
      <c r="J118" s="103">
        <f>VLOOKUP($A118,'OI(Volume)'!$A$7:$O$440,11)</f>
        <v>4728550</v>
      </c>
      <c r="K118" s="103">
        <f>VLOOKUP($A118,'OI(Volume)'!$A$7:$O$440,12)</f>
        <v>261800</v>
      </c>
      <c r="L118" s="103">
        <f>VLOOKUP($A118,'OI(Value)'!$A$7:$O$323,8,0)</f>
        <v>942</v>
      </c>
      <c r="M118" s="103">
        <f>VLOOKUP($A118,'OI(Value)'!$A$7:$O$323,9,0)</f>
        <v>20</v>
      </c>
      <c r="N118" s="103">
        <f>VLOOKUP($A118,'OI(Value)'!$A$7:$O$323,11,0)</f>
        <v>496</v>
      </c>
      <c r="O118" s="103">
        <f>VLOOKUP($A118,'OI(Value)'!$A$7:$O$323,12,0)</f>
        <v>27</v>
      </c>
      <c r="P118" s="179">
        <f>VLOOKUP(A118,'OI(Value)'!A118:O336,8,0)</f>
        <v>942</v>
      </c>
      <c r="Q118" s="179">
        <f>VLOOKUP(A118,'OI(Value)'!A118:O336,9,0)</f>
        <v>20</v>
      </c>
      <c r="R118" s="179">
        <f>VLOOKUP(A118,'OI(Value)'!A118:O336,11,0)</f>
        <v>496</v>
      </c>
      <c r="S118" s="179">
        <f>VLOOKUP(A118,'OI(Value)'!A118:O336,11,0)</f>
        <v>496</v>
      </c>
    </row>
    <row r="119" spans="1:19" x14ac:dyDescent="0.25">
      <c r="A119" s="105" t="str">
        <f>'Data Vlaue (Cr)'!C114</f>
        <v>LICHSGFIN</v>
      </c>
      <c r="B119" s="143">
        <f>VLOOKUP($A119,'Data shares'!$C:$FA,118)</f>
        <v>0.97</v>
      </c>
      <c r="C119" s="143">
        <f>VLOOKUP($A119,'Data shares'!$C:$FA,119)</f>
        <v>0.91</v>
      </c>
      <c r="D119" s="143">
        <f>VLOOKUP($A119,'Data shares'!$C:$FA,121)*100</f>
        <v>6.59</v>
      </c>
      <c r="E119" s="143">
        <f>VLOOKUP($A119,'Data shares'!$C:$FA,124)</f>
        <v>0.81</v>
      </c>
      <c r="F119" s="143">
        <f>VLOOKUP($A119,'Data shares'!$C:$FA,125)</f>
        <v>0.95</v>
      </c>
      <c r="G119" s="143">
        <f>VLOOKUP($A119,'Data shares'!$C:$FA,127)*100</f>
        <v>-14.74</v>
      </c>
      <c r="H119" s="103">
        <f>VLOOKUP($A119,'OI(Volume)'!$A$7:$O$440,8)</f>
        <v>6764000</v>
      </c>
      <c r="I119" s="103">
        <f>VLOOKUP($A119,'OI(Volume)'!$A$7:$O$440,9)</f>
        <v>102000</v>
      </c>
      <c r="J119" s="103">
        <f>VLOOKUP($A119,'OI(Volume)'!$A$7:$O$440,11)</f>
        <v>6567000</v>
      </c>
      <c r="K119" s="103">
        <f>VLOOKUP($A119,'OI(Volume)'!$A$7:$O$440,12)</f>
        <v>521000</v>
      </c>
      <c r="L119" s="103">
        <f>VLOOKUP($A119,'OI(Value)'!$A$7:$O$323,8,0)</f>
        <v>339</v>
      </c>
      <c r="M119" s="103">
        <f>VLOOKUP($A119,'OI(Value)'!$A$7:$O$323,9,0)</f>
        <v>5</v>
      </c>
      <c r="N119" s="103">
        <f>VLOOKUP($A119,'OI(Value)'!$A$7:$O$323,11,0)</f>
        <v>329</v>
      </c>
      <c r="O119" s="103">
        <f>VLOOKUP($A119,'OI(Value)'!$A$7:$O$323,12,0)</f>
        <v>26</v>
      </c>
      <c r="P119" s="179">
        <f>VLOOKUP(A119,'OI(Value)'!A119:O337,8,0)</f>
        <v>339</v>
      </c>
      <c r="Q119" s="179">
        <f>VLOOKUP(A119,'OI(Value)'!A119:O337,9,0)</f>
        <v>5</v>
      </c>
      <c r="R119" s="179">
        <f>VLOOKUP(A119,'OI(Value)'!A119:O337,11,0)</f>
        <v>329</v>
      </c>
      <c r="S119" s="179">
        <f>VLOOKUP(A119,'OI(Value)'!A119:O337,11,0)</f>
        <v>329</v>
      </c>
    </row>
    <row r="120" spans="1:19" x14ac:dyDescent="0.25">
      <c r="A120" s="105" t="str">
        <f>'Data Vlaue (Cr)'!C115</f>
        <v>LICI</v>
      </c>
      <c r="B120" s="143">
        <f>VLOOKUP($A120,'Data shares'!$C:$FA,118)</f>
        <v>0.49</v>
      </c>
      <c r="C120" s="143">
        <f>VLOOKUP($A120,'Data shares'!$C:$FA,119)</f>
        <v>0.48</v>
      </c>
      <c r="D120" s="143">
        <f>VLOOKUP($A120,'Data shares'!$C:$FA,121)*100</f>
        <v>2.08</v>
      </c>
      <c r="E120" s="143">
        <f>VLOOKUP($A120,'Data shares'!$C:$FA,124)</f>
        <v>0.51</v>
      </c>
      <c r="F120" s="143">
        <f>VLOOKUP($A120,'Data shares'!$C:$FA,125)</f>
        <v>0.56999999999999995</v>
      </c>
      <c r="G120" s="143">
        <f>VLOOKUP($A120,'Data shares'!$C:$FA,127)*100</f>
        <v>-10.530000000000001</v>
      </c>
      <c r="H120" s="103">
        <f>VLOOKUP($A120,'OI(Volume)'!$A$7:$O$440,8)</f>
        <v>6154400</v>
      </c>
      <c r="I120" s="103">
        <f>VLOOKUP($A120,'OI(Volume)'!$A$7:$O$440,9)</f>
        <v>262500</v>
      </c>
      <c r="J120" s="103">
        <f>VLOOKUP($A120,'OI(Volume)'!$A$7:$O$440,11)</f>
        <v>3001600</v>
      </c>
      <c r="K120" s="103">
        <f>VLOOKUP($A120,'OI(Volume)'!$A$7:$O$440,12)</f>
        <v>150500</v>
      </c>
      <c r="L120" s="103">
        <f>VLOOKUP($A120,'OI(Value)'!$A$7:$O$323,8,0)</f>
        <v>491</v>
      </c>
      <c r="M120" s="103">
        <f>VLOOKUP($A120,'OI(Value)'!$A$7:$O$323,9,0)</f>
        <v>21</v>
      </c>
      <c r="N120" s="103">
        <f>VLOOKUP($A120,'OI(Value)'!$A$7:$O$323,11,0)</f>
        <v>240</v>
      </c>
      <c r="O120" s="103">
        <f>VLOOKUP($A120,'OI(Value)'!$A$7:$O$323,12,0)</f>
        <v>12</v>
      </c>
      <c r="P120" s="179">
        <f>VLOOKUP(A120,'OI(Value)'!A120:O338,8,0)</f>
        <v>491</v>
      </c>
      <c r="Q120" s="179">
        <f>VLOOKUP(A120,'OI(Value)'!A120:O338,9,0)</f>
        <v>21</v>
      </c>
      <c r="R120" s="179">
        <f>VLOOKUP(A120,'OI(Value)'!A120:O338,11,0)</f>
        <v>240</v>
      </c>
      <c r="S120" s="179">
        <f>VLOOKUP(A120,'OI(Value)'!A120:O338,11,0)</f>
        <v>240</v>
      </c>
    </row>
    <row r="121" spans="1:19" x14ac:dyDescent="0.25">
      <c r="A121" s="105" t="str">
        <f>'Data Vlaue (Cr)'!C116</f>
        <v>LODHA</v>
      </c>
      <c r="B121" s="143">
        <f>VLOOKUP($A121,'Data shares'!$C:$FA,118)</f>
        <v>0.89</v>
      </c>
      <c r="C121" s="143">
        <f>VLOOKUP($A121,'Data shares'!$C:$FA,119)</f>
        <v>0.95</v>
      </c>
      <c r="D121" s="143">
        <f>VLOOKUP($A121,'Data shares'!$C:$FA,121)*100</f>
        <v>-6.32</v>
      </c>
      <c r="E121" s="143">
        <f>VLOOKUP($A121,'Data shares'!$C:$FA,124)</f>
        <v>0.55000000000000004</v>
      </c>
      <c r="F121" s="143">
        <f>VLOOKUP($A121,'Data shares'!$C:$FA,125)</f>
        <v>0.46</v>
      </c>
      <c r="G121" s="143">
        <f>VLOOKUP($A121,'Data shares'!$C:$FA,127)*100</f>
        <v>19.57</v>
      </c>
      <c r="H121" s="103">
        <f>VLOOKUP($A121,'OI(Volume)'!$A$7:$O$440,8)</f>
        <v>2853450</v>
      </c>
      <c r="I121" s="103">
        <f>VLOOKUP($A121,'OI(Volume)'!$A$7:$O$440,9)</f>
        <v>342900</v>
      </c>
      <c r="J121" s="103">
        <f>VLOOKUP($A121,'OI(Volume)'!$A$7:$O$440,11)</f>
        <v>2539800</v>
      </c>
      <c r="K121" s="103">
        <f>VLOOKUP($A121,'OI(Volume)'!$A$7:$O$440,12)</f>
        <v>149400</v>
      </c>
      <c r="L121" s="103">
        <f>VLOOKUP($A121,'OI(Value)'!$A$7:$O$323,8,0)</f>
        <v>249</v>
      </c>
      <c r="M121" s="103">
        <f>VLOOKUP($A121,'OI(Value)'!$A$7:$O$323,9,0)</f>
        <v>30</v>
      </c>
      <c r="N121" s="103">
        <f>VLOOKUP($A121,'OI(Value)'!$A$7:$O$323,11,0)</f>
        <v>221</v>
      </c>
      <c r="O121" s="103">
        <f>VLOOKUP($A121,'OI(Value)'!$A$7:$O$323,12,0)</f>
        <v>13</v>
      </c>
      <c r="P121" s="179">
        <f>VLOOKUP(A121,'OI(Value)'!A121:O339,8,0)</f>
        <v>249</v>
      </c>
      <c r="Q121" s="179">
        <f>VLOOKUP(A121,'OI(Value)'!A121:O339,9,0)</f>
        <v>30</v>
      </c>
      <c r="R121" s="179">
        <f>VLOOKUP(A121,'OI(Value)'!A121:O339,11,0)</f>
        <v>221</v>
      </c>
      <c r="S121" s="179">
        <f>VLOOKUP(A121,'OI(Value)'!A121:O339,11,0)</f>
        <v>221</v>
      </c>
    </row>
    <row r="122" spans="1:19" x14ac:dyDescent="0.25">
      <c r="A122" s="105" t="str">
        <f>'Data Vlaue (Cr)'!C117</f>
        <v>LT</v>
      </c>
      <c r="B122" s="143">
        <f>VLOOKUP($A122,'Data shares'!$C:$FA,118)</f>
        <v>0.52</v>
      </c>
      <c r="C122" s="143">
        <f>VLOOKUP($A122,'Data shares'!$C:$FA,119)</f>
        <v>0.52</v>
      </c>
      <c r="D122" s="143">
        <f>VLOOKUP($A122,'Data shares'!$C:$FA,121)*100</f>
        <v>0</v>
      </c>
      <c r="E122" s="143">
        <f>VLOOKUP($A122,'Data shares'!$C:$FA,124)</f>
        <v>0.61</v>
      </c>
      <c r="F122" s="143">
        <f>VLOOKUP($A122,'Data shares'!$C:$FA,125)</f>
        <v>0.64</v>
      </c>
      <c r="G122" s="143">
        <f>VLOOKUP($A122,'Data shares'!$C:$FA,127)*100</f>
        <v>-4.6899999999999995</v>
      </c>
      <c r="H122" s="103">
        <f>VLOOKUP($A122,'OI(Volume)'!$A$7:$O$440,8)</f>
        <v>12407150</v>
      </c>
      <c r="I122" s="103">
        <f>VLOOKUP($A122,'OI(Volume)'!$A$7:$O$440,9)</f>
        <v>956725</v>
      </c>
      <c r="J122" s="103">
        <f>VLOOKUP($A122,'OI(Volume)'!$A$7:$O$440,11)</f>
        <v>6483225</v>
      </c>
      <c r="K122" s="103">
        <f>VLOOKUP($A122,'OI(Volume)'!$A$7:$O$440,12)</f>
        <v>541800</v>
      </c>
      <c r="L122" s="103">
        <f>VLOOKUP($A122,'OI(Value)'!$A$7:$O$323,8,0)</f>
        <v>4629</v>
      </c>
      <c r="M122" s="103">
        <f>VLOOKUP($A122,'OI(Value)'!$A$7:$O$323,9,0)</f>
        <v>357</v>
      </c>
      <c r="N122" s="103">
        <f>VLOOKUP($A122,'OI(Value)'!$A$7:$O$323,11,0)</f>
        <v>2419</v>
      </c>
      <c r="O122" s="103">
        <f>VLOOKUP($A122,'OI(Value)'!$A$7:$O$323,12,0)</f>
        <v>202</v>
      </c>
      <c r="P122" s="179">
        <f>VLOOKUP(A122,'OI(Value)'!A122:O340,8,0)</f>
        <v>4629</v>
      </c>
      <c r="Q122" s="179">
        <f>VLOOKUP(A122,'OI(Value)'!A122:O340,9,0)</f>
        <v>357</v>
      </c>
      <c r="R122" s="179">
        <f>VLOOKUP(A122,'OI(Value)'!A122:O340,11,0)</f>
        <v>2419</v>
      </c>
      <c r="S122" s="179">
        <f>VLOOKUP(A122,'OI(Value)'!A122:O340,11,0)</f>
        <v>2419</v>
      </c>
    </row>
    <row r="123" spans="1:19" x14ac:dyDescent="0.25">
      <c r="A123" s="105" t="str">
        <f>'Data Vlaue (Cr)'!C118</f>
        <v>LTF</v>
      </c>
      <c r="B123" s="143">
        <f>VLOOKUP($A123,'Data shares'!$C:$FA,118)</f>
        <v>0.51</v>
      </c>
      <c r="C123" s="143">
        <f>VLOOKUP($A123,'Data shares'!$C:$FA,119)</f>
        <v>0.5</v>
      </c>
      <c r="D123" s="143">
        <f>VLOOKUP($A123,'Data shares'!$C:$FA,121)*100</f>
        <v>2</v>
      </c>
      <c r="E123" s="143">
        <f>VLOOKUP($A123,'Data shares'!$C:$FA,124)</f>
        <v>0.35</v>
      </c>
      <c r="F123" s="143">
        <f>VLOOKUP($A123,'Data shares'!$C:$FA,125)</f>
        <v>0.31</v>
      </c>
      <c r="G123" s="143">
        <f>VLOOKUP($A123,'Data shares'!$C:$FA,127)*100</f>
        <v>12.9</v>
      </c>
      <c r="H123" s="103">
        <f>VLOOKUP($A123,'OI(Volume)'!$A$7:$O$440,8)</f>
        <v>39766500</v>
      </c>
      <c r="I123" s="103">
        <f>VLOOKUP($A123,'OI(Volume)'!$A$7:$O$440,9)</f>
        <v>-247500</v>
      </c>
      <c r="J123" s="103">
        <f>VLOOKUP($A123,'OI(Volume)'!$A$7:$O$440,11)</f>
        <v>20178000</v>
      </c>
      <c r="K123" s="103">
        <f>VLOOKUP($A123,'OI(Volume)'!$A$7:$O$440,12)</f>
        <v>126000</v>
      </c>
      <c r="L123" s="103">
        <f>VLOOKUP($A123,'OI(Value)'!$A$7:$O$323,8,0)</f>
        <v>1056</v>
      </c>
      <c r="M123" s="103">
        <f>VLOOKUP($A123,'OI(Value)'!$A$7:$O$323,9,0)</f>
        <v>-7</v>
      </c>
      <c r="N123" s="103">
        <f>VLOOKUP($A123,'OI(Value)'!$A$7:$O$323,11,0)</f>
        <v>536</v>
      </c>
      <c r="O123" s="103">
        <f>VLOOKUP($A123,'OI(Value)'!$A$7:$O$323,12,0)</f>
        <v>3</v>
      </c>
      <c r="P123" s="179">
        <f>VLOOKUP(A123,'OI(Value)'!A123:O341,8,0)</f>
        <v>1056</v>
      </c>
      <c r="Q123" s="179">
        <f>VLOOKUP(A123,'OI(Value)'!A123:O341,9,0)</f>
        <v>-7</v>
      </c>
      <c r="R123" s="179">
        <f>VLOOKUP(A123,'OI(Value)'!A123:O341,11,0)</f>
        <v>536</v>
      </c>
      <c r="S123" s="179">
        <f>VLOOKUP(A123,'OI(Value)'!A123:O341,11,0)</f>
        <v>536</v>
      </c>
    </row>
    <row r="124" spans="1:19" x14ac:dyDescent="0.25">
      <c r="A124" s="105" t="str">
        <f>'Data Vlaue (Cr)'!C119</f>
        <v>LTM</v>
      </c>
      <c r="B124" s="143">
        <f>VLOOKUP($A124,'Data shares'!$C:$FA,118)</f>
        <v>0.66</v>
      </c>
      <c r="C124" s="143">
        <f>VLOOKUP($A124,'Data shares'!$C:$FA,119)</f>
        <v>0.62</v>
      </c>
      <c r="D124" s="143">
        <f>VLOOKUP($A124,'Data shares'!$C:$FA,121)*100</f>
        <v>6.45</v>
      </c>
      <c r="E124" s="143">
        <f>VLOOKUP($A124,'Data shares'!$C:$FA,124)</f>
        <v>0.41</v>
      </c>
      <c r="F124" s="143">
        <f>VLOOKUP($A124,'Data shares'!$C:$FA,125)</f>
        <v>0.41</v>
      </c>
      <c r="G124" s="143">
        <f>VLOOKUP($A124,'Data shares'!$C:$FA,127)*100</f>
        <v>0</v>
      </c>
      <c r="H124" s="103">
        <f>VLOOKUP($A124,'OI(Volume)'!$A$7:$O$440,8)</f>
        <v>1364850</v>
      </c>
      <c r="I124" s="103">
        <f>VLOOKUP($A124,'OI(Volume)'!$A$7:$O$440,9)</f>
        <v>-59850</v>
      </c>
      <c r="J124" s="103">
        <f>VLOOKUP($A124,'OI(Volume)'!$A$7:$O$440,11)</f>
        <v>897150</v>
      </c>
      <c r="K124" s="103">
        <f>VLOOKUP($A124,'OI(Volume)'!$A$7:$O$440,12)</f>
        <v>18000</v>
      </c>
      <c r="L124" s="103">
        <f>VLOOKUP($A124,'OI(Value)'!$A$7:$O$323,8,0)</f>
        <v>585</v>
      </c>
      <c r="M124" s="103">
        <f>VLOOKUP($A124,'OI(Value)'!$A$7:$O$323,9,0)</f>
        <v>-26</v>
      </c>
      <c r="N124" s="103">
        <f>VLOOKUP($A124,'OI(Value)'!$A$7:$O$323,11,0)</f>
        <v>385</v>
      </c>
      <c r="O124" s="103">
        <f>VLOOKUP($A124,'OI(Value)'!$A$7:$O$323,12,0)</f>
        <v>8</v>
      </c>
      <c r="P124" s="179">
        <f>VLOOKUP(A124,'OI(Value)'!A124:O342,8,0)</f>
        <v>585</v>
      </c>
      <c r="Q124" s="179">
        <f>VLOOKUP(A124,'OI(Value)'!A124:O342,9,0)</f>
        <v>-26</v>
      </c>
      <c r="R124" s="179">
        <f>VLOOKUP(A124,'OI(Value)'!A124:O342,11,0)</f>
        <v>385</v>
      </c>
      <c r="S124" s="179">
        <f>VLOOKUP(A124,'OI(Value)'!A124:O342,11,0)</f>
        <v>385</v>
      </c>
    </row>
    <row r="125" spans="1:19" x14ac:dyDescent="0.25">
      <c r="A125" s="105" t="str">
        <f>'Data Vlaue (Cr)'!C120</f>
        <v>LUPIN</v>
      </c>
      <c r="B125" s="143">
        <f>VLOOKUP($A125,'Data shares'!$C:$FA,118)</f>
        <v>0.6</v>
      </c>
      <c r="C125" s="143">
        <f>VLOOKUP($A125,'Data shares'!$C:$FA,119)</f>
        <v>0.56999999999999995</v>
      </c>
      <c r="D125" s="143">
        <f>VLOOKUP($A125,'Data shares'!$C:$FA,121)*100</f>
        <v>5.26</v>
      </c>
      <c r="E125" s="143">
        <f>VLOOKUP($A125,'Data shares'!$C:$FA,124)</f>
        <v>0.53</v>
      </c>
      <c r="F125" s="143">
        <f>VLOOKUP($A125,'Data shares'!$C:$FA,125)</f>
        <v>0.31</v>
      </c>
      <c r="G125" s="143">
        <f>VLOOKUP($A125,'Data shares'!$C:$FA,127)*100</f>
        <v>70.97</v>
      </c>
      <c r="H125" s="103">
        <f>VLOOKUP($A125,'OI(Volume)'!$A$7:$O$440,8)</f>
        <v>3599750</v>
      </c>
      <c r="I125" s="103">
        <f>VLOOKUP($A125,'OI(Volume)'!$A$7:$O$440,9)</f>
        <v>28475</v>
      </c>
      <c r="J125" s="103">
        <f>VLOOKUP($A125,'OI(Volume)'!$A$7:$O$440,11)</f>
        <v>2145400</v>
      </c>
      <c r="K125" s="103">
        <f>VLOOKUP($A125,'OI(Volume)'!$A$7:$O$440,12)</f>
        <v>120700</v>
      </c>
      <c r="L125" s="103">
        <f>VLOOKUP($A125,'OI(Value)'!$A$7:$O$323,8,0)</f>
        <v>849</v>
      </c>
      <c r="M125" s="103">
        <f>VLOOKUP($A125,'OI(Value)'!$A$7:$O$323,9,0)</f>
        <v>7</v>
      </c>
      <c r="N125" s="103">
        <f>VLOOKUP($A125,'OI(Value)'!$A$7:$O$323,11,0)</f>
        <v>506</v>
      </c>
      <c r="O125" s="103">
        <f>VLOOKUP($A125,'OI(Value)'!$A$7:$O$323,12,0)</f>
        <v>28</v>
      </c>
      <c r="P125" s="179">
        <f>VLOOKUP(A125,'OI(Value)'!A125:O343,8,0)</f>
        <v>849</v>
      </c>
      <c r="Q125" s="179">
        <f>VLOOKUP(A125,'OI(Value)'!A125:O343,9,0)</f>
        <v>7</v>
      </c>
      <c r="R125" s="179">
        <f>VLOOKUP(A125,'OI(Value)'!A125:O343,11,0)</f>
        <v>506</v>
      </c>
      <c r="S125" s="179">
        <f>VLOOKUP(A125,'OI(Value)'!A125:O343,11,0)</f>
        <v>506</v>
      </c>
    </row>
    <row r="126" spans="1:19" x14ac:dyDescent="0.25">
      <c r="A126" s="105" t="str">
        <f>'Data Vlaue (Cr)'!C121</f>
        <v>M&amp;M</v>
      </c>
      <c r="B126" s="143">
        <f>VLOOKUP($A126,'Data shares'!$C:$FA,118)</f>
        <v>0.56999999999999995</v>
      </c>
      <c r="C126" s="143">
        <f>VLOOKUP($A126,'Data shares'!$C:$FA,119)</f>
        <v>0.63</v>
      </c>
      <c r="D126" s="143">
        <f>VLOOKUP($A126,'Data shares'!$C:$FA,121)*100</f>
        <v>-9.5200000000000014</v>
      </c>
      <c r="E126" s="143">
        <f>VLOOKUP($A126,'Data shares'!$C:$FA,124)</f>
        <v>0.82</v>
      </c>
      <c r="F126" s="143">
        <f>VLOOKUP($A126,'Data shares'!$C:$FA,125)</f>
        <v>0.83</v>
      </c>
      <c r="G126" s="143">
        <f>VLOOKUP($A126,'Data shares'!$C:$FA,127)*100</f>
        <v>-1.2</v>
      </c>
      <c r="H126" s="103">
        <f>VLOOKUP($A126,'OI(Volume)'!$A$7:$O$440,8)</f>
        <v>6546200</v>
      </c>
      <c r="I126" s="103">
        <f>VLOOKUP($A126,'OI(Volume)'!$A$7:$O$440,9)</f>
        <v>973200</v>
      </c>
      <c r="J126" s="103">
        <f>VLOOKUP($A126,'OI(Volume)'!$A$7:$O$440,11)</f>
        <v>3745600</v>
      </c>
      <c r="K126" s="103">
        <f>VLOOKUP($A126,'OI(Volume)'!$A$7:$O$440,12)</f>
        <v>250600</v>
      </c>
      <c r="L126" s="103">
        <f>VLOOKUP($A126,'OI(Value)'!$A$7:$O$323,8,0)</f>
        <v>1992</v>
      </c>
      <c r="M126" s="103">
        <f>VLOOKUP($A126,'OI(Value)'!$A$7:$O$323,9,0)</f>
        <v>296</v>
      </c>
      <c r="N126" s="103">
        <f>VLOOKUP($A126,'OI(Value)'!$A$7:$O$323,11,0)</f>
        <v>1140</v>
      </c>
      <c r="O126" s="103">
        <f>VLOOKUP($A126,'OI(Value)'!$A$7:$O$323,12,0)</f>
        <v>76</v>
      </c>
      <c r="P126" s="179">
        <f>VLOOKUP(A126,'OI(Value)'!A126:O344,8,0)</f>
        <v>1992</v>
      </c>
      <c r="Q126" s="179">
        <f>VLOOKUP(A126,'OI(Value)'!A126:O344,9,0)</f>
        <v>296</v>
      </c>
      <c r="R126" s="179">
        <f>VLOOKUP(A126,'OI(Value)'!A126:O344,11,0)</f>
        <v>1140</v>
      </c>
      <c r="S126" s="179">
        <f>VLOOKUP(A126,'OI(Value)'!A126:O344,11,0)</f>
        <v>1140</v>
      </c>
    </row>
    <row r="127" spans="1:19" x14ac:dyDescent="0.25">
      <c r="A127" s="105" t="str">
        <f>'Data Vlaue (Cr)'!C122</f>
        <v>MANAPPURAM</v>
      </c>
      <c r="B127" s="143">
        <f>VLOOKUP($A127,'Data shares'!$C:$FA,118)</f>
        <v>0.87</v>
      </c>
      <c r="C127" s="143">
        <f>VLOOKUP($A127,'Data shares'!$C:$FA,119)</f>
        <v>0.89</v>
      </c>
      <c r="D127" s="143">
        <f>VLOOKUP($A127,'Data shares'!$C:$FA,121)*100</f>
        <v>-2.25</v>
      </c>
      <c r="E127" s="143">
        <f>VLOOKUP($A127,'Data shares'!$C:$FA,124)</f>
        <v>0.47</v>
      </c>
      <c r="F127" s="143">
        <f>VLOOKUP($A127,'Data shares'!$C:$FA,125)</f>
        <v>0.59</v>
      </c>
      <c r="G127" s="143">
        <f>VLOOKUP($A127,'Data shares'!$C:$FA,127)*100</f>
        <v>-20.34</v>
      </c>
      <c r="H127" s="103">
        <f>VLOOKUP($A127,'OI(Volume)'!$A$7:$O$440,8)</f>
        <v>23907000</v>
      </c>
      <c r="I127" s="103">
        <f>VLOOKUP($A127,'OI(Volume)'!$A$7:$O$440,9)</f>
        <v>1056000</v>
      </c>
      <c r="J127" s="103">
        <f>VLOOKUP($A127,'OI(Volume)'!$A$7:$O$440,11)</f>
        <v>20736000</v>
      </c>
      <c r="K127" s="103">
        <f>VLOOKUP($A127,'OI(Volume)'!$A$7:$O$440,12)</f>
        <v>330000</v>
      </c>
      <c r="L127" s="103">
        <f>VLOOKUP($A127,'OI(Value)'!$A$7:$O$323,8,0)</f>
        <v>613</v>
      </c>
      <c r="M127" s="103">
        <f>VLOOKUP($A127,'OI(Value)'!$A$7:$O$323,9,0)</f>
        <v>27</v>
      </c>
      <c r="N127" s="103">
        <f>VLOOKUP($A127,'OI(Value)'!$A$7:$O$323,11,0)</f>
        <v>532</v>
      </c>
      <c r="O127" s="103">
        <f>VLOOKUP($A127,'OI(Value)'!$A$7:$O$323,12,0)</f>
        <v>8</v>
      </c>
      <c r="P127" s="179">
        <f>VLOOKUP(A127,'OI(Value)'!A127:O345,8,0)</f>
        <v>613</v>
      </c>
      <c r="Q127" s="179">
        <f>VLOOKUP(A127,'OI(Value)'!A127:O345,9,0)</f>
        <v>27</v>
      </c>
      <c r="R127" s="179">
        <f>VLOOKUP(A127,'OI(Value)'!A127:O345,11,0)</f>
        <v>532</v>
      </c>
      <c r="S127" s="179">
        <f>VLOOKUP(A127,'OI(Value)'!A127:O345,11,0)</f>
        <v>532</v>
      </c>
    </row>
    <row r="128" spans="1:19" x14ac:dyDescent="0.25">
      <c r="A128" s="105" t="str">
        <f>'Data Vlaue (Cr)'!C123</f>
        <v>MANKIND</v>
      </c>
      <c r="B128" s="143">
        <f>VLOOKUP($A128,'Data shares'!$C:$FA,118)</f>
        <v>0.49</v>
      </c>
      <c r="C128" s="143">
        <f>VLOOKUP($A128,'Data shares'!$C:$FA,119)</f>
        <v>0.52</v>
      </c>
      <c r="D128" s="143">
        <f>VLOOKUP($A128,'Data shares'!$C:$FA,121)*100</f>
        <v>-5.7700000000000005</v>
      </c>
      <c r="E128" s="143">
        <f>VLOOKUP($A128,'Data shares'!$C:$FA,124)</f>
        <v>0.28000000000000003</v>
      </c>
      <c r="F128" s="143">
        <f>VLOOKUP($A128,'Data shares'!$C:$FA,125)</f>
        <v>0.18</v>
      </c>
      <c r="G128" s="143">
        <f>VLOOKUP($A128,'Data shares'!$C:$FA,127)*100</f>
        <v>55.559999999999995</v>
      </c>
      <c r="H128" s="103">
        <f>VLOOKUP($A128,'OI(Volume)'!$A$7:$O$440,8)</f>
        <v>1159875</v>
      </c>
      <c r="I128" s="103">
        <f>VLOOKUP($A128,'OI(Volume)'!$A$7:$O$440,9)</f>
        <v>19350</v>
      </c>
      <c r="J128" s="103">
        <f>VLOOKUP($A128,'OI(Volume)'!$A$7:$O$440,11)</f>
        <v>568125</v>
      </c>
      <c r="K128" s="103">
        <f>VLOOKUP($A128,'OI(Volume)'!$A$7:$O$440,12)</f>
        <v>-27900</v>
      </c>
      <c r="L128" s="103">
        <f>VLOOKUP($A128,'OI(Value)'!$A$7:$O$323,8,0)</f>
        <v>257</v>
      </c>
      <c r="M128" s="103">
        <f>VLOOKUP($A128,'OI(Value)'!$A$7:$O$323,9,0)</f>
        <v>4</v>
      </c>
      <c r="N128" s="103">
        <f>VLOOKUP($A128,'OI(Value)'!$A$7:$O$323,11,0)</f>
        <v>126</v>
      </c>
      <c r="O128" s="103">
        <f>VLOOKUP($A128,'OI(Value)'!$A$7:$O$323,12,0)</f>
        <v>-6</v>
      </c>
      <c r="P128" s="179">
        <f>VLOOKUP(A128,'OI(Value)'!A128:O346,8,0)</f>
        <v>257</v>
      </c>
      <c r="Q128" s="179">
        <f>VLOOKUP(A128,'OI(Value)'!A128:O346,9,0)</f>
        <v>4</v>
      </c>
      <c r="R128" s="179">
        <f>VLOOKUP(A128,'OI(Value)'!A128:O346,11,0)</f>
        <v>126</v>
      </c>
      <c r="S128" s="179">
        <f>VLOOKUP(A128,'OI(Value)'!A128:O346,11,0)</f>
        <v>126</v>
      </c>
    </row>
    <row r="129" spans="1:19" x14ac:dyDescent="0.25">
      <c r="A129" s="105" t="str">
        <f>'Data Vlaue (Cr)'!C124</f>
        <v>MARICO</v>
      </c>
      <c r="B129" s="143">
        <f>VLOOKUP($A129,'Data shares'!$C:$FA,118)</f>
        <v>0.59</v>
      </c>
      <c r="C129" s="143">
        <f>VLOOKUP($A129,'Data shares'!$C:$FA,119)</f>
        <v>0.57999999999999996</v>
      </c>
      <c r="D129" s="143">
        <f>VLOOKUP($A129,'Data shares'!$C:$FA,121)*100</f>
        <v>1.72</v>
      </c>
      <c r="E129" s="143">
        <f>VLOOKUP($A129,'Data shares'!$C:$FA,124)</f>
        <v>0.99</v>
      </c>
      <c r="F129" s="143">
        <f>VLOOKUP($A129,'Data shares'!$C:$FA,125)</f>
        <v>1.1100000000000001</v>
      </c>
      <c r="G129" s="143">
        <f>VLOOKUP($A129,'Data shares'!$C:$FA,127)*100</f>
        <v>-10.81</v>
      </c>
      <c r="H129" s="103">
        <f>VLOOKUP($A129,'OI(Volume)'!$A$7:$O$440,8)</f>
        <v>5839200</v>
      </c>
      <c r="I129" s="103">
        <f>VLOOKUP($A129,'OI(Volume)'!$A$7:$O$440,9)</f>
        <v>530400</v>
      </c>
      <c r="J129" s="103">
        <f>VLOOKUP($A129,'OI(Volume)'!$A$7:$O$440,11)</f>
        <v>3424800</v>
      </c>
      <c r="K129" s="103">
        <f>VLOOKUP($A129,'OI(Volume)'!$A$7:$O$440,12)</f>
        <v>367200</v>
      </c>
      <c r="L129" s="103">
        <f>VLOOKUP($A129,'OI(Value)'!$A$7:$O$323,8,0)</f>
        <v>441</v>
      </c>
      <c r="M129" s="103">
        <f>VLOOKUP($A129,'OI(Value)'!$A$7:$O$323,9,0)</f>
        <v>40</v>
      </c>
      <c r="N129" s="103">
        <f>VLOOKUP($A129,'OI(Value)'!$A$7:$O$323,11,0)</f>
        <v>259</v>
      </c>
      <c r="O129" s="103">
        <f>VLOOKUP($A129,'OI(Value)'!$A$7:$O$323,12,0)</f>
        <v>28</v>
      </c>
      <c r="P129" s="179">
        <f>VLOOKUP(A129,'OI(Value)'!A129:O347,8,0)</f>
        <v>441</v>
      </c>
      <c r="Q129" s="179">
        <f>VLOOKUP(A129,'OI(Value)'!A129:O347,9,0)</f>
        <v>40</v>
      </c>
      <c r="R129" s="179">
        <f>VLOOKUP(A129,'OI(Value)'!A129:O347,11,0)</f>
        <v>259</v>
      </c>
      <c r="S129" s="179">
        <f>VLOOKUP(A129,'OI(Value)'!A129:O347,11,0)</f>
        <v>259</v>
      </c>
    </row>
    <row r="130" spans="1:19" x14ac:dyDescent="0.25">
      <c r="A130" s="105" t="str">
        <f>'Data Vlaue (Cr)'!C125</f>
        <v>MARUTI</v>
      </c>
      <c r="B130" s="143">
        <f>VLOOKUP($A130,'Data shares'!$C:$FA,118)</f>
        <v>0.39</v>
      </c>
      <c r="C130" s="143">
        <f>VLOOKUP($A130,'Data shares'!$C:$FA,119)</f>
        <v>0.42</v>
      </c>
      <c r="D130" s="143">
        <f>VLOOKUP($A130,'Data shares'!$C:$FA,121)*100</f>
        <v>-7.1400000000000006</v>
      </c>
      <c r="E130" s="143">
        <f>VLOOKUP($A130,'Data shares'!$C:$FA,124)</f>
        <v>0.71</v>
      </c>
      <c r="F130" s="143">
        <f>VLOOKUP($A130,'Data shares'!$C:$FA,125)</f>
        <v>0.79</v>
      </c>
      <c r="G130" s="143">
        <f>VLOOKUP($A130,'Data shares'!$C:$FA,127)*100</f>
        <v>-10.130000000000001</v>
      </c>
      <c r="H130" s="103">
        <f>VLOOKUP($A130,'OI(Volume)'!$A$7:$O$440,8)</f>
        <v>2731350</v>
      </c>
      <c r="I130" s="103">
        <f>VLOOKUP($A130,'OI(Volume)'!$A$7:$O$440,9)</f>
        <v>354050</v>
      </c>
      <c r="J130" s="103">
        <f>VLOOKUP($A130,'OI(Volume)'!$A$7:$O$440,11)</f>
        <v>1075300</v>
      </c>
      <c r="K130" s="103">
        <f>VLOOKUP($A130,'OI(Volume)'!$A$7:$O$440,12)</f>
        <v>76150</v>
      </c>
      <c r="L130" s="103">
        <f>VLOOKUP($A130,'OI(Value)'!$A$7:$O$323,8,0)</f>
        <v>3567</v>
      </c>
      <c r="M130" s="103">
        <f>VLOOKUP($A130,'OI(Value)'!$A$7:$O$323,9,0)</f>
        <v>462</v>
      </c>
      <c r="N130" s="103">
        <f>VLOOKUP($A130,'OI(Value)'!$A$7:$O$323,11,0)</f>
        <v>1404</v>
      </c>
      <c r="O130" s="103">
        <f>VLOOKUP($A130,'OI(Value)'!$A$7:$O$323,12,0)</f>
        <v>99</v>
      </c>
      <c r="P130" s="179">
        <f>VLOOKUP(A130,'OI(Value)'!A130:O348,8,0)</f>
        <v>3567</v>
      </c>
      <c r="Q130" s="179">
        <f>VLOOKUP(A130,'OI(Value)'!A130:O348,9,0)</f>
        <v>462</v>
      </c>
      <c r="R130" s="179">
        <f>VLOOKUP(A130,'OI(Value)'!A130:O348,11,0)</f>
        <v>1404</v>
      </c>
      <c r="S130" s="179">
        <f>VLOOKUP(A130,'OI(Value)'!A130:O348,11,0)</f>
        <v>1404</v>
      </c>
    </row>
    <row r="131" spans="1:19" x14ac:dyDescent="0.25">
      <c r="A131" s="105" t="str">
        <f>'Data Vlaue (Cr)'!C126</f>
        <v>MAXHEALTH</v>
      </c>
      <c r="B131" s="143">
        <f>VLOOKUP($A131,'Data shares'!$C:$FA,118)</f>
        <v>0.86</v>
      </c>
      <c r="C131" s="143">
        <f>VLOOKUP($A131,'Data shares'!$C:$FA,119)</f>
        <v>0.87</v>
      </c>
      <c r="D131" s="143">
        <f>VLOOKUP($A131,'Data shares'!$C:$FA,121)*100</f>
        <v>-1.1499999999999999</v>
      </c>
      <c r="E131" s="143">
        <f>VLOOKUP($A131,'Data shares'!$C:$FA,124)</f>
        <v>0.73</v>
      </c>
      <c r="F131" s="143">
        <f>VLOOKUP($A131,'Data shares'!$C:$FA,125)</f>
        <v>0.82</v>
      </c>
      <c r="G131" s="143">
        <f>VLOOKUP($A131,'Data shares'!$C:$FA,127)*100</f>
        <v>-10.979999999999999</v>
      </c>
      <c r="H131" s="103">
        <f>VLOOKUP($A131,'OI(Volume)'!$A$7:$O$440,8)</f>
        <v>2662275</v>
      </c>
      <c r="I131" s="103">
        <f>VLOOKUP($A131,'OI(Volume)'!$A$7:$O$440,9)</f>
        <v>110250</v>
      </c>
      <c r="J131" s="103">
        <f>VLOOKUP($A131,'OI(Volume)'!$A$7:$O$440,11)</f>
        <v>2285325</v>
      </c>
      <c r="K131" s="103">
        <f>VLOOKUP($A131,'OI(Volume)'!$A$7:$O$440,12)</f>
        <v>68775</v>
      </c>
      <c r="L131" s="103">
        <f>VLOOKUP($A131,'OI(Value)'!$A$7:$O$323,8,0)</f>
        <v>272</v>
      </c>
      <c r="M131" s="103">
        <f>VLOOKUP($A131,'OI(Value)'!$A$7:$O$323,9,0)</f>
        <v>11</v>
      </c>
      <c r="N131" s="103">
        <f>VLOOKUP($A131,'OI(Value)'!$A$7:$O$323,11,0)</f>
        <v>234</v>
      </c>
      <c r="O131" s="103">
        <f>VLOOKUP($A131,'OI(Value)'!$A$7:$O$323,12,0)</f>
        <v>7</v>
      </c>
      <c r="P131" s="179">
        <f>VLOOKUP(A131,'OI(Value)'!A131:O349,8,0)</f>
        <v>272</v>
      </c>
      <c r="Q131" s="179">
        <f>VLOOKUP(A131,'OI(Value)'!A131:O349,9,0)</f>
        <v>11</v>
      </c>
      <c r="R131" s="179">
        <f>VLOOKUP(A131,'OI(Value)'!A131:O349,11,0)</f>
        <v>234</v>
      </c>
      <c r="S131" s="179">
        <f>VLOOKUP(A131,'OI(Value)'!A131:O349,11,0)</f>
        <v>234</v>
      </c>
    </row>
    <row r="132" spans="1:19" x14ac:dyDescent="0.25">
      <c r="A132" s="105" t="str">
        <f>'Data Vlaue (Cr)'!C127</f>
        <v>MAZDOCK</v>
      </c>
      <c r="B132" s="143">
        <f>VLOOKUP($A132,'Data shares'!$C:$FA,118)</f>
        <v>0.61</v>
      </c>
      <c r="C132" s="143">
        <f>VLOOKUP($A132,'Data shares'!$C:$FA,119)</f>
        <v>0.56999999999999995</v>
      </c>
      <c r="D132" s="143">
        <f>VLOOKUP($A132,'Data shares'!$C:$FA,121)*100</f>
        <v>7.02</v>
      </c>
      <c r="E132" s="143">
        <f>VLOOKUP($A132,'Data shares'!$C:$FA,124)</f>
        <v>0.43</v>
      </c>
      <c r="F132" s="143">
        <f>VLOOKUP($A132,'Data shares'!$C:$FA,125)</f>
        <v>0.36</v>
      </c>
      <c r="G132" s="143">
        <f>VLOOKUP($A132,'Data shares'!$C:$FA,127)*100</f>
        <v>19.439999999999998</v>
      </c>
      <c r="H132" s="103">
        <f>VLOOKUP($A132,'OI(Volume)'!$A$7:$O$440,8)</f>
        <v>4607400</v>
      </c>
      <c r="I132" s="103">
        <f>VLOOKUP($A132,'OI(Volume)'!$A$7:$O$440,9)</f>
        <v>-155000</v>
      </c>
      <c r="J132" s="103">
        <f>VLOOKUP($A132,'OI(Volume)'!$A$7:$O$440,11)</f>
        <v>2810800</v>
      </c>
      <c r="K132" s="103">
        <f>VLOOKUP($A132,'OI(Volume)'!$A$7:$O$440,12)</f>
        <v>105400</v>
      </c>
      <c r="L132" s="103">
        <f>VLOOKUP($A132,'OI(Value)'!$A$7:$O$323,8,0)</f>
        <v>1134</v>
      </c>
      <c r="M132" s="103">
        <f>VLOOKUP($A132,'OI(Value)'!$A$7:$O$323,9,0)</f>
        <v>-38</v>
      </c>
      <c r="N132" s="103">
        <f>VLOOKUP($A132,'OI(Value)'!$A$7:$O$323,11,0)</f>
        <v>692</v>
      </c>
      <c r="O132" s="103">
        <f>VLOOKUP($A132,'OI(Value)'!$A$7:$O$323,12,0)</f>
        <v>26</v>
      </c>
      <c r="P132" s="179">
        <f>VLOOKUP(A132,'OI(Value)'!A132:O350,8,0)</f>
        <v>1134</v>
      </c>
      <c r="Q132" s="179">
        <f>VLOOKUP(A132,'OI(Value)'!A132:O350,9,0)</f>
        <v>-38</v>
      </c>
      <c r="R132" s="179">
        <f>VLOOKUP(A132,'OI(Value)'!A132:O350,11,0)</f>
        <v>692</v>
      </c>
      <c r="S132" s="179">
        <f>VLOOKUP(A132,'OI(Value)'!A132:O350,11,0)</f>
        <v>692</v>
      </c>
    </row>
    <row r="133" spans="1:19" x14ac:dyDescent="0.25">
      <c r="A133" s="105" t="str">
        <f>'Data Vlaue (Cr)'!C128</f>
        <v>MCX</v>
      </c>
      <c r="B133" s="143">
        <f>VLOOKUP($A133,'Data shares'!$C:$FA,118)</f>
        <v>0.73</v>
      </c>
      <c r="C133" s="143">
        <f>VLOOKUP($A133,'Data shares'!$C:$FA,119)</f>
        <v>0.74</v>
      </c>
      <c r="D133" s="143">
        <f>VLOOKUP($A133,'Data shares'!$C:$FA,121)*100</f>
        <v>-1.35</v>
      </c>
      <c r="E133" s="143">
        <f>VLOOKUP($A133,'Data shares'!$C:$FA,124)</f>
        <v>0.64</v>
      </c>
      <c r="F133" s="143">
        <f>VLOOKUP($A133,'Data shares'!$C:$FA,125)</f>
        <v>0.67</v>
      </c>
      <c r="G133" s="143">
        <f>VLOOKUP($A133,'Data shares'!$C:$FA,127)*100</f>
        <v>-4.4799999999999995</v>
      </c>
      <c r="H133" s="103">
        <f>VLOOKUP($A133,'OI(Volume)'!$A$7:$O$440,8)</f>
        <v>8058125</v>
      </c>
      <c r="I133" s="103">
        <f>VLOOKUP($A133,'OI(Volume)'!$A$7:$O$440,9)</f>
        <v>-10000</v>
      </c>
      <c r="J133" s="103">
        <f>VLOOKUP($A133,'OI(Volume)'!$A$7:$O$440,11)</f>
        <v>5897500</v>
      </c>
      <c r="K133" s="103">
        <f>VLOOKUP($A133,'OI(Volume)'!$A$7:$O$440,12)</f>
        <v>-73125</v>
      </c>
      <c r="L133" s="103">
        <f>VLOOKUP($A133,'OI(Value)'!$A$7:$O$323,8,0)</f>
        <v>2042</v>
      </c>
      <c r="M133" s="103">
        <f>VLOOKUP($A133,'OI(Value)'!$A$7:$O$323,9,0)</f>
        <v>-3</v>
      </c>
      <c r="N133" s="103">
        <f>VLOOKUP($A133,'OI(Value)'!$A$7:$O$323,11,0)</f>
        <v>1495</v>
      </c>
      <c r="O133" s="103">
        <f>VLOOKUP($A133,'OI(Value)'!$A$7:$O$323,12,0)</f>
        <v>-19</v>
      </c>
      <c r="P133" s="179">
        <f>VLOOKUP(A133,'OI(Value)'!A133:O351,8,0)</f>
        <v>2042</v>
      </c>
      <c r="Q133" s="179">
        <f>VLOOKUP(A133,'OI(Value)'!A133:O351,9,0)</f>
        <v>-3</v>
      </c>
      <c r="R133" s="179">
        <f>VLOOKUP(A133,'OI(Value)'!A133:O351,11,0)</f>
        <v>1495</v>
      </c>
      <c r="S133" s="179">
        <f>VLOOKUP(A133,'OI(Value)'!A133:O351,11,0)</f>
        <v>1495</v>
      </c>
    </row>
    <row r="134" spans="1:19" x14ac:dyDescent="0.25">
      <c r="A134" s="105" t="str">
        <f>'Data Vlaue (Cr)'!C129</f>
        <v>MFSL</v>
      </c>
      <c r="B134" s="143">
        <f>VLOOKUP($A134,'Data shares'!$C:$FA,118)</f>
        <v>0.92</v>
      </c>
      <c r="C134" s="143">
        <f>VLOOKUP($A134,'Data shares'!$C:$FA,119)</f>
        <v>0.85</v>
      </c>
      <c r="D134" s="143">
        <f>VLOOKUP($A134,'Data shares'!$C:$FA,121)*100</f>
        <v>8.24</v>
      </c>
      <c r="E134" s="143">
        <f>VLOOKUP($A134,'Data shares'!$C:$FA,124)</f>
        <v>0.71</v>
      </c>
      <c r="F134" s="143">
        <f>VLOOKUP($A134,'Data shares'!$C:$FA,125)</f>
        <v>0.52</v>
      </c>
      <c r="G134" s="143">
        <f>VLOOKUP($A134,'Data shares'!$C:$FA,127)*100</f>
        <v>36.54</v>
      </c>
      <c r="H134" s="103">
        <f>VLOOKUP($A134,'OI(Volume)'!$A$7:$O$440,8)</f>
        <v>931600</v>
      </c>
      <c r="I134" s="103">
        <f>VLOOKUP($A134,'OI(Volume)'!$A$7:$O$440,9)</f>
        <v>-13200</v>
      </c>
      <c r="J134" s="103">
        <f>VLOOKUP($A134,'OI(Volume)'!$A$7:$O$440,11)</f>
        <v>854000</v>
      </c>
      <c r="K134" s="103">
        <f>VLOOKUP($A134,'OI(Volume)'!$A$7:$O$440,12)</f>
        <v>47600</v>
      </c>
      <c r="L134" s="103">
        <f>VLOOKUP($A134,'OI(Value)'!$A$7:$O$323,8,0)</f>
        <v>158</v>
      </c>
      <c r="M134" s="103">
        <f>VLOOKUP($A134,'OI(Value)'!$A$7:$O$323,9,0)</f>
        <v>-2</v>
      </c>
      <c r="N134" s="103">
        <f>VLOOKUP($A134,'OI(Value)'!$A$7:$O$323,11,0)</f>
        <v>145</v>
      </c>
      <c r="O134" s="103">
        <f>VLOOKUP($A134,'OI(Value)'!$A$7:$O$323,12,0)</f>
        <v>8</v>
      </c>
      <c r="P134" s="179">
        <f>VLOOKUP(A134,'OI(Value)'!A134:O352,8,0)</f>
        <v>158</v>
      </c>
      <c r="Q134" s="179">
        <f>VLOOKUP(A134,'OI(Value)'!A134:O352,9,0)</f>
        <v>-2</v>
      </c>
      <c r="R134" s="179">
        <f>VLOOKUP(A134,'OI(Value)'!A134:O352,11,0)</f>
        <v>145</v>
      </c>
      <c r="S134" s="179">
        <f>VLOOKUP(A134,'OI(Value)'!A134:O352,11,0)</f>
        <v>145</v>
      </c>
    </row>
    <row r="135" spans="1:19" x14ac:dyDescent="0.25">
      <c r="A135" s="105" t="str">
        <f>'Data Vlaue (Cr)'!C130</f>
        <v>MIDCPNIFTY</v>
      </c>
      <c r="B135" s="143">
        <f>VLOOKUP($A135,'Data shares'!$C:$FA,118)</f>
        <v>0.95</v>
      </c>
      <c r="C135" s="143">
        <f>VLOOKUP($A135,'Data shares'!$C:$FA,119)</f>
        <v>0.93</v>
      </c>
      <c r="D135" s="143">
        <f>VLOOKUP($A135,'Data shares'!$C:$FA,121)*100</f>
        <v>2.15</v>
      </c>
      <c r="E135" s="143">
        <f>VLOOKUP($A135,'Data shares'!$C:$FA,124)</f>
        <v>1.05</v>
      </c>
      <c r="F135" s="143">
        <f>VLOOKUP($A135,'Data shares'!$C:$FA,125)</f>
        <v>1.04</v>
      </c>
      <c r="G135" s="143">
        <f>VLOOKUP($A135,'Data shares'!$C:$FA,127)*100</f>
        <v>0.96</v>
      </c>
      <c r="H135" s="103">
        <f>VLOOKUP($A135,'OI(Volume)'!$A$7:$O$440,8)</f>
        <v>6489720</v>
      </c>
      <c r="I135" s="103">
        <f>VLOOKUP($A135,'OI(Volume)'!$A$7:$O$440,9)</f>
        <v>108480</v>
      </c>
      <c r="J135" s="103">
        <f>VLOOKUP($A135,'OI(Volume)'!$A$7:$O$440,11)</f>
        <v>6179880</v>
      </c>
      <c r="K135" s="103">
        <f>VLOOKUP($A135,'OI(Volume)'!$A$7:$O$440,12)</f>
        <v>226200</v>
      </c>
      <c r="L135" s="103">
        <f>VLOOKUP($A135,'OI(Value)'!$A$7:$O$323,8,0)</f>
        <v>8412</v>
      </c>
      <c r="M135" s="103">
        <f>VLOOKUP($A135,'OI(Value)'!$A$7:$O$323,9,0)</f>
        <v>141</v>
      </c>
      <c r="N135" s="103">
        <f>VLOOKUP($A135,'OI(Value)'!$A$7:$O$323,11,0)</f>
        <v>8011</v>
      </c>
      <c r="O135" s="103">
        <f>VLOOKUP($A135,'OI(Value)'!$A$7:$O$323,12,0)</f>
        <v>293</v>
      </c>
      <c r="P135" s="179">
        <f>VLOOKUP(A135,'OI(Value)'!A135:O353,8,0)</f>
        <v>8412</v>
      </c>
      <c r="Q135" s="179">
        <f>VLOOKUP(A135,'OI(Value)'!A135:O353,9,0)</f>
        <v>141</v>
      </c>
      <c r="R135" s="179">
        <f>VLOOKUP(A135,'OI(Value)'!A135:O353,11,0)</f>
        <v>8011</v>
      </c>
      <c r="S135" s="179">
        <f>VLOOKUP(A135,'OI(Value)'!A135:O353,11,0)</f>
        <v>8011</v>
      </c>
    </row>
    <row r="136" spans="1:19" x14ac:dyDescent="0.25">
      <c r="A136" s="105" t="str">
        <f>'Data Vlaue (Cr)'!C131</f>
        <v>MOTHERSON</v>
      </c>
      <c r="B136" s="143">
        <f>VLOOKUP($A136,'Data shares'!$C:$FA,118)</f>
        <v>0.67</v>
      </c>
      <c r="C136" s="143">
        <f>VLOOKUP($A136,'Data shares'!$C:$FA,119)</f>
        <v>0.72</v>
      </c>
      <c r="D136" s="143">
        <f>VLOOKUP($A136,'Data shares'!$C:$FA,121)*100</f>
        <v>-6.94</v>
      </c>
      <c r="E136" s="143">
        <f>VLOOKUP($A136,'Data shares'!$C:$FA,124)</f>
        <v>0.67</v>
      </c>
      <c r="F136" s="143">
        <f>VLOOKUP($A136,'Data shares'!$C:$FA,125)</f>
        <v>0.53</v>
      </c>
      <c r="G136" s="143">
        <f>VLOOKUP($A136,'Data shares'!$C:$FA,127)*100</f>
        <v>26.419999999999998</v>
      </c>
      <c r="H136" s="103">
        <f>VLOOKUP($A136,'OI(Volume)'!$A$7:$O$440,8)</f>
        <v>49845750</v>
      </c>
      <c r="I136" s="103">
        <f>VLOOKUP($A136,'OI(Volume)'!$A$7:$O$440,9)</f>
        <v>4624800</v>
      </c>
      <c r="J136" s="103">
        <f>VLOOKUP($A136,'OI(Volume)'!$A$7:$O$440,11)</f>
        <v>33419100</v>
      </c>
      <c r="K136" s="103">
        <f>VLOOKUP($A136,'OI(Volume)'!$A$7:$O$440,12)</f>
        <v>984000</v>
      </c>
      <c r="L136" s="103">
        <f>VLOOKUP($A136,'OI(Value)'!$A$7:$O$323,8,0)</f>
        <v>596</v>
      </c>
      <c r="M136" s="103">
        <f>VLOOKUP($A136,'OI(Value)'!$A$7:$O$323,9,0)</f>
        <v>55</v>
      </c>
      <c r="N136" s="103">
        <f>VLOOKUP($A136,'OI(Value)'!$A$7:$O$323,11,0)</f>
        <v>400</v>
      </c>
      <c r="O136" s="103">
        <f>VLOOKUP($A136,'OI(Value)'!$A$7:$O$323,12,0)</f>
        <v>12</v>
      </c>
      <c r="P136" s="179">
        <f>VLOOKUP(A136,'OI(Value)'!A136:O354,8,0)</f>
        <v>596</v>
      </c>
      <c r="Q136" s="179">
        <f>VLOOKUP(A136,'OI(Value)'!A136:O354,9,0)</f>
        <v>55</v>
      </c>
      <c r="R136" s="179">
        <f>VLOOKUP(A136,'OI(Value)'!A136:O354,11,0)</f>
        <v>400</v>
      </c>
      <c r="S136" s="179">
        <f>VLOOKUP(A136,'OI(Value)'!A136:O354,11,0)</f>
        <v>400</v>
      </c>
    </row>
    <row r="137" spans="1:19" x14ac:dyDescent="0.25">
      <c r="A137" s="105" t="str">
        <f>'Data Vlaue (Cr)'!C132</f>
        <v>MPHASIS</v>
      </c>
      <c r="B137" s="143">
        <f>VLOOKUP($A137,'Data shares'!$C:$FA,118)</f>
        <v>0.55000000000000004</v>
      </c>
      <c r="C137" s="143">
        <f>VLOOKUP($A137,'Data shares'!$C:$FA,119)</f>
        <v>0.63</v>
      </c>
      <c r="D137" s="143">
        <f>VLOOKUP($A137,'Data shares'!$C:$FA,121)*100</f>
        <v>-12.7</v>
      </c>
      <c r="E137" s="143">
        <f>VLOOKUP($A137,'Data shares'!$C:$FA,124)</f>
        <v>0.55000000000000004</v>
      </c>
      <c r="F137" s="143">
        <f>VLOOKUP($A137,'Data shares'!$C:$FA,125)</f>
        <v>0.96</v>
      </c>
      <c r="G137" s="143">
        <f>VLOOKUP($A137,'Data shares'!$C:$FA,127)*100</f>
        <v>-42.71</v>
      </c>
      <c r="H137" s="103">
        <f>VLOOKUP($A137,'OI(Volume)'!$A$7:$O$440,8)</f>
        <v>1454200</v>
      </c>
      <c r="I137" s="103">
        <f>VLOOKUP($A137,'OI(Volume)'!$A$7:$O$440,9)</f>
        <v>145750</v>
      </c>
      <c r="J137" s="103">
        <f>VLOOKUP($A137,'OI(Volume)'!$A$7:$O$440,11)</f>
        <v>797225</v>
      </c>
      <c r="K137" s="103">
        <f>VLOOKUP($A137,'OI(Volume)'!$A$7:$O$440,12)</f>
        <v>-27225</v>
      </c>
      <c r="L137" s="103">
        <f>VLOOKUP($A137,'OI(Value)'!$A$7:$O$323,8,0)</f>
        <v>319</v>
      </c>
      <c r="M137" s="103">
        <f>VLOOKUP($A137,'OI(Value)'!$A$7:$O$323,9,0)</f>
        <v>32</v>
      </c>
      <c r="N137" s="103">
        <f>VLOOKUP($A137,'OI(Value)'!$A$7:$O$323,11,0)</f>
        <v>175</v>
      </c>
      <c r="O137" s="103">
        <f>VLOOKUP($A137,'OI(Value)'!$A$7:$O$323,12,0)</f>
        <v>-6</v>
      </c>
      <c r="P137" s="179">
        <f>VLOOKUP(A137,'OI(Value)'!A137:O355,8,0)</f>
        <v>319</v>
      </c>
      <c r="Q137" s="179">
        <f>VLOOKUP(A137,'OI(Value)'!A137:O355,9,0)</f>
        <v>32</v>
      </c>
      <c r="R137" s="179">
        <f>VLOOKUP(A137,'OI(Value)'!A137:O355,11,0)</f>
        <v>175</v>
      </c>
      <c r="S137" s="179">
        <f>VLOOKUP(A137,'OI(Value)'!A137:O355,11,0)</f>
        <v>175</v>
      </c>
    </row>
    <row r="138" spans="1:19" x14ac:dyDescent="0.25">
      <c r="A138" s="105" t="str">
        <f>'Data Vlaue (Cr)'!C133</f>
        <v>MUTHOOTFIN</v>
      </c>
      <c r="B138" s="143">
        <f>VLOOKUP($A138,'Data shares'!$C:$FA,118)</f>
        <v>0.43</v>
      </c>
      <c r="C138" s="143">
        <f>VLOOKUP($A138,'Data shares'!$C:$FA,119)</f>
        <v>0.41</v>
      </c>
      <c r="D138" s="143">
        <f>VLOOKUP($A138,'Data shares'!$C:$FA,121)*100</f>
        <v>4.88</v>
      </c>
      <c r="E138" s="143">
        <f>VLOOKUP($A138,'Data shares'!$C:$FA,124)</f>
        <v>0.41</v>
      </c>
      <c r="F138" s="143">
        <f>VLOOKUP($A138,'Data shares'!$C:$FA,125)</f>
        <v>0.56000000000000005</v>
      </c>
      <c r="G138" s="143">
        <f>VLOOKUP($A138,'Data shares'!$C:$FA,127)*100</f>
        <v>-26.790000000000003</v>
      </c>
      <c r="H138" s="103">
        <f>VLOOKUP($A138,'OI(Volume)'!$A$7:$O$440,8)</f>
        <v>4089525</v>
      </c>
      <c r="I138" s="103">
        <f>VLOOKUP($A138,'OI(Volume)'!$A$7:$O$440,9)</f>
        <v>-103950</v>
      </c>
      <c r="J138" s="103">
        <f>VLOOKUP($A138,'OI(Volume)'!$A$7:$O$440,11)</f>
        <v>1747625</v>
      </c>
      <c r="K138" s="103">
        <f>VLOOKUP($A138,'OI(Volume)'!$A$7:$O$440,12)</f>
        <v>36025</v>
      </c>
      <c r="L138" s="103">
        <f>VLOOKUP($A138,'OI(Value)'!$A$7:$O$323,8,0)</f>
        <v>1331</v>
      </c>
      <c r="M138" s="103">
        <f>VLOOKUP($A138,'OI(Value)'!$A$7:$O$323,9,0)</f>
        <v>-34</v>
      </c>
      <c r="N138" s="103">
        <f>VLOOKUP($A138,'OI(Value)'!$A$7:$O$323,11,0)</f>
        <v>569</v>
      </c>
      <c r="O138" s="103">
        <f>VLOOKUP($A138,'OI(Value)'!$A$7:$O$323,12,0)</f>
        <v>12</v>
      </c>
      <c r="P138" s="179">
        <f>VLOOKUP(A138,'OI(Value)'!A138:O356,8,0)</f>
        <v>1331</v>
      </c>
      <c r="Q138" s="179">
        <f>VLOOKUP(A138,'OI(Value)'!A138:O356,9,0)</f>
        <v>-34</v>
      </c>
      <c r="R138" s="179">
        <f>VLOOKUP(A138,'OI(Value)'!A138:O356,11,0)</f>
        <v>569</v>
      </c>
      <c r="S138" s="179">
        <f>VLOOKUP(A138,'OI(Value)'!A138:O356,11,0)</f>
        <v>569</v>
      </c>
    </row>
    <row r="139" spans="1:19" x14ac:dyDescent="0.25">
      <c r="A139" s="105" t="str">
        <f>'Data Vlaue (Cr)'!C134</f>
        <v>NATIONALUM</v>
      </c>
      <c r="B139" s="143">
        <f>VLOOKUP($A139,'Data shares'!$C:$FA,118)</f>
        <v>0.88</v>
      </c>
      <c r="C139" s="143">
        <f>VLOOKUP($A139,'Data shares'!$C:$FA,119)</f>
        <v>0.8</v>
      </c>
      <c r="D139" s="143">
        <f>VLOOKUP($A139,'Data shares'!$C:$FA,121)*100</f>
        <v>10</v>
      </c>
      <c r="E139" s="143">
        <f>VLOOKUP($A139,'Data shares'!$C:$FA,124)</f>
        <v>0.47</v>
      </c>
      <c r="F139" s="143">
        <f>VLOOKUP($A139,'Data shares'!$C:$FA,125)</f>
        <v>0.44</v>
      </c>
      <c r="G139" s="143">
        <f>VLOOKUP($A139,'Data shares'!$C:$FA,127)*100</f>
        <v>6.8199999999999994</v>
      </c>
      <c r="H139" s="103">
        <f>VLOOKUP($A139,'OI(Volume)'!$A$7:$O$440,8)</f>
        <v>38066250</v>
      </c>
      <c r="I139" s="103">
        <f>VLOOKUP($A139,'OI(Volume)'!$A$7:$O$440,9)</f>
        <v>-1050000</v>
      </c>
      <c r="J139" s="103">
        <f>VLOOKUP($A139,'OI(Volume)'!$A$7:$O$440,11)</f>
        <v>33581250</v>
      </c>
      <c r="K139" s="103">
        <f>VLOOKUP($A139,'OI(Volume)'!$A$7:$O$440,12)</f>
        <v>2441250</v>
      </c>
      <c r="L139" s="103">
        <f>VLOOKUP($A139,'OI(Value)'!$A$7:$O$323,8,0)</f>
        <v>1558</v>
      </c>
      <c r="M139" s="103">
        <f>VLOOKUP($A139,'OI(Value)'!$A$7:$O$323,9,0)</f>
        <v>-43</v>
      </c>
      <c r="N139" s="103">
        <f>VLOOKUP($A139,'OI(Value)'!$A$7:$O$323,11,0)</f>
        <v>1375</v>
      </c>
      <c r="O139" s="103">
        <f>VLOOKUP($A139,'OI(Value)'!$A$7:$O$323,12,0)</f>
        <v>100</v>
      </c>
      <c r="P139" s="179">
        <f>VLOOKUP(A139,'OI(Value)'!A139:O357,8,0)</f>
        <v>1558</v>
      </c>
      <c r="Q139" s="179">
        <f>VLOOKUP(A139,'OI(Value)'!A139:O357,9,0)</f>
        <v>-43</v>
      </c>
      <c r="R139" s="179">
        <f>VLOOKUP(A139,'OI(Value)'!A139:O357,11,0)</f>
        <v>1375</v>
      </c>
      <c r="S139" s="179">
        <f>VLOOKUP(A139,'OI(Value)'!A139:O357,11,0)</f>
        <v>1375</v>
      </c>
    </row>
    <row r="140" spans="1:19" x14ac:dyDescent="0.25">
      <c r="A140" s="105" t="str">
        <f>'Data Vlaue (Cr)'!C135</f>
        <v>NAUKRI</v>
      </c>
      <c r="B140" s="143">
        <f>VLOOKUP($A140,'Data shares'!$C:$FA,118)</f>
        <v>0.48</v>
      </c>
      <c r="C140" s="143">
        <f>VLOOKUP($A140,'Data shares'!$C:$FA,119)</f>
        <v>0.5</v>
      </c>
      <c r="D140" s="143">
        <f>VLOOKUP($A140,'Data shares'!$C:$FA,121)*100</f>
        <v>-4</v>
      </c>
      <c r="E140" s="143">
        <f>VLOOKUP($A140,'Data shares'!$C:$FA,124)</f>
        <v>0.37</v>
      </c>
      <c r="F140" s="143">
        <f>VLOOKUP($A140,'Data shares'!$C:$FA,125)</f>
        <v>0.56999999999999995</v>
      </c>
      <c r="G140" s="143">
        <f>VLOOKUP($A140,'Data shares'!$C:$FA,127)*100</f>
        <v>-35.089999999999996</v>
      </c>
      <c r="H140" s="103">
        <f>VLOOKUP($A140,'OI(Volume)'!$A$7:$O$440,8)</f>
        <v>3849750</v>
      </c>
      <c r="I140" s="103">
        <f>VLOOKUP($A140,'OI(Volume)'!$A$7:$O$440,9)</f>
        <v>154500</v>
      </c>
      <c r="J140" s="103">
        <f>VLOOKUP($A140,'OI(Volume)'!$A$7:$O$440,11)</f>
        <v>1860375</v>
      </c>
      <c r="K140" s="103">
        <f>VLOOKUP($A140,'OI(Volume)'!$A$7:$O$440,12)</f>
        <v>15375</v>
      </c>
      <c r="L140" s="103">
        <f>VLOOKUP($A140,'OI(Value)'!$A$7:$O$323,8,0)</f>
        <v>368</v>
      </c>
      <c r="M140" s="103">
        <f>VLOOKUP($A140,'OI(Value)'!$A$7:$O$323,9,0)</f>
        <v>15</v>
      </c>
      <c r="N140" s="103">
        <f>VLOOKUP($A140,'OI(Value)'!$A$7:$O$323,11,0)</f>
        <v>178</v>
      </c>
      <c r="O140" s="103">
        <f>VLOOKUP($A140,'OI(Value)'!$A$7:$O$323,12,0)</f>
        <v>1</v>
      </c>
      <c r="P140" s="179">
        <f>VLOOKUP(A140,'OI(Value)'!A140:O358,8,0)</f>
        <v>368</v>
      </c>
      <c r="Q140" s="179">
        <f>VLOOKUP(A140,'OI(Value)'!A140:O358,9,0)</f>
        <v>15</v>
      </c>
      <c r="R140" s="179">
        <f>VLOOKUP(A140,'OI(Value)'!A140:O358,11,0)</f>
        <v>178</v>
      </c>
      <c r="S140" s="179">
        <f>VLOOKUP(A140,'OI(Value)'!A140:O358,11,0)</f>
        <v>178</v>
      </c>
    </row>
    <row r="141" spans="1:19" x14ac:dyDescent="0.25">
      <c r="A141" s="105" t="str">
        <f>'Data Vlaue (Cr)'!C136</f>
        <v>NBCC</v>
      </c>
      <c r="B141" s="143">
        <f>VLOOKUP($A141,'Data shares'!$C:$FA,118)</f>
        <v>0.65</v>
      </c>
      <c r="C141" s="143">
        <f>VLOOKUP($A141,'Data shares'!$C:$FA,119)</f>
        <v>0.65</v>
      </c>
      <c r="D141" s="143">
        <f>VLOOKUP($A141,'Data shares'!$C:$FA,121)*100</f>
        <v>0</v>
      </c>
      <c r="E141" s="143">
        <f>VLOOKUP($A141,'Data shares'!$C:$FA,124)</f>
        <v>0.52</v>
      </c>
      <c r="F141" s="143">
        <f>VLOOKUP($A141,'Data shares'!$C:$FA,125)</f>
        <v>0.59</v>
      </c>
      <c r="G141" s="143">
        <f>VLOOKUP($A141,'Data shares'!$C:$FA,127)*100</f>
        <v>-11.86</v>
      </c>
      <c r="H141" s="103">
        <f>VLOOKUP($A141,'OI(Volume)'!$A$7:$O$440,8)</f>
        <v>33137000</v>
      </c>
      <c r="I141" s="103">
        <f>VLOOKUP($A141,'OI(Volume)'!$A$7:$O$440,9)</f>
        <v>559000</v>
      </c>
      <c r="J141" s="103">
        <f>VLOOKUP($A141,'OI(Volume)'!$A$7:$O$440,11)</f>
        <v>21567000</v>
      </c>
      <c r="K141" s="103">
        <f>VLOOKUP($A141,'OI(Volume)'!$A$7:$O$440,12)</f>
        <v>273000</v>
      </c>
      <c r="L141" s="103">
        <f>VLOOKUP($A141,'OI(Value)'!$A$7:$O$323,8,0)</f>
        <v>288</v>
      </c>
      <c r="M141" s="103">
        <f>VLOOKUP($A141,'OI(Value)'!$A$7:$O$323,9,0)</f>
        <v>5</v>
      </c>
      <c r="N141" s="103">
        <f>VLOOKUP($A141,'OI(Value)'!$A$7:$O$323,11,0)</f>
        <v>187</v>
      </c>
      <c r="O141" s="103">
        <f>VLOOKUP($A141,'OI(Value)'!$A$7:$O$323,12,0)</f>
        <v>2</v>
      </c>
      <c r="P141" s="179">
        <f>VLOOKUP(A141,'OI(Value)'!A141:O359,8,0)</f>
        <v>288</v>
      </c>
      <c r="Q141" s="179">
        <f>VLOOKUP(A141,'OI(Value)'!A141:O359,9,0)</f>
        <v>5</v>
      </c>
      <c r="R141" s="179">
        <f>VLOOKUP(A141,'OI(Value)'!A141:O359,11,0)</f>
        <v>187</v>
      </c>
      <c r="S141" s="179">
        <f>VLOOKUP(A141,'OI(Value)'!A141:O359,11,0)</f>
        <v>187</v>
      </c>
    </row>
    <row r="142" spans="1:19" x14ac:dyDescent="0.25">
      <c r="A142" s="105" t="str">
        <f>'Data Vlaue (Cr)'!C137</f>
        <v>NESTLEIND</v>
      </c>
      <c r="B142" s="143">
        <f>VLOOKUP($A142,'Data shares'!$C:$FA,118)</f>
        <v>0.47</v>
      </c>
      <c r="C142" s="143">
        <f>VLOOKUP($A142,'Data shares'!$C:$FA,119)</f>
        <v>0.43</v>
      </c>
      <c r="D142" s="143">
        <f>VLOOKUP($A142,'Data shares'!$C:$FA,121)*100</f>
        <v>9.3000000000000007</v>
      </c>
      <c r="E142" s="143">
        <f>VLOOKUP($A142,'Data shares'!$C:$FA,124)</f>
        <v>0.79</v>
      </c>
      <c r="F142" s="143">
        <f>VLOOKUP($A142,'Data shares'!$C:$FA,125)</f>
        <v>0.67</v>
      </c>
      <c r="G142" s="143">
        <f>VLOOKUP($A142,'Data shares'!$C:$FA,127)*100</f>
        <v>17.91</v>
      </c>
      <c r="H142" s="103">
        <f>VLOOKUP($A142,'OI(Volume)'!$A$7:$O$440,8)</f>
        <v>3700500</v>
      </c>
      <c r="I142" s="103">
        <f>VLOOKUP($A142,'OI(Volume)'!$A$7:$O$440,9)</f>
        <v>19500</v>
      </c>
      <c r="J142" s="103">
        <f>VLOOKUP($A142,'OI(Volume)'!$A$7:$O$440,11)</f>
        <v>1736000</v>
      </c>
      <c r="K142" s="103">
        <f>VLOOKUP($A142,'OI(Volume)'!$A$7:$O$440,12)</f>
        <v>148500</v>
      </c>
      <c r="L142" s="103">
        <f>VLOOKUP($A142,'OI(Value)'!$A$7:$O$323,8,0)</f>
        <v>453</v>
      </c>
      <c r="M142" s="103">
        <f>VLOOKUP($A142,'OI(Value)'!$A$7:$O$323,9,0)</f>
        <v>2</v>
      </c>
      <c r="N142" s="103">
        <f>VLOOKUP($A142,'OI(Value)'!$A$7:$O$323,11,0)</f>
        <v>212</v>
      </c>
      <c r="O142" s="103">
        <f>VLOOKUP($A142,'OI(Value)'!$A$7:$O$323,12,0)</f>
        <v>18</v>
      </c>
      <c r="P142" s="179">
        <f>VLOOKUP(A142,'OI(Value)'!A142:O360,8,0)</f>
        <v>453</v>
      </c>
      <c r="Q142" s="179">
        <f>VLOOKUP(A142,'OI(Value)'!A142:O360,9,0)</f>
        <v>2</v>
      </c>
      <c r="R142" s="179">
        <f>VLOOKUP(A142,'OI(Value)'!A142:O360,11,0)</f>
        <v>212</v>
      </c>
      <c r="S142" s="179">
        <f>VLOOKUP(A142,'OI(Value)'!A142:O360,11,0)</f>
        <v>212</v>
      </c>
    </row>
    <row r="143" spans="1:19" x14ac:dyDescent="0.25">
      <c r="A143" s="105" t="str">
        <f>'Data Vlaue (Cr)'!C138</f>
        <v>NHPC</v>
      </c>
      <c r="B143" s="143">
        <f>VLOOKUP($A143,'Data shares'!$C:$FA,118)</f>
        <v>0.54</v>
      </c>
      <c r="C143" s="143">
        <f>VLOOKUP($A143,'Data shares'!$C:$FA,119)</f>
        <v>0.5</v>
      </c>
      <c r="D143" s="143">
        <f>VLOOKUP($A143,'Data shares'!$C:$FA,121)*100</f>
        <v>8</v>
      </c>
      <c r="E143" s="143">
        <f>VLOOKUP($A143,'Data shares'!$C:$FA,124)</f>
        <v>0.31</v>
      </c>
      <c r="F143" s="143">
        <f>VLOOKUP($A143,'Data shares'!$C:$FA,125)</f>
        <v>0.36</v>
      </c>
      <c r="G143" s="143">
        <f>VLOOKUP($A143,'Data shares'!$C:$FA,127)*100</f>
        <v>-13.889999999999999</v>
      </c>
      <c r="H143" s="103">
        <f>VLOOKUP($A143,'OI(Volume)'!$A$7:$O$440,8)</f>
        <v>38028800</v>
      </c>
      <c r="I143" s="103">
        <f>VLOOKUP($A143,'OI(Volume)'!$A$7:$O$440,9)</f>
        <v>-4486400</v>
      </c>
      <c r="J143" s="103">
        <f>VLOOKUP($A143,'OI(Volume)'!$A$7:$O$440,11)</f>
        <v>20697600</v>
      </c>
      <c r="K143" s="103">
        <f>VLOOKUP($A143,'OI(Volume)'!$A$7:$O$440,12)</f>
        <v>-409600</v>
      </c>
      <c r="L143" s="103">
        <f>VLOOKUP($A143,'OI(Value)'!$A$7:$O$323,8,0)</f>
        <v>285</v>
      </c>
      <c r="M143" s="103">
        <f>VLOOKUP($A143,'OI(Value)'!$A$7:$O$323,9,0)</f>
        <v>-34</v>
      </c>
      <c r="N143" s="103">
        <f>VLOOKUP($A143,'OI(Value)'!$A$7:$O$323,11,0)</f>
        <v>155</v>
      </c>
      <c r="O143" s="103">
        <f>VLOOKUP($A143,'OI(Value)'!$A$7:$O$323,12,0)</f>
        <v>-3</v>
      </c>
      <c r="P143" s="179">
        <f>VLOOKUP(A143,'OI(Value)'!A143:O361,8,0)</f>
        <v>285</v>
      </c>
      <c r="Q143" s="179">
        <f>VLOOKUP(A143,'OI(Value)'!A143:O361,9,0)</f>
        <v>-34</v>
      </c>
      <c r="R143" s="179">
        <f>VLOOKUP(A143,'OI(Value)'!A143:O361,11,0)</f>
        <v>155</v>
      </c>
      <c r="S143" s="179">
        <f>VLOOKUP(A143,'OI(Value)'!A143:O361,11,0)</f>
        <v>155</v>
      </c>
    </row>
    <row r="144" spans="1:19" x14ac:dyDescent="0.25">
      <c r="A144" s="105" t="str">
        <f>'Data Vlaue (Cr)'!C139</f>
        <v>NIFTY</v>
      </c>
      <c r="B144" s="143">
        <f>VLOOKUP($A144,'Data shares'!$C:$FA,118)</f>
        <v>0.86</v>
      </c>
      <c r="C144" s="143">
        <f>VLOOKUP($A144,'Data shares'!$C:$FA,119)</f>
        <v>0.83</v>
      </c>
      <c r="D144" s="143">
        <f>VLOOKUP($A144,'Data shares'!$C:$FA,121)*100</f>
        <v>3.61</v>
      </c>
      <c r="E144" s="143">
        <f>VLOOKUP($A144,'Data shares'!$C:$FA,124)</f>
        <v>0.84</v>
      </c>
      <c r="F144" s="143">
        <f>VLOOKUP($A144,'Data shares'!$C:$FA,125)</f>
        <v>1.1299999999999999</v>
      </c>
      <c r="G144" s="143">
        <f>VLOOKUP($A144,'Data shares'!$C:$FA,127)*100</f>
        <v>-25.66</v>
      </c>
      <c r="H144" s="103">
        <f>VLOOKUP($A144,'OI(Volume)'!$A$7:$O$440,8)</f>
        <v>240860925</v>
      </c>
      <c r="I144" s="103">
        <f>VLOOKUP($A144,'OI(Volume)'!$A$7:$O$440,9)</f>
        <v>17750150</v>
      </c>
      <c r="J144" s="103">
        <f>VLOOKUP($A144,'OI(Volume)'!$A$7:$O$440,11)</f>
        <v>206756845</v>
      </c>
      <c r="K144" s="103">
        <f>VLOOKUP($A144,'OI(Volume)'!$A$7:$O$440,12)</f>
        <v>20584385</v>
      </c>
      <c r="L144" s="103">
        <f>VLOOKUP($A144,'OI(Value)'!$A$7:$O$323,8,0)</f>
        <v>571527</v>
      </c>
      <c r="M144" s="103">
        <f>VLOOKUP($A144,'OI(Value)'!$A$7:$O$323,9,0)</f>
        <v>42118</v>
      </c>
      <c r="N144" s="103">
        <f>VLOOKUP($A144,'OI(Value)'!$A$7:$O$323,11,0)</f>
        <v>490603</v>
      </c>
      <c r="O144" s="103">
        <f>VLOOKUP($A144,'OI(Value)'!$A$7:$O$323,12,0)</f>
        <v>48844</v>
      </c>
      <c r="P144" s="179">
        <f>VLOOKUP(A144,'OI(Value)'!A144:O362,8,0)</f>
        <v>571527</v>
      </c>
      <c r="Q144" s="179">
        <f>VLOOKUP(A144,'OI(Value)'!A144:O362,9,0)</f>
        <v>42118</v>
      </c>
      <c r="R144" s="179">
        <f>VLOOKUP(A144,'OI(Value)'!A144:O362,11,0)</f>
        <v>490603</v>
      </c>
      <c r="S144" s="179">
        <f>VLOOKUP(A144,'OI(Value)'!A144:O362,11,0)</f>
        <v>490603</v>
      </c>
    </row>
    <row r="145" spans="1:19" x14ac:dyDescent="0.25">
      <c r="A145" s="105" t="str">
        <f>'Data Vlaue (Cr)'!C140</f>
        <v>NIFTYNXT50</v>
      </c>
      <c r="B145" s="143">
        <f>VLOOKUP($A145,'Data shares'!$C:$FA,118)</f>
        <v>0.42</v>
      </c>
      <c r="C145" s="143">
        <f>VLOOKUP($A145,'Data shares'!$C:$FA,119)</f>
        <v>0.42</v>
      </c>
      <c r="D145" s="143">
        <f>VLOOKUP($A145,'Data shares'!$C:$FA,121)*100</f>
        <v>0</v>
      </c>
      <c r="E145" s="143">
        <f>VLOOKUP($A145,'Data shares'!$C:$FA,124)</f>
        <v>0.55000000000000004</v>
      </c>
      <c r="F145" s="143">
        <f>VLOOKUP($A145,'Data shares'!$C:$FA,125)</f>
        <v>0.61</v>
      </c>
      <c r="G145" s="143">
        <f>VLOOKUP($A145,'Data shares'!$C:$FA,127)*100</f>
        <v>-9.84</v>
      </c>
      <c r="H145" s="103">
        <f>VLOOKUP($A145,'OI(Volume)'!$A$7:$O$440,8)</f>
        <v>11750</v>
      </c>
      <c r="I145" s="103">
        <f>VLOOKUP($A145,'OI(Volume)'!$A$7:$O$440,9)</f>
        <v>900</v>
      </c>
      <c r="J145" s="103">
        <f>VLOOKUP($A145,'OI(Volume)'!$A$7:$O$440,11)</f>
        <v>4925</v>
      </c>
      <c r="K145" s="103">
        <f>VLOOKUP($A145,'OI(Volume)'!$A$7:$O$440,12)</f>
        <v>350</v>
      </c>
      <c r="L145" s="103">
        <f>VLOOKUP($A145,'OI(Value)'!$A$7:$O$323,8,0)</f>
        <v>78</v>
      </c>
      <c r="M145" s="103">
        <f>VLOOKUP($A145,'OI(Value)'!$A$7:$O$323,9,0)</f>
        <v>6</v>
      </c>
      <c r="N145" s="103">
        <f>VLOOKUP($A145,'OI(Value)'!$A$7:$O$323,11,0)</f>
        <v>33</v>
      </c>
      <c r="O145" s="103">
        <f>VLOOKUP($A145,'OI(Value)'!$A$7:$O$323,12,0)</f>
        <v>2</v>
      </c>
      <c r="P145" s="179">
        <f>VLOOKUP(A145,'OI(Value)'!A145:O363,8,0)</f>
        <v>78</v>
      </c>
      <c r="Q145" s="179">
        <f>VLOOKUP(A145,'OI(Value)'!A145:O363,9,0)</f>
        <v>6</v>
      </c>
      <c r="R145" s="179">
        <f>VLOOKUP(A145,'OI(Value)'!A145:O363,11,0)</f>
        <v>33</v>
      </c>
      <c r="S145" s="179">
        <f>VLOOKUP(A145,'OI(Value)'!A145:O363,11,0)</f>
        <v>33</v>
      </c>
    </row>
    <row r="146" spans="1:19" x14ac:dyDescent="0.25">
      <c r="A146" s="105" t="str">
        <f>'Data Vlaue (Cr)'!C141</f>
        <v>NMDC</v>
      </c>
      <c r="B146" s="143">
        <f>VLOOKUP($A146,'Data shares'!$C:$FA,118)</f>
        <v>0.56000000000000005</v>
      </c>
      <c r="C146" s="143">
        <f>VLOOKUP($A146,'Data shares'!$C:$FA,119)</f>
        <v>0.56999999999999995</v>
      </c>
      <c r="D146" s="143">
        <f>VLOOKUP($A146,'Data shares'!$C:$FA,121)*100</f>
        <v>-1.7500000000000002</v>
      </c>
      <c r="E146" s="143">
        <f>VLOOKUP($A146,'Data shares'!$C:$FA,124)</f>
        <v>0.35</v>
      </c>
      <c r="F146" s="143">
        <f>VLOOKUP($A146,'Data shares'!$C:$FA,125)</f>
        <v>0.39</v>
      </c>
      <c r="G146" s="143">
        <f>VLOOKUP($A146,'Data shares'!$C:$FA,127)*100</f>
        <v>-10.26</v>
      </c>
      <c r="H146" s="103">
        <f>VLOOKUP($A146,'OI(Volume)'!$A$7:$O$440,8)</f>
        <v>86096250</v>
      </c>
      <c r="I146" s="103">
        <f>VLOOKUP($A146,'OI(Volume)'!$A$7:$O$440,9)</f>
        <v>4131000</v>
      </c>
      <c r="J146" s="103">
        <f>VLOOKUP($A146,'OI(Volume)'!$A$7:$O$440,11)</f>
        <v>47817000</v>
      </c>
      <c r="K146" s="103">
        <f>VLOOKUP($A146,'OI(Volume)'!$A$7:$O$440,12)</f>
        <v>1107000</v>
      </c>
      <c r="L146" s="103">
        <f>VLOOKUP($A146,'OI(Value)'!$A$7:$O$323,8,0)</f>
        <v>699</v>
      </c>
      <c r="M146" s="103">
        <f>VLOOKUP($A146,'OI(Value)'!$A$7:$O$323,9,0)</f>
        <v>34</v>
      </c>
      <c r="N146" s="103">
        <f>VLOOKUP($A146,'OI(Value)'!$A$7:$O$323,11,0)</f>
        <v>388</v>
      </c>
      <c r="O146" s="103">
        <f>VLOOKUP($A146,'OI(Value)'!$A$7:$O$323,12,0)</f>
        <v>9</v>
      </c>
      <c r="P146" s="179">
        <f>VLOOKUP(A146,'OI(Value)'!A146:O364,8,0)</f>
        <v>699</v>
      </c>
      <c r="Q146" s="179">
        <f>VLOOKUP(A146,'OI(Value)'!A146:O364,9,0)</f>
        <v>34</v>
      </c>
      <c r="R146" s="179">
        <f>VLOOKUP(A146,'OI(Value)'!A146:O364,11,0)</f>
        <v>388</v>
      </c>
      <c r="S146" s="179">
        <f>VLOOKUP(A146,'OI(Value)'!A146:O364,11,0)</f>
        <v>388</v>
      </c>
    </row>
    <row r="147" spans="1:19" x14ac:dyDescent="0.25">
      <c r="A147" s="105" t="str">
        <f>'Data Vlaue (Cr)'!C142</f>
        <v>NTPC</v>
      </c>
      <c r="B147" s="143">
        <f>VLOOKUP($A147,'Data shares'!$C:$FA,118)</f>
        <v>0.44</v>
      </c>
      <c r="C147" s="143">
        <f>VLOOKUP($A147,'Data shares'!$C:$FA,119)</f>
        <v>0.39</v>
      </c>
      <c r="D147" s="143">
        <f>VLOOKUP($A147,'Data shares'!$C:$FA,121)*100</f>
        <v>12.82</v>
      </c>
      <c r="E147" s="143">
        <f>VLOOKUP($A147,'Data shares'!$C:$FA,124)</f>
        <v>0.24</v>
      </c>
      <c r="F147" s="143">
        <f>VLOOKUP($A147,'Data shares'!$C:$FA,125)</f>
        <v>0.36</v>
      </c>
      <c r="G147" s="143">
        <f>VLOOKUP($A147,'Data shares'!$C:$FA,127)*100</f>
        <v>-33.33</v>
      </c>
      <c r="H147" s="103">
        <f>VLOOKUP($A147,'OI(Volume)'!$A$7:$O$440,8)</f>
        <v>83953500</v>
      </c>
      <c r="I147" s="103">
        <f>VLOOKUP($A147,'OI(Volume)'!$A$7:$O$440,9)</f>
        <v>13866000</v>
      </c>
      <c r="J147" s="103">
        <f>VLOOKUP($A147,'OI(Volume)'!$A$7:$O$440,11)</f>
        <v>36841500</v>
      </c>
      <c r="K147" s="103">
        <f>VLOOKUP($A147,'OI(Volume)'!$A$7:$O$440,12)</f>
        <v>9699000</v>
      </c>
      <c r="L147" s="103">
        <f>VLOOKUP($A147,'OI(Value)'!$A$7:$O$323,8,0)</f>
        <v>3282</v>
      </c>
      <c r="M147" s="103">
        <f>VLOOKUP($A147,'OI(Value)'!$A$7:$O$323,9,0)</f>
        <v>542</v>
      </c>
      <c r="N147" s="103">
        <f>VLOOKUP($A147,'OI(Value)'!$A$7:$O$323,11,0)</f>
        <v>1440</v>
      </c>
      <c r="O147" s="103">
        <f>VLOOKUP($A147,'OI(Value)'!$A$7:$O$323,12,0)</f>
        <v>379</v>
      </c>
      <c r="P147" s="179">
        <f>VLOOKUP(A147,'OI(Value)'!A147:O365,8,0)</f>
        <v>3282</v>
      </c>
      <c r="Q147" s="179">
        <f>VLOOKUP(A147,'OI(Value)'!A147:O365,9,0)</f>
        <v>542</v>
      </c>
      <c r="R147" s="179">
        <f>VLOOKUP(A147,'OI(Value)'!A147:O365,11,0)</f>
        <v>1440</v>
      </c>
      <c r="S147" s="179">
        <f>VLOOKUP(A147,'OI(Value)'!A147:O365,11,0)</f>
        <v>1440</v>
      </c>
    </row>
    <row r="148" spans="1:19" x14ac:dyDescent="0.25">
      <c r="A148" s="105" t="str">
        <f>'Data Vlaue (Cr)'!C143</f>
        <v>NUVAMA</v>
      </c>
      <c r="B148" s="143">
        <f>VLOOKUP($A148,'Data shares'!$C:$FA,118)</f>
        <v>0.66</v>
      </c>
      <c r="C148" s="143">
        <f>VLOOKUP($A148,'Data shares'!$C:$FA,119)</f>
        <v>0.67</v>
      </c>
      <c r="D148" s="143">
        <f>VLOOKUP($A148,'Data shares'!$C:$FA,121)*100</f>
        <v>-1.49</v>
      </c>
      <c r="E148" s="143">
        <f>VLOOKUP($A148,'Data shares'!$C:$FA,124)</f>
        <v>0.28999999999999998</v>
      </c>
      <c r="F148" s="143">
        <f>VLOOKUP($A148,'Data shares'!$C:$FA,125)</f>
        <v>0.25</v>
      </c>
      <c r="G148" s="143">
        <f>VLOOKUP($A148,'Data shares'!$C:$FA,127)*100</f>
        <v>16</v>
      </c>
      <c r="H148" s="103">
        <f>VLOOKUP($A148,'OI(Volume)'!$A$7:$O$440,8)</f>
        <v>854500</v>
      </c>
      <c r="I148" s="103">
        <f>VLOOKUP($A148,'OI(Volume)'!$A$7:$O$440,9)</f>
        <v>0</v>
      </c>
      <c r="J148" s="103">
        <f>VLOOKUP($A148,'OI(Volume)'!$A$7:$O$440,11)</f>
        <v>561500</v>
      </c>
      <c r="K148" s="103">
        <f>VLOOKUP($A148,'OI(Volume)'!$A$7:$O$440,12)</f>
        <v>-12000</v>
      </c>
      <c r="L148" s="103">
        <f>VLOOKUP($A148,'OI(Value)'!$A$7:$O$323,8,0)</f>
        <v>102</v>
      </c>
      <c r="M148" s="103">
        <f>VLOOKUP($A148,'OI(Value)'!$A$7:$O$323,9,0)</f>
        <v>0</v>
      </c>
      <c r="N148" s="103">
        <f>VLOOKUP($A148,'OI(Value)'!$A$7:$O$323,11,0)</f>
        <v>67</v>
      </c>
      <c r="O148" s="103">
        <f>VLOOKUP($A148,'OI(Value)'!$A$7:$O$323,12,0)</f>
        <v>-1</v>
      </c>
      <c r="P148" s="179">
        <f>VLOOKUP(A148,'OI(Value)'!A148:O366,8,0)</f>
        <v>102</v>
      </c>
      <c r="Q148" s="179">
        <f>VLOOKUP(A148,'OI(Value)'!A148:O366,9,0)</f>
        <v>0</v>
      </c>
      <c r="R148" s="179">
        <f>VLOOKUP(A148,'OI(Value)'!A148:O366,11,0)</f>
        <v>67</v>
      </c>
      <c r="S148" s="179">
        <f>VLOOKUP(A148,'OI(Value)'!A148:O366,11,0)</f>
        <v>67</v>
      </c>
    </row>
    <row r="149" spans="1:19" x14ac:dyDescent="0.25">
      <c r="A149" s="105" t="str">
        <f>'Data Vlaue (Cr)'!C144</f>
        <v>NYKAA</v>
      </c>
      <c r="B149" s="143">
        <f>VLOOKUP($A149,'Data shares'!$C:$FA,118)</f>
        <v>0.52</v>
      </c>
      <c r="C149" s="143">
        <f>VLOOKUP($A149,'Data shares'!$C:$FA,119)</f>
        <v>0.56000000000000005</v>
      </c>
      <c r="D149" s="143">
        <f>VLOOKUP($A149,'Data shares'!$C:$FA,121)*100</f>
        <v>-7.1400000000000006</v>
      </c>
      <c r="E149" s="143">
        <f>VLOOKUP($A149,'Data shares'!$C:$FA,124)</f>
        <v>0.48</v>
      </c>
      <c r="F149" s="143">
        <f>VLOOKUP($A149,'Data shares'!$C:$FA,125)</f>
        <v>0.54</v>
      </c>
      <c r="G149" s="143">
        <f>VLOOKUP($A149,'Data shares'!$C:$FA,127)*100</f>
        <v>-11.110000000000001</v>
      </c>
      <c r="H149" s="103">
        <f>VLOOKUP($A149,'OI(Volume)'!$A$7:$O$440,8)</f>
        <v>8728125</v>
      </c>
      <c r="I149" s="103">
        <f>VLOOKUP($A149,'OI(Volume)'!$A$7:$O$440,9)</f>
        <v>546875</v>
      </c>
      <c r="J149" s="103">
        <f>VLOOKUP($A149,'OI(Volume)'!$A$7:$O$440,11)</f>
        <v>4496875</v>
      </c>
      <c r="K149" s="103">
        <f>VLOOKUP($A149,'OI(Volume)'!$A$7:$O$440,12)</f>
        <v>-115625</v>
      </c>
      <c r="L149" s="103">
        <f>VLOOKUP($A149,'OI(Value)'!$A$7:$O$323,8,0)</f>
        <v>215</v>
      </c>
      <c r="M149" s="103">
        <f>VLOOKUP($A149,'OI(Value)'!$A$7:$O$323,9,0)</f>
        <v>13</v>
      </c>
      <c r="N149" s="103">
        <f>VLOOKUP($A149,'OI(Value)'!$A$7:$O$323,11,0)</f>
        <v>111</v>
      </c>
      <c r="O149" s="103">
        <f>VLOOKUP($A149,'OI(Value)'!$A$7:$O$323,12,0)</f>
        <v>-3</v>
      </c>
      <c r="P149" s="179">
        <f>VLOOKUP(A149,'OI(Value)'!A149:O367,8,0)</f>
        <v>215</v>
      </c>
      <c r="Q149" s="179">
        <f>VLOOKUP(A149,'OI(Value)'!A149:O367,9,0)</f>
        <v>13</v>
      </c>
      <c r="R149" s="179">
        <f>VLOOKUP(A149,'OI(Value)'!A149:O367,11,0)</f>
        <v>111</v>
      </c>
      <c r="S149" s="179">
        <f>VLOOKUP(A149,'OI(Value)'!A149:O367,11,0)</f>
        <v>111</v>
      </c>
    </row>
    <row r="150" spans="1:19" x14ac:dyDescent="0.25">
      <c r="A150" s="105" t="str">
        <f>'Data Vlaue (Cr)'!C145</f>
        <v>OBEROIRLTY</v>
      </c>
      <c r="B150" s="143">
        <f>VLOOKUP($A150,'Data shares'!$C:$FA,118)</f>
        <v>0.93</v>
      </c>
      <c r="C150" s="143">
        <f>VLOOKUP($A150,'Data shares'!$C:$FA,119)</f>
        <v>0.9</v>
      </c>
      <c r="D150" s="143">
        <f>VLOOKUP($A150,'Data shares'!$C:$FA,121)*100</f>
        <v>3.3300000000000005</v>
      </c>
      <c r="E150" s="143">
        <f>VLOOKUP($A150,'Data shares'!$C:$FA,124)</f>
        <v>0.65</v>
      </c>
      <c r="F150" s="143">
        <f>VLOOKUP($A150,'Data shares'!$C:$FA,125)</f>
        <v>0.99</v>
      </c>
      <c r="G150" s="143">
        <f>VLOOKUP($A150,'Data shares'!$C:$FA,127)*100</f>
        <v>-34.339999999999996</v>
      </c>
      <c r="H150" s="103">
        <f>VLOOKUP($A150,'OI(Volume)'!$A$7:$O$440,8)</f>
        <v>1351350</v>
      </c>
      <c r="I150" s="103">
        <f>VLOOKUP($A150,'OI(Volume)'!$A$7:$O$440,9)</f>
        <v>-63000</v>
      </c>
      <c r="J150" s="103">
        <f>VLOOKUP($A150,'OI(Volume)'!$A$7:$O$440,11)</f>
        <v>1258250</v>
      </c>
      <c r="K150" s="103">
        <f>VLOOKUP($A150,'OI(Volume)'!$A$7:$O$440,12)</f>
        <v>-20300</v>
      </c>
      <c r="L150" s="103">
        <f>VLOOKUP($A150,'OI(Value)'!$A$7:$O$323,8,0)</f>
        <v>197</v>
      </c>
      <c r="M150" s="103">
        <f>VLOOKUP($A150,'OI(Value)'!$A$7:$O$323,9,0)</f>
        <v>-9</v>
      </c>
      <c r="N150" s="103">
        <f>VLOOKUP($A150,'OI(Value)'!$A$7:$O$323,11,0)</f>
        <v>183</v>
      </c>
      <c r="O150" s="103">
        <f>VLOOKUP($A150,'OI(Value)'!$A$7:$O$323,12,0)</f>
        <v>-3</v>
      </c>
      <c r="P150" s="179">
        <f>VLOOKUP(A150,'OI(Value)'!A150:O368,8,0)</f>
        <v>197</v>
      </c>
      <c r="Q150" s="179">
        <f>VLOOKUP(A150,'OI(Value)'!A150:O368,9,0)</f>
        <v>-9</v>
      </c>
      <c r="R150" s="179">
        <f>VLOOKUP(A150,'OI(Value)'!A150:O368,11,0)</f>
        <v>183</v>
      </c>
      <c r="S150" s="179">
        <f>VLOOKUP(A150,'OI(Value)'!A150:O368,11,0)</f>
        <v>183</v>
      </c>
    </row>
    <row r="151" spans="1:19" x14ac:dyDescent="0.25">
      <c r="A151" s="105" t="str">
        <f>'Data Vlaue (Cr)'!C146</f>
        <v>OFSS</v>
      </c>
      <c r="B151" s="143">
        <f>VLOOKUP($A151,'Data shares'!$C:$FA,118)</f>
        <v>0.62</v>
      </c>
      <c r="C151" s="143">
        <f>VLOOKUP($A151,'Data shares'!$C:$FA,119)</f>
        <v>0.55000000000000004</v>
      </c>
      <c r="D151" s="143">
        <f>VLOOKUP($A151,'Data shares'!$C:$FA,121)*100</f>
        <v>12.73</v>
      </c>
      <c r="E151" s="143">
        <f>VLOOKUP($A151,'Data shares'!$C:$FA,124)</f>
        <v>1.1299999999999999</v>
      </c>
      <c r="F151" s="143">
        <f>VLOOKUP($A151,'Data shares'!$C:$FA,125)</f>
        <v>0.38</v>
      </c>
      <c r="G151" s="143">
        <f>VLOOKUP($A151,'Data shares'!$C:$FA,127)*100</f>
        <v>197.37</v>
      </c>
      <c r="H151" s="103">
        <f>VLOOKUP($A151,'OI(Volume)'!$A$7:$O$440,8)</f>
        <v>549750</v>
      </c>
      <c r="I151" s="103">
        <f>VLOOKUP($A151,'OI(Volume)'!$A$7:$O$440,9)</f>
        <v>-34200</v>
      </c>
      <c r="J151" s="103">
        <f>VLOOKUP($A151,'OI(Volume)'!$A$7:$O$440,11)</f>
        <v>338700</v>
      </c>
      <c r="K151" s="103">
        <f>VLOOKUP($A151,'OI(Volume)'!$A$7:$O$440,12)</f>
        <v>19725</v>
      </c>
      <c r="L151" s="103">
        <f>VLOOKUP($A151,'OI(Value)'!$A$7:$O$323,8,0)</f>
        <v>367</v>
      </c>
      <c r="M151" s="103">
        <f>VLOOKUP($A151,'OI(Value)'!$A$7:$O$323,9,0)</f>
        <v>-23</v>
      </c>
      <c r="N151" s="103">
        <f>VLOOKUP($A151,'OI(Value)'!$A$7:$O$323,11,0)</f>
        <v>226</v>
      </c>
      <c r="O151" s="103">
        <f>VLOOKUP($A151,'OI(Value)'!$A$7:$O$323,12,0)</f>
        <v>13</v>
      </c>
      <c r="P151" s="179">
        <f>VLOOKUP(A151,'OI(Value)'!A151:O369,8,0)</f>
        <v>367</v>
      </c>
      <c r="Q151" s="179">
        <f>VLOOKUP(A151,'OI(Value)'!A151:O369,9,0)</f>
        <v>-23</v>
      </c>
      <c r="R151" s="179">
        <f>VLOOKUP(A151,'OI(Value)'!A151:O369,11,0)</f>
        <v>226</v>
      </c>
      <c r="S151" s="179">
        <f>VLOOKUP(A151,'OI(Value)'!A151:O369,11,0)</f>
        <v>226</v>
      </c>
    </row>
    <row r="152" spans="1:19" x14ac:dyDescent="0.25">
      <c r="A152" s="105" t="str">
        <f>'Data Vlaue (Cr)'!C147</f>
        <v>OIL</v>
      </c>
      <c r="B152" s="143">
        <f>VLOOKUP($A152,'Data shares'!$C:$FA,118)</f>
        <v>0.55000000000000004</v>
      </c>
      <c r="C152" s="143">
        <f>VLOOKUP($A152,'Data shares'!$C:$FA,119)</f>
        <v>0.52</v>
      </c>
      <c r="D152" s="143">
        <f>VLOOKUP($A152,'Data shares'!$C:$FA,121)*100</f>
        <v>5.7700000000000005</v>
      </c>
      <c r="E152" s="143">
        <f>VLOOKUP($A152,'Data shares'!$C:$FA,124)</f>
        <v>0.28999999999999998</v>
      </c>
      <c r="F152" s="143">
        <f>VLOOKUP($A152,'Data shares'!$C:$FA,125)</f>
        <v>0.35</v>
      </c>
      <c r="G152" s="143">
        <f>VLOOKUP($A152,'Data shares'!$C:$FA,127)*100</f>
        <v>-17.14</v>
      </c>
      <c r="H152" s="103">
        <f>VLOOKUP($A152,'OI(Volume)'!$A$7:$O$440,8)</f>
        <v>19735800</v>
      </c>
      <c r="I152" s="103">
        <f>VLOOKUP($A152,'OI(Volume)'!$A$7:$O$440,9)</f>
        <v>-1089200</v>
      </c>
      <c r="J152" s="103">
        <f>VLOOKUP($A152,'OI(Volume)'!$A$7:$O$440,11)</f>
        <v>10838800</v>
      </c>
      <c r="K152" s="103">
        <f>VLOOKUP($A152,'OI(Volume)'!$A$7:$O$440,12)</f>
        <v>-28000</v>
      </c>
      <c r="L152" s="103">
        <f>VLOOKUP($A152,'OI(Value)'!$A$7:$O$323,8,0)</f>
        <v>944</v>
      </c>
      <c r="M152" s="103">
        <f>VLOOKUP($A152,'OI(Value)'!$A$7:$O$323,9,0)</f>
        <v>-52</v>
      </c>
      <c r="N152" s="103">
        <f>VLOOKUP($A152,'OI(Value)'!$A$7:$O$323,11,0)</f>
        <v>518</v>
      </c>
      <c r="O152" s="103">
        <f>VLOOKUP($A152,'OI(Value)'!$A$7:$O$323,12,0)</f>
        <v>-1</v>
      </c>
      <c r="P152" s="179">
        <f>VLOOKUP(A152,'OI(Value)'!A152:O370,8,0)</f>
        <v>944</v>
      </c>
      <c r="Q152" s="179">
        <f>VLOOKUP(A152,'OI(Value)'!A152:O370,9,0)</f>
        <v>-52</v>
      </c>
      <c r="R152" s="179">
        <f>VLOOKUP(A152,'OI(Value)'!A152:O370,11,0)</f>
        <v>518</v>
      </c>
      <c r="S152" s="179">
        <f>VLOOKUP(A152,'OI(Value)'!A152:O370,11,0)</f>
        <v>518</v>
      </c>
    </row>
    <row r="153" spans="1:19" x14ac:dyDescent="0.25">
      <c r="A153" s="105" t="str">
        <f>'Data Vlaue (Cr)'!C148</f>
        <v>ONGC</v>
      </c>
      <c r="B153" s="143">
        <f>VLOOKUP($A153,'Data shares'!$C:$FA,118)</f>
        <v>0.46</v>
      </c>
      <c r="C153" s="143">
        <f>VLOOKUP($A153,'Data shares'!$C:$FA,119)</f>
        <v>0.44</v>
      </c>
      <c r="D153" s="143">
        <f>VLOOKUP($A153,'Data shares'!$C:$FA,121)*100</f>
        <v>4.55</v>
      </c>
      <c r="E153" s="143">
        <f>VLOOKUP($A153,'Data shares'!$C:$FA,124)</f>
        <v>0.34</v>
      </c>
      <c r="F153" s="143">
        <f>VLOOKUP($A153,'Data shares'!$C:$FA,125)</f>
        <v>0.31</v>
      </c>
      <c r="G153" s="143">
        <f>VLOOKUP($A153,'Data shares'!$C:$FA,127)*100</f>
        <v>9.68</v>
      </c>
      <c r="H153" s="103">
        <f>VLOOKUP($A153,'OI(Volume)'!$A$7:$O$440,8)</f>
        <v>91172250</v>
      </c>
      <c r="I153" s="103">
        <f>VLOOKUP($A153,'OI(Volume)'!$A$7:$O$440,9)</f>
        <v>1008000</v>
      </c>
      <c r="J153" s="103">
        <f>VLOOKUP($A153,'OI(Volume)'!$A$7:$O$440,11)</f>
        <v>41656500</v>
      </c>
      <c r="K153" s="103">
        <f>VLOOKUP($A153,'OI(Volume)'!$A$7:$O$440,12)</f>
        <v>2391750</v>
      </c>
      <c r="L153" s="103">
        <f>VLOOKUP($A153,'OI(Value)'!$A$7:$O$323,8,0)</f>
        <v>2475</v>
      </c>
      <c r="M153" s="103">
        <f>VLOOKUP($A153,'OI(Value)'!$A$7:$O$323,9,0)</f>
        <v>27</v>
      </c>
      <c r="N153" s="103">
        <f>VLOOKUP($A153,'OI(Value)'!$A$7:$O$323,11,0)</f>
        <v>1131</v>
      </c>
      <c r="O153" s="103">
        <f>VLOOKUP($A153,'OI(Value)'!$A$7:$O$323,12,0)</f>
        <v>65</v>
      </c>
      <c r="P153" s="179">
        <f>VLOOKUP(A153,'OI(Value)'!A153:O371,8,0)</f>
        <v>2475</v>
      </c>
      <c r="Q153" s="179">
        <f>VLOOKUP(A153,'OI(Value)'!A153:O371,9,0)</f>
        <v>27</v>
      </c>
      <c r="R153" s="179">
        <f>VLOOKUP(A153,'OI(Value)'!A153:O371,11,0)</f>
        <v>1131</v>
      </c>
      <c r="S153" s="179">
        <f>VLOOKUP(A153,'OI(Value)'!A153:O371,11,0)</f>
        <v>1131</v>
      </c>
    </row>
    <row r="154" spans="1:19" x14ac:dyDescent="0.25">
      <c r="A154" s="105" t="str">
        <f>'Data Vlaue (Cr)'!C149</f>
        <v>PAGEIND</v>
      </c>
      <c r="B154" s="143">
        <f>VLOOKUP($A154,'Data shares'!$C:$FA,118)</f>
        <v>0.42</v>
      </c>
      <c r="C154" s="143">
        <f>VLOOKUP($A154,'Data shares'!$C:$FA,119)</f>
        <v>0.54</v>
      </c>
      <c r="D154" s="143">
        <f>VLOOKUP($A154,'Data shares'!$C:$FA,121)*100</f>
        <v>-22.220000000000002</v>
      </c>
      <c r="E154" s="143">
        <f>VLOOKUP($A154,'Data shares'!$C:$FA,124)</f>
        <v>0.42</v>
      </c>
      <c r="F154" s="143">
        <f>VLOOKUP($A154,'Data shares'!$C:$FA,125)</f>
        <v>0.42</v>
      </c>
      <c r="G154" s="143">
        <f>VLOOKUP($A154,'Data shares'!$C:$FA,127)*100</f>
        <v>0</v>
      </c>
      <c r="H154" s="103">
        <f>VLOOKUP($A154,'OI(Volume)'!$A$7:$O$440,8)</f>
        <v>127275</v>
      </c>
      <c r="I154" s="103">
        <f>VLOOKUP($A154,'OI(Volume)'!$A$7:$O$440,9)</f>
        <v>26595</v>
      </c>
      <c r="J154" s="103">
        <f>VLOOKUP($A154,'OI(Volume)'!$A$7:$O$440,11)</f>
        <v>53190</v>
      </c>
      <c r="K154" s="103">
        <f>VLOOKUP($A154,'OI(Volume)'!$A$7:$O$440,12)</f>
        <v>-990</v>
      </c>
      <c r="L154" s="103">
        <f>VLOOKUP($A154,'OI(Value)'!$A$7:$O$323,8,0)</f>
        <v>393</v>
      </c>
      <c r="M154" s="103">
        <f>VLOOKUP($A154,'OI(Value)'!$A$7:$O$323,9,0)</f>
        <v>82</v>
      </c>
      <c r="N154" s="103">
        <f>VLOOKUP($A154,'OI(Value)'!$A$7:$O$323,11,0)</f>
        <v>164</v>
      </c>
      <c r="O154" s="103">
        <f>VLOOKUP($A154,'OI(Value)'!$A$7:$O$323,12,0)</f>
        <v>-3</v>
      </c>
      <c r="P154" s="179">
        <f>VLOOKUP(A154,'OI(Value)'!A154:O372,8,0)</f>
        <v>393</v>
      </c>
      <c r="Q154" s="179">
        <f>VLOOKUP(A154,'OI(Value)'!A154:O372,9,0)</f>
        <v>82</v>
      </c>
      <c r="R154" s="179">
        <f>VLOOKUP(A154,'OI(Value)'!A154:O372,11,0)</f>
        <v>164</v>
      </c>
      <c r="S154" s="179">
        <f>VLOOKUP(A154,'OI(Value)'!A154:O372,11,0)</f>
        <v>164</v>
      </c>
    </row>
    <row r="155" spans="1:19" x14ac:dyDescent="0.25">
      <c r="A155" s="105" t="str">
        <f>'Data Vlaue (Cr)'!C150</f>
        <v>PATANJALI</v>
      </c>
      <c r="B155" s="143">
        <f>VLOOKUP($A155,'Data shares'!$C:$FA,118)</f>
        <v>0.88</v>
      </c>
      <c r="C155" s="143">
        <f>VLOOKUP($A155,'Data shares'!$C:$FA,119)</f>
        <v>0.73</v>
      </c>
      <c r="D155" s="143">
        <f>VLOOKUP($A155,'Data shares'!$C:$FA,121)*100</f>
        <v>20.549999999999997</v>
      </c>
      <c r="E155" s="143">
        <f>VLOOKUP($A155,'Data shares'!$C:$FA,124)</f>
        <v>0.77</v>
      </c>
      <c r="F155" s="143">
        <f>VLOOKUP($A155,'Data shares'!$C:$FA,125)</f>
        <v>0.59</v>
      </c>
      <c r="G155" s="143">
        <f>VLOOKUP($A155,'Data shares'!$C:$FA,127)*100</f>
        <v>30.509999999999998</v>
      </c>
      <c r="H155" s="103">
        <f>VLOOKUP($A155,'OI(Volume)'!$A$7:$O$440,8)</f>
        <v>3168900</v>
      </c>
      <c r="I155" s="103">
        <f>VLOOKUP($A155,'OI(Volume)'!$A$7:$O$440,9)</f>
        <v>178200</v>
      </c>
      <c r="J155" s="103">
        <f>VLOOKUP($A155,'OI(Volume)'!$A$7:$O$440,11)</f>
        <v>2796300</v>
      </c>
      <c r="K155" s="103">
        <f>VLOOKUP($A155,'OI(Volume)'!$A$7:$O$440,12)</f>
        <v>614700</v>
      </c>
      <c r="L155" s="103">
        <f>VLOOKUP($A155,'OI(Value)'!$A$7:$O$323,8,0)</f>
        <v>155</v>
      </c>
      <c r="M155" s="103">
        <f>VLOOKUP($A155,'OI(Value)'!$A$7:$O$323,9,0)</f>
        <v>9</v>
      </c>
      <c r="N155" s="103">
        <f>VLOOKUP($A155,'OI(Value)'!$A$7:$O$323,11,0)</f>
        <v>137</v>
      </c>
      <c r="O155" s="103">
        <f>VLOOKUP($A155,'OI(Value)'!$A$7:$O$323,12,0)</f>
        <v>30</v>
      </c>
      <c r="P155" s="179">
        <f>VLOOKUP(A155,'OI(Value)'!A155:O373,8,0)</f>
        <v>155</v>
      </c>
      <c r="Q155" s="179">
        <f>VLOOKUP(A155,'OI(Value)'!A155:O373,9,0)</f>
        <v>9</v>
      </c>
      <c r="R155" s="179">
        <f>VLOOKUP(A155,'OI(Value)'!A155:O373,11,0)</f>
        <v>137</v>
      </c>
      <c r="S155" s="179">
        <f>VLOOKUP(A155,'OI(Value)'!A155:O373,11,0)</f>
        <v>137</v>
      </c>
    </row>
    <row r="156" spans="1:19" x14ac:dyDescent="0.25">
      <c r="A156" s="105" t="str">
        <f>'Data Vlaue (Cr)'!C151</f>
        <v>PAYTM</v>
      </c>
      <c r="B156" s="143">
        <f>VLOOKUP($A156,'Data shares'!$C:$FA,118)</f>
        <v>0.67</v>
      </c>
      <c r="C156" s="143">
        <f>VLOOKUP($A156,'Data shares'!$C:$FA,119)</f>
        <v>0.67</v>
      </c>
      <c r="D156" s="143">
        <f>VLOOKUP($A156,'Data shares'!$C:$FA,121)*100</f>
        <v>0</v>
      </c>
      <c r="E156" s="143">
        <f>VLOOKUP($A156,'Data shares'!$C:$FA,124)</f>
        <v>0.62</v>
      </c>
      <c r="F156" s="143">
        <f>VLOOKUP($A156,'Data shares'!$C:$FA,125)</f>
        <v>0.59</v>
      </c>
      <c r="G156" s="143">
        <f>VLOOKUP($A156,'Data shares'!$C:$FA,127)*100</f>
        <v>5.08</v>
      </c>
      <c r="H156" s="103">
        <f>VLOOKUP($A156,'OI(Volume)'!$A$7:$O$440,8)</f>
        <v>8543400</v>
      </c>
      <c r="I156" s="103">
        <f>VLOOKUP($A156,'OI(Volume)'!$A$7:$O$440,9)</f>
        <v>147900</v>
      </c>
      <c r="J156" s="103">
        <f>VLOOKUP($A156,'OI(Volume)'!$A$7:$O$440,11)</f>
        <v>5729675</v>
      </c>
      <c r="K156" s="103">
        <f>VLOOKUP($A156,'OI(Volume)'!$A$7:$O$440,12)</f>
        <v>73950</v>
      </c>
      <c r="L156" s="103">
        <f>VLOOKUP($A156,'OI(Value)'!$A$7:$O$323,8,0)</f>
        <v>865</v>
      </c>
      <c r="M156" s="103">
        <f>VLOOKUP($A156,'OI(Value)'!$A$7:$O$323,9,0)</f>
        <v>15</v>
      </c>
      <c r="N156" s="103">
        <f>VLOOKUP($A156,'OI(Value)'!$A$7:$O$323,11,0)</f>
        <v>580</v>
      </c>
      <c r="O156" s="103">
        <f>VLOOKUP($A156,'OI(Value)'!$A$7:$O$323,12,0)</f>
        <v>7</v>
      </c>
      <c r="P156" s="179">
        <f>VLOOKUP(A156,'OI(Value)'!A156:O374,8,0)</f>
        <v>865</v>
      </c>
      <c r="Q156" s="179">
        <f>VLOOKUP(A156,'OI(Value)'!A156:O374,9,0)</f>
        <v>15</v>
      </c>
      <c r="R156" s="179">
        <f>VLOOKUP(A156,'OI(Value)'!A156:O374,11,0)</f>
        <v>580</v>
      </c>
      <c r="S156" s="179">
        <f>VLOOKUP(A156,'OI(Value)'!A156:O374,11,0)</f>
        <v>580</v>
      </c>
    </row>
    <row r="157" spans="1:19" x14ac:dyDescent="0.25">
      <c r="A157" s="105" t="str">
        <f>'Data Vlaue (Cr)'!C152</f>
        <v>PERSISTENT</v>
      </c>
      <c r="B157" s="143">
        <f>VLOOKUP($A157,'Data shares'!$C:$FA,118)</f>
        <v>0.64</v>
      </c>
      <c r="C157" s="143">
        <f>VLOOKUP($A157,'Data shares'!$C:$FA,119)</f>
        <v>0.66</v>
      </c>
      <c r="D157" s="143">
        <f>VLOOKUP($A157,'Data shares'!$C:$FA,121)*100</f>
        <v>-3.0300000000000002</v>
      </c>
      <c r="E157" s="143">
        <f>VLOOKUP($A157,'Data shares'!$C:$FA,124)</f>
        <v>0.52</v>
      </c>
      <c r="F157" s="143">
        <f>VLOOKUP($A157,'Data shares'!$C:$FA,125)</f>
        <v>0.61</v>
      </c>
      <c r="G157" s="143">
        <f>VLOOKUP($A157,'Data shares'!$C:$FA,127)*100</f>
        <v>-14.75</v>
      </c>
      <c r="H157" s="103">
        <f>VLOOKUP($A157,'OI(Volume)'!$A$7:$O$440,8)</f>
        <v>1849100</v>
      </c>
      <c r="I157" s="103">
        <f>VLOOKUP($A157,'OI(Volume)'!$A$7:$O$440,9)</f>
        <v>13900</v>
      </c>
      <c r="J157" s="103">
        <f>VLOOKUP($A157,'OI(Volume)'!$A$7:$O$440,11)</f>
        <v>1188100</v>
      </c>
      <c r="K157" s="103">
        <f>VLOOKUP($A157,'OI(Volume)'!$A$7:$O$440,12)</f>
        <v>-16400</v>
      </c>
      <c r="L157" s="103">
        <f>VLOOKUP($A157,'OI(Value)'!$A$7:$O$323,8,0)</f>
        <v>867</v>
      </c>
      <c r="M157" s="103">
        <f>VLOOKUP($A157,'OI(Value)'!$A$7:$O$323,9,0)</f>
        <v>7</v>
      </c>
      <c r="N157" s="103">
        <f>VLOOKUP($A157,'OI(Value)'!$A$7:$O$323,11,0)</f>
        <v>557</v>
      </c>
      <c r="O157" s="103">
        <f>VLOOKUP($A157,'OI(Value)'!$A$7:$O$323,12,0)</f>
        <v>-8</v>
      </c>
      <c r="P157" s="179">
        <f>VLOOKUP(A157,'OI(Value)'!A157:O375,8,0)</f>
        <v>867</v>
      </c>
      <c r="Q157" s="179">
        <f>VLOOKUP(A157,'OI(Value)'!A157:O375,9,0)</f>
        <v>7</v>
      </c>
      <c r="R157" s="179">
        <f>VLOOKUP(A157,'OI(Value)'!A157:O375,11,0)</f>
        <v>557</v>
      </c>
      <c r="S157" s="179">
        <f>VLOOKUP(A157,'OI(Value)'!A157:O375,11,0)</f>
        <v>557</v>
      </c>
    </row>
    <row r="158" spans="1:19" x14ac:dyDescent="0.25">
      <c r="A158" s="105" t="str">
        <f>'Data Vlaue (Cr)'!C153</f>
        <v>PETRONET</v>
      </c>
      <c r="B158" s="143">
        <f>VLOOKUP($A158,'Data shares'!$C:$FA,118)</f>
        <v>0.91</v>
      </c>
      <c r="C158" s="143">
        <f>VLOOKUP($A158,'Data shares'!$C:$FA,119)</f>
        <v>0.94</v>
      </c>
      <c r="D158" s="143">
        <f>VLOOKUP($A158,'Data shares'!$C:$FA,121)*100</f>
        <v>-3.19</v>
      </c>
      <c r="E158" s="143">
        <f>VLOOKUP($A158,'Data shares'!$C:$FA,124)</f>
        <v>0.41</v>
      </c>
      <c r="F158" s="143">
        <f>VLOOKUP($A158,'Data shares'!$C:$FA,125)</f>
        <v>0.71</v>
      </c>
      <c r="G158" s="143">
        <f>VLOOKUP($A158,'Data shares'!$C:$FA,127)*100</f>
        <v>-42.25</v>
      </c>
      <c r="H158" s="103">
        <f>VLOOKUP($A158,'OI(Volume)'!$A$7:$O$440,8)</f>
        <v>17248200</v>
      </c>
      <c r="I158" s="103">
        <f>VLOOKUP($A158,'OI(Volume)'!$A$7:$O$440,9)</f>
        <v>640300</v>
      </c>
      <c r="J158" s="103">
        <f>VLOOKUP($A158,'OI(Volume)'!$A$7:$O$440,11)</f>
        <v>15760500</v>
      </c>
      <c r="K158" s="103">
        <f>VLOOKUP($A158,'OI(Volume)'!$A$7:$O$440,12)</f>
        <v>174800</v>
      </c>
      <c r="L158" s="103">
        <f>VLOOKUP($A158,'OI(Value)'!$A$7:$O$323,8,0)</f>
        <v>511</v>
      </c>
      <c r="M158" s="103">
        <f>VLOOKUP($A158,'OI(Value)'!$A$7:$O$323,9,0)</f>
        <v>19</v>
      </c>
      <c r="N158" s="103">
        <f>VLOOKUP($A158,'OI(Value)'!$A$7:$O$323,11,0)</f>
        <v>467</v>
      </c>
      <c r="O158" s="103">
        <f>VLOOKUP($A158,'OI(Value)'!$A$7:$O$323,12,0)</f>
        <v>5</v>
      </c>
      <c r="P158" s="179">
        <f>VLOOKUP(A158,'OI(Value)'!A158:O376,8,0)</f>
        <v>511</v>
      </c>
      <c r="Q158" s="179">
        <f>VLOOKUP(A158,'OI(Value)'!A158:O376,9,0)</f>
        <v>19</v>
      </c>
      <c r="R158" s="179">
        <f>VLOOKUP(A158,'OI(Value)'!A158:O376,11,0)</f>
        <v>467</v>
      </c>
      <c r="S158" s="179">
        <f>VLOOKUP(A158,'OI(Value)'!A158:O376,11,0)</f>
        <v>467</v>
      </c>
    </row>
    <row r="159" spans="1:19" x14ac:dyDescent="0.25">
      <c r="A159" s="105" t="str">
        <f>'Data Vlaue (Cr)'!C154</f>
        <v>PFC</v>
      </c>
      <c r="B159" s="143">
        <f>VLOOKUP($A159,'Data shares'!$C:$FA,118)</f>
        <v>0.47</v>
      </c>
      <c r="C159" s="143">
        <f>VLOOKUP($A159,'Data shares'!$C:$FA,119)</f>
        <v>0.47</v>
      </c>
      <c r="D159" s="143">
        <f>VLOOKUP($A159,'Data shares'!$C:$FA,121)*100</f>
        <v>0</v>
      </c>
      <c r="E159" s="143">
        <f>VLOOKUP($A159,'Data shares'!$C:$FA,124)</f>
        <v>0.42</v>
      </c>
      <c r="F159" s="143">
        <f>VLOOKUP($A159,'Data shares'!$C:$FA,125)</f>
        <v>0.54</v>
      </c>
      <c r="G159" s="143">
        <f>VLOOKUP($A159,'Data shares'!$C:$FA,127)*100</f>
        <v>-22.220000000000002</v>
      </c>
      <c r="H159" s="103">
        <f>VLOOKUP($A159,'OI(Volume)'!$A$7:$O$440,8)</f>
        <v>37209900</v>
      </c>
      <c r="I159" s="103">
        <f>VLOOKUP($A159,'OI(Volume)'!$A$7:$O$440,9)</f>
        <v>1948700</v>
      </c>
      <c r="J159" s="103">
        <f>VLOOKUP($A159,'OI(Volume)'!$A$7:$O$440,11)</f>
        <v>17535700</v>
      </c>
      <c r="K159" s="103">
        <f>VLOOKUP($A159,'OI(Volume)'!$A$7:$O$440,12)</f>
        <v>1095900</v>
      </c>
      <c r="L159" s="103">
        <f>VLOOKUP($A159,'OI(Value)'!$A$7:$O$323,8,0)</f>
        <v>1545</v>
      </c>
      <c r="M159" s="103">
        <f>VLOOKUP($A159,'OI(Value)'!$A$7:$O$323,9,0)</f>
        <v>81</v>
      </c>
      <c r="N159" s="103">
        <f>VLOOKUP($A159,'OI(Value)'!$A$7:$O$323,11,0)</f>
        <v>728</v>
      </c>
      <c r="O159" s="103">
        <f>VLOOKUP($A159,'OI(Value)'!$A$7:$O$323,12,0)</f>
        <v>45</v>
      </c>
      <c r="P159" s="179">
        <f>VLOOKUP(A159,'OI(Value)'!A159:O377,8,0)</f>
        <v>1545</v>
      </c>
      <c r="Q159" s="179">
        <f>VLOOKUP(A159,'OI(Value)'!A159:O377,9,0)</f>
        <v>81</v>
      </c>
      <c r="R159" s="179">
        <f>VLOOKUP(A159,'OI(Value)'!A159:O377,11,0)</f>
        <v>728</v>
      </c>
      <c r="S159" s="179">
        <f>VLOOKUP(A159,'OI(Value)'!A159:O377,11,0)</f>
        <v>728</v>
      </c>
    </row>
    <row r="160" spans="1:19" x14ac:dyDescent="0.25">
      <c r="A160" s="105" t="str">
        <f>'Data Vlaue (Cr)'!C155</f>
        <v>PGEL</v>
      </c>
      <c r="B160" s="143">
        <f>VLOOKUP($A160,'Data shares'!$C:$FA,118)</f>
        <v>0.66</v>
      </c>
      <c r="C160" s="143">
        <f>VLOOKUP($A160,'Data shares'!$C:$FA,119)</f>
        <v>0.65</v>
      </c>
      <c r="D160" s="143">
        <f>VLOOKUP($A160,'Data shares'!$C:$FA,121)*100</f>
        <v>1.54</v>
      </c>
      <c r="E160" s="143">
        <f>VLOOKUP($A160,'Data shares'!$C:$FA,124)</f>
        <v>0.74</v>
      </c>
      <c r="F160" s="143">
        <f>VLOOKUP($A160,'Data shares'!$C:$FA,125)</f>
        <v>0.34</v>
      </c>
      <c r="G160" s="143">
        <f>VLOOKUP($A160,'Data shares'!$C:$FA,127)*100</f>
        <v>117.65</v>
      </c>
      <c r="H160" s="103">
        <f>VLOOKUP($A160,'OI(Volume)'!$A$7:$O$440,8)</f>
        <v>8427450</v>
      </c>
      <c r="I160" s="103">
        <f>VLOOKUP($A160,'OI(Volume)'!$A$7:$O$440,9)</f>
        <v>-139650</v>
      </c>
      <c r="J160" s="103">
        <f>VLOOKUP($A160,'OI(Volume)'!$A$7:$O$440,11)</f>
        <v>5530900</v>
      </c>
      <c r="K160" s="103">
        <f>VLOOKUP($A160,'OI(Volume)'!$A$7:$O$440,12)</f>
        <v>-36100</v>
      </c>
      <c r="L160" s="103">
        <f>VLOOKUP($A160,'OI(Value)'!$A$7:$O$323,8,0)</f>
        <v>448</v>
      </c>
      <c r="M160" s="103">
        <f>VLOOKUP($A160,'OI(Value)'!$A$7:$O$323,9,0)</f>
        <v>-7</v>
      </c>
      <c r="N160" s="103">
        <f>VLOOKUP($A160,'OI(Value)'!$A$7:$O$323,11,0)</f>
        <v>294</v>
      </c>
      <c r="O160" s="103">
        <f>VLOOKUP($A160,'OI(Value)'!$A$7:$O$323,12,0)</f>
        <v>-2</v>
      </c>
      <c r="P160" s="179">
        <f>VLOOKUP(A160,'OI(Value)'!A160:O378,8,0)</f>
        <v>448</v>
      </c>
      <c r="Q160" s="179">
        <f>VLOOKUP(A160,'OI(Value)'!A160:O378,9,0)</f>
        <v>-7</v>
      </c>
      <c r="R160" s="179">
        <f>VLOOKUP(A160,'OI(Value)'!A160:O378,11,0)</f>
        <v>294</v>
      </c>
      <c r="S160" s="179">
        <f>VLOOKUP(A160,'OI(Value)'!A160:O378,11,0)</f>
        <v>294</v>
      </c>
    </row>
    <row r="161" spans="1:19" x14ac:dyDescent="0.25">
      <c r="A161" s="105" t="str">
        <f>'Data Vlaue (Cr)'!C156</f>
        <v>PHOENIXLTD</v>
      </c>
      <c r="B161" s="143">
        <f>VLOOKUP($A161,'Data shares'!$C:$FA,118)</f>
        <v>0.59</v>
      </c>
      <c r="C161" s="143">
        <f>VLOOKUP($A161,'Data shares'!$C:$FA,119)</f>
        <v>0.61</v>
      </c>
      <c r="D161" s="143">
        <f>VLOOKUP($A161,'Data shares'!$C:$FA,121)*100</f>
        <v>-3.2800000000000002</v>
      </c>
      <c r="E161" s="143">
        <f>VLOOKUP($A161,'Data shares'!$C:$FA,124)</f>
        <v>0.17</v>
      </c>
      <c r="F161" s="143">
        <f>VLOOKUP($A161,'Data shares'!$C:$FA,125)</f>
        <v>0.41</v>
      </c>
      <c r="G161" s="143">
        <f>VLOOKUP($A161,'Data shares'!$C:$FA,127)*100</f>
        <v>-58.540000000000006</v>
      </c>
      <c r="H161" s="103">
        <f>VLOOKUP($A161,'OI(Volume)'!$A$7:$O$440,8)</f>
        <v>1152200</v>
      </c>
      <c r="I161" s="103">
        <f>VLOOKUP($A161,'OI(Volume)'!$A$7:$O$440,9)</f>
        <v>18900</v>
      </c>
      <c r="J161" s="103">
        <f>VLOOKUP($A161,'OI(Volume)'!$A$7:$O$440,11)</f>
        <v>684600</v>
      </c>
      <c r="K161" s="103">
        <f>VLOOKUP($A161,'OI(Volume)'!$A$7:$O$440,12)</f>
        <v>-2100</v>
      </c>
      <c r="L161" s="103">
        <f>VLOOKUP($A161,'OI(Value)'!$A$7:$O$323,8,0)</f>
        <v>180</v>
      </c>
      <c r="M161" s="103">
        <f>VLOOKUP($A161,'OI(Value)'!$A$7:$O$323,9,0)</f>
        <v>3</v>
      </c>
      <c r="N161" s="103">
        <f>VLOOKUP($A161,'OI(Value)'!$A$7:$O$323,11,0)</f>
        <v>107</v>
      </c>
      <c r="O161" s="103">
        <f>VLOOKUP($A161,'OI(Value)'!$A$7:$O$323,12,0)</f>
        <v>0</v>
      </c>
      <c r="P161" s="179">
        <f>VLOOKUP(A161,'OI(Value)'!A161:O379,8,0)</f>
        <v>180</v>
      </c>
      <c r="Q161" s="179">
        <f>VLOOKUP(A161,'OI(Value)'!A161:O379,9,0)</f>
        <v>3</v>
      </c>
      <c r="R161" s="179">
        <f>VLOOKUP(A161,'OI(Value)'!A161:O379,11,0)</f>
        <v>107</v>
      </c>
      <c r="S161" s="179">
        <f>VLOOKUP(A161,'OI(Value)'!A161:O379,11,0)</f>
        <v>107</v>
      </c>
    </row>
    <row r="162" spans="1:19" x14ac:dyDescent="0.25">
      <c r="A162" s="105" t="str">
        <f>'Data Vlaue (Cr)'!C157</f>
        <v>PIDILITIND</v>
      </c>
      <c r="B162" s="143">
        <f>VLOOKUP($A162,'Data shares'!$C:$FA,118)</f>
        <v>0.57999999999999996</v>
      </c>
      <c r="C162" s="143">
        <f>VLOOKUP($A162,'Data shares'!$C:$FA,119)</f>
        <v>0.56999999999999995</v>
      </c>
      <c r="D162" s="143">
        <f>VLOOKUP($A162,'Data shares'!$C:$FA,121)*100</f>
        <v>1.7500000000000002</v>
      </c>
      <c r="E162" s="143">
        <f>VLOOKUP($A162,'Data shares'!$C:$FA,124)</f>
        <v>0.89</v>
      </c>
      <c r="F162" s="143">
        <f>VLOOKUP($A162,'Data shares'!$C:$FA,125)</f>
        <v>0.75</v>
      </c>
      <c r="G162" s="143">
        <f>VLOOKUP($A162,'Data shares'!$C:$FA,127)*100</f>
        <v>18.670000000000002</v>
      </c>
      <c r="H162" s="103">
        <f>VLOOKUP($A162,'OI(Volume)'!$A$7:$O$440,8)</f>
        <v>1738500</v>
      </c>
      <c r="I162" s="103">
        <f>VLOOKUP($A162,'OI(Volume)'!$A$7:$O$440,9)</f>
        <v>-6000</v>
      </c>
      <c r="J162" s="103">
        <f>VLOOKUP($A162,'OI(Volume)'!$A$7:$O$440,11)</f>
        <v>1013500</v>
      </c>
      <c r="K162" s="103">
        <f>VLOOKUP($A162,'OI(Volume)'!$A$7:$O$440,12)</f>
        <v>18500</v>
      </c>
      <c r="L162" s="103">
        <f>VLOOKUP($A162,'OI(Value)'!$A$7:$O$323,8,0)</f>
        <v>241</v>
      </c>
      <c r="M162" s="103">
        <f>VLOOKUP($A162,'OI(Value)'!$A$7:$O$323,9,0)</f>
        <v>-1</v>
      </c>
      <c r="N162" s="103">
        <f>VLOOKUP($A162,'OI(Value)'!$A$7:$O$323,11,0)</f>
        <v>141</v>
      </c>
      <c r="O162" s="103">
        <f>VLOOKUP($A162,'OI(Value)'!$A$7:$O$323,12,0)</f>
        <v>3</v>
      </c>
      <c r="P162" s="179">
        <f>VLOOKUP(A162,'OI(Value)'!A162:O380,8,0)</f>
        <v>241</v>
      </c>
      <c r="Q162" s="179">
        <f>VLOOKUP(A162,'OI(Value)'!A162:O380,9,0)</f>
        <v>-1</v>
      </c>
      <c r="R162" s="179">
        <f>VLOOKUP(A162,'OI(Value)'!A162:O380,11,0)</f>
        <v>141</v>
      </c>
      <c r="S162" s="179">
        <f>VLOOKUP(A162,'OI(Value)'!A162:O380,11,0)</f>
        <v>141</v>
      </c>
    </row>
    <row r="163" spans="1:19" x14ac:dyDescent="0.25">
      <c r="A163" s="105" t="str">
        <f>'Data Vlaue (Cr)'!C158</f>
        <v>PIIND</v>
      </c>
      <c r="B163" s="143">
        <f>VLOOKUP($A163,'Data shares'!$C:$FA,118)</f>
        <v>0.59</v>
      </c>
      <c r="C163" s="143">
        <f>VLOOKUP($A163,'Data shares'!$C:$FA,119)</f>
        <v>0.63</v>
      </c>
      <c r="D163" s="143">
        <f>VLOOKUP($A163,'Data shares'!$C:$FA,121)*100</f>
        <v>-6.35</v>
      </c>
      <c r="E163" s="143">
        <f>VLOOKUP($A163,'Data shares'!$C:$FA,124)</f>
        <v>0.51</v>
      </c>
      <c r="F163" s="143">
        <f>VLOOKUP($A163,'Data shares'!$C:$FA,125)</f>
        <v>0.91</v>
      </c>
      <c r="G163" s="143">
        <f>VLOOKUP($A163,'Data shares'!$C:$FA,127)*100</f>
        <v>-43.96</v>
      </c>
      <c r="H163" s="103">
        <f>VLOOKUP($A163,'OI(Volume)'!$A$7:$O$440,8)</f>
        <v>749175</v>
      </c>
      <c r="I163" s="103">
        <f>VLOOKUP($A163,'OI(Volume)'!$A$7:$O$440,9)</f>
        <v>60200</v>
      </c>
      <c r="J163" s="103">
        <f>VLOOKUP($A163,'OI(Volume)'!$A$7:$O$440,11)</f>
        <v>439425</v>
      </c>
      <c r="K163" s="103">
        <f>VLOOKUP($A163,'OI(Volume)'!$A$7:$O$440,12)</f>
        <v>7350</v>
      </c>
      <c r="L163" s="103">
        <f>VLOOKUP($A163,'OI(Value)'!$A$7:$O$323,8,0)</f>
        <v>222</v>
      </c>
      <c r="M163" s="103">
        <f>VLOOKUP($A163,'OI(Value)'!$A$7:$O$323,9,0)</f>
        <v>18</v>
      </c>
      <c r="N163" s="103">
        <f>VLOOKUP($A163,'OI(Value)'!$A$7:$O$323,11,0)</f>
        <v>130</v>
      </c>
      <c r="O163" s="103">
        <f>VLOOKUP($A163,'OI(Value)'!$A$7:$O$323,12,0)</f>
        <v>2</v>
      </c>
      <c r="P163" s="179">
        <f>VLOOKUP(A163,'OI(Value)'!A163:O381,8,0)</f>
        <v>222</v>
      </c>
      <c r="Q163" s="179">
        <f>VLOOKUP(A163,'OI(Value)'!A163:O381,9,0)</f>
        <v>18</v>
      </c>
      <c r="R163" s="179">
        <f>VLOOKUP(A163,'OI(Value)'!A163:O381,11,0)</f>
        <v>130</v>
      </c>
      <c r="S163" s="179">
        <f>VLOOKUP(A163,'OI(Value)'!A163:O381,11,0)</f>
        <v>130</v>
      </c>
    </row>
    <row r="164" spans="1:19" x14ac:dyDescent="0.25">
      <c r="A164" s="105" t="str">
        <f>'Data Vlaue (Cr)'!C159</f>
        <v>PNB</v>
      </c>
      <c r="B164" s="143">
        <f>VLOOKUP($A164,'Data shares'!$C:$FA,118)</f>
        <v>0.69</v>
      </c>
      <c r="C164" s="143">
        <f>VLOOKUP($A164,'Data shares'!$C:$FA,119)</f>
        <v>0.65</v>
      </c>
      <c r="D164" s="143">
        <f>VLOOKUP($A164,'Data shares'!$C:$FA,121)*100</f>
        <v>6.15</v>
      </c>
      <c r="E164" s="143">
        <f>VLOOKUP($A164,'Data shares'!$C:$FA,124)</f>
        <v>0.62</v>
      </c>
      <c r="F164" s="143">
        <f>VLOOKUP($A164,'Data shares'!$C:$FA,125)</f>
        <v>0.69</v>
      </c>
      <c r="G164" s="143">
        <f>VLOOKUP($A164,'Data shares'!$C:$FA,127)*100</f>
        <v>-10.14</v>
      </c>
      <c r="H164" s="103">
        <f>VLOOKUP($A164,'OI(Volume)'!$A$7:$O$440,8)</f>
        <v>125288000</v>
      </c>
      <c r="I164" s="103">
        <f>VLOOKUP($A164,'OI(Volume)'!$A$7:$O$440,9)</f>
        <v>-4360000</v>
      </c>
      <c r="J164" s="103">
        <f>VLOOKUP($A164,'OI(Volume)'!$A$7:$O$440,11)</f>
        <v>86312000</v>
      </c>
      <c r="K164" s="103">
        <f>VLOOKUP($A164,'OI(Volume)'!$A$7:$O$440,12)</f>
        <v>1488000</v>
      </c>
      <c r="L164" s="103">
        <f>VLOOKUP($A164,'OI(Value)'!$A$7:$O$323,8,0)</f>
        <v>1465</v>
      </c>
      <c r="M164" s="103">
        <f>VLOOKUP($A164,'OI(Value)'!$A$7:$O$323,9,0)</f>
        <v>-51</v>
      </c>
      <c r="N164" s="103">
        <f>VLOOKUP($A164,'OI(Value)'!$A$7:$O$323,11,0)</f>
        <v>1010</v>
      </c>
      <c r="O164" s="103">
        <f>VLOOKUP($A164,'OI(Value)'!$A$7:$O$323,12,0)</f>
        <v>17</v>
      </c>
      <c r="P164" s="179">
        <f>VLOOKUP(A164,'OI(Value)'!A164:O382,8,0)</f>
        <v>1465</v>
      </c>
      <c r="Q164" s="179">
        <f>VLOOKUP(A164,'OI(Value)'!A164:O382,9,0)</f>
        <v>-51</v>
      </c>
      <c r="R164" s="179">
        <f>VLOOKUP(A164,'OI(Value)'!A164:O382,11,0)</f>
        <v>1010</v>
      </c>
      <c r="S164" s="179">
        <f>VLOOKUP(A164,'OI(Value)'!A164:O382,11,0)</f>
        <v>1010</v>
      </c>
    </row>
    <row r="165" spans="1:19" x14ac:dyDescent="0.25">
      <c r="A165" s="105" t="str">
        <f>'Data Vlaue (Cr)'!C160</f>
        <v>PNBHOUSING</v>
      </c>
      <c r="B165" s="143">
        <f>VLOOKUP($A165,'Data shares'!$C:$FA,118)</f>
        <v>0.85</v>
      </c>
      <c r="C165" s="143">
        <f>VLOOKUP($A165,'Data shares'!$C:$FA,119)</f>
        <v>0.84</v>
      </c>
      <c r="D165" s="143">
        <f>VLOOKUP($A165,'Data shares'!$C:$FA,121)*100</f>
        <v>1.1900000000000002</v>
      </c>
      <c r="E165" s="143">
        <f>VLOOKUP($A165,'Data shares'!$C:$FA,124)</f>
        <v>1.33</v>
      </c>
      <c r="F165" s="143">
        <f>VLOOKUP($A165,'Data shares'!$C:$FA,125)</f>
        <v>0.77</v>
      </c>
      <c r="G165" s="143">
        <f>VLOOKUP($A165,'Data shares'!$C:$FA,127)*100</f>
        <v>72.72999999999999</v>
      </c>
      <c r="H165" s="103">
        <f>VLOOKUP($A165,'OI(Volume)'!$A$7:$O$440,8)</f>
        <v>2687750</v>
      </c>
      <c r="I165" s="103">
        <f>VLOOKUP($A165,'OI(Volume)'!$A$7:$O$440,9)</f>
        <v>104000</v>
      </c>
      <c r="J165" s="103">
        <f>VLOOKUP($A165,'OI(Volume)'!$A$7:$O$440,11)</f>
        <v>2276950</v>
      </c>
      <c r="K165" s="103">
        <f>VLOOKUP($A165,'OI(Volume)'!$A$7:$O$440,12)</f>
        <v>113100</v>
      </c>
      <c r="L165" s="103">
        <f>VLOOKUP($A165,'OI(Value)'!$A$7:$O$323,8,0)</f>
        <v>210</v>
      </c>
      <c r="M165" s="103">
        <f>VLOOKUP($A165,'OI(Value)'!$A$7:$O$323,9,0)</f>
        <v>8</v>
      </c>
      <c r="N165" s="103">
        <f>VLOOKUP($A165,'OI(Value)'!$A$7:$O$323,11,0)</f>
        <v>178</v>
      </c>
      <c r="O165" s="103">
        <f>VLOOKUP($A165,'OI(Value)'!$A$7:$O$323,12,0)</f>
        <v>9</v>
      </c>
      <c r="P165" s="179">
        <f>VLOOKUP(A165,'OI(Value)'!A165:O383,8,0)</f>
        <v>210</v>
      </c>
      <c r="Q165" s="179">
        <f>VLOOKUP(A165,'OI(Value)'!A165:O383,9,0)</f>
        <v>8</v>
      </c>
      <c r="R165" s="179">
        <f>VLOOKUP(A165,'OI(Value)'!A165:O383,11,0)</f>
        <v>178</v>
      </c>
      <c r="S165" s="179">
        <f>VLOOKUP(A165,'OI(Value)'!A165:O383,11,0)</f>
        <v>178</v>
      </c>
    </row>
    <row r="166" spans="1:19" x14ac:dyDescent="0.25">
      <c r="A166" s="105" t="str">
        <f>'Data Vlaue (Cr)'!C161</f>
        <v>POLICYBZR</v>
      </c>
      <c r="B166" s="143">
        <f>VLOOKUP($A166,'Data shares'!$C:$FA,118)</f>
        <v>0.8</v>
      </c>
      <c r="C166" s="143">
        <f>VLOOKUP($A166,'Data shares'!$C:$FA,119)</f>
        <v>0.81</v>
      </c>
      <c r="D166" s="143">
        <f>VLOOKUP($A166,'Data shares'!$C:$FA,121)*100</f>
        <v>-1.23</v>
      </c>
      <c r="E166" s="143">
        <f>VLOOKUP($A166,'Data shares'!$C:$FA,124)</f>
        <v>1.02</v>
      </c>
      <c r="F166" s="143">
        <f>VLOOKUP($A166,'Data shares'!$C:$FA,125)</f>
        <v>0.6</v>
      </c>
      <c r="G166" s="143">
        <f>VLOOKUP($A166,'Data shares'!$C:$FA,127)*100</f>
        <v>70</v>
      </c>
      <c r="H166" s="103">
        <f>VLOOKUP($A166,'OI(Volume)'!$A$7:$O$440,8)</f>
        <v>2251550</v>
      </c>
      <c r="I166" s="103">
        <f>VLOOKUP($A166,'OI(Volume)'!$A$7:$O$440,9)</f>
        <v>110250</v>
      </c>
      <c r="J166" s="103">
        <f>VLOOKUP($A166,'OI(Volume)'!$A$7:$O$440,11)</f>
        <v>1802500</v>
      </c>
      <c r="K166" s="103">
        <f>VLOOKUP($A166,'OI(Volume)'!$A$7:$O$440,12)</f>
        <v>57750</v>
      </c>
      <c r="L166" s="103">
        <f>VLOOKUP($A166,'OI(Value)'!$A$7:$O$323,8,0)</f>
        <v>330</v>
      </c>
      <c r="M166" s="103">
        <f>VLOOKUP($A166,'OI(Value)'!$A$7:$O$323,9,0)</f>
        <v>16</v>
      </c>
      <c r="N166" s="103">
        <f>VLOOKUP($A166,'OI(Value)'!$A$7:$O$323,11,0)</f>
        <v>264</v>
      </c>
      <c r="O166" s="103">
        <f>VLOOKUP($A166,'OI(Value)'!$A$7:$O$323,12,0)</f>
        <v>8</v>
      </c>
      <c r="P166" s="179">
        <f>VLOOKUP(A166,'OI(Value)'!A166:O384,8,0)</f>
        <v>330</v>
      </c>
      <c r="Q166" s="179">
        <f>VLOOKUP(A166,'OI(Value)'!A166:O384,9,0)</f>
        <v>16</v>
      </c>
      <c r="R166" s="179">
        <f>VLOOKUP(A166,'OI(Value)'!A166:O384,11,0)</f>
        <v>264</v>
      </c>
      <c r="S166" s="179">
        <f>VLOOKUP(A166,'OI(Value)'!A166:O384,11,0)</f>
        <v>264</v>
      </c>
    </row>
    <row r="167" spans="1:19" x14ac:dyDescent="0.25">
      <c r="A167" s="105" t="str">
        <f>'Data Vlaue (Cr)'!C162</f>
        <v>POLYCAB</v>
      </c>
      <c r="B167" s="143">
        <f>VLOOKUP($A167,'Data shares'!$C:$FA,118)</f>
        <v>0.75</v>
      </c>
      <c r="C167" s="143">
        <f>VLOOKUP($A167,'Data shares'!$C:$FA,119)</f>
        <v>0.73</v>
      </c>
      <c r="D167" s="143">
        <f>VLOOKUP($A167,'Data shares'!$C:$FA,121)*100</f>
        <v>2.74</v>
      </c>
      <c r="E167" s="143">
        <f>VLOOKUP($A167,'Data shares'!$C:$FA,124)</f>
        <v>0.66</v>
      </c>
      <c r="F167" s="143">
        <f>VLOOKUP($A167,'Data shares'!$C:$FA,125)</f>
        <v>1.1499999999999999</v>
      </c>
      <c r="G167" s="143">
        <f>VLOOKUP($A167,'Data shares'!$C:$FA,127)*100</f>
        <v>-42.61</v>
      </c>
      <c r="H167" s="103">
        <f>VLOOKUP($A167,'OI(Volume)'!$A$7:$O$440,8)</f>
        <v>1952500</v>
      </c>
      <c r="I167" s="103">
        <f>VLOOKUP($A167,'OI(Volume)'!$A$7:$O$440,9)</f>
        <v>55125</v>
      </c>
      <c r="J167" s="103">
        <f>VLOOKUP($A167,'OI(Volume)'!$A$7:$O$440,11)</f>
        <v>1473875</v>
      </c>
      <c r="K167" s="103">
        <f>VLOOKUP($A167,'OI(Volume)'!$A$7:$O$440,12)</f>
        <v>81750</v>
      </c>
      <c r="L167" s="103">
        <f>VLOOKUP($A167,'OI(Value)'!$A$7:$O$323,8,0)</f>
        <v>1456</v>
      </c>
      <c r="M167" s="103">
        <f>VLOOKUP($A167,'OI(Value)'!$A$7:$O$323,9,0)</f>
        <v>41</v>
      </c>
      <c r="N167" s="103">
        <f>VLOOKUP($A167,'OI(Value)'!$A$7:$O$323,11,0)</f>
        <v>1099</v>
      </c>
      <c r="O167" s="103">
        <f>VLOOKUP($A167,'OI(Value)'!$A$7:$O$323,12,0)</f>
        <v>61</v>
      </c>
      <c r="P167" s="179">
        <f>VLOOKUP(A167,'OI(Value)'!A167:O385,8,0)</f>
        <v>1456</v>
      </c>
      <c r="Q167" s="179">
        <f>VLOOKUP(A167,'OI(Value)'!A167:O385,9,0)</f>
        <v>41</v>
      </c>
      <c r="R167" s="179">
        <f>VLOOKUP(A167,'OI(Value)'!A167:O385,11,0)</f>
        <v>1099</v>
      </c>
      <c r="S167" s="179">
        <f>VLOOKUP(A167,'OI(Value)'!A167:O385,11,0)</f>
        <v>1099</v>
      </c>
    </row>
    <row r="168" spans="1:19" x14ac:dyDescent="0.25">
      <c r="A168" s="105" t="str">
        <f>'Data Vlaue (Cr)'!C163</f>
        <v>POWERGRID</v>
      </c>
      <c r="B168" s="143">
        <f>VLOOKUP($A168,'Data shares'!$C:$FA,118)</f>
        <v>0.45</v>
      </c>
      <c r="C168" s="143">
        <f>VLOOKUP($A168,'Data shares'!$C:$FA,119)</f>
        <v>0.43</v>
      </c>
      <c r="D168" s="143">
        <f>VLOOKUP($A168,'Data shares'!$C:$FA,121)*100</f>
        <v>4.6500000000000004</v>
      </c>
      <c r="E168" s="143">
        <f>VLOOKUP($A168,'Data shares'!$C:$FA,124)</f>
        <v>0.24</v>
      </c>
      <c r="F168" s="143">
        <f>VLOOKUP($A168,'Data shares'!$C:$FA,125)</f>
        <v>0.38</v>
      </c>
      <c r="G168" s="143">
        <f>VLOOKUP($A168,'Data shares'!$C:$FA,127)*100</f>
        <v>-36.840000000000003</v>
      </c>
      <c r="H168" s="103">
        <f>VLOOKUP($A168,'OI(Volume)'!$A$7:$O$440,8)</f>
        <v>40772100</v>
      </c>
      <c r="I168" s="103">
        <f>VLOOKUP($A168,'OI(Volume)'!$A$7:$O$440,9)</f>
        <v>927200</v>
      </c>
      <c r="J168" s="103">
        <f>VLOOKUP($A168,'OI(Volume)'!$A$7:$O$440,11)</f>
        <v>18230500</v>
      </c>
      <c r="K168" s="103">
        <f>VLOOKUP($A168,'OI(Volume)'!$A$7:$O$440,12)</f>
        <v>919600</v>
      </c>
      <c r="L168" s="103">
        <f>VLOOKUP($A168,'OI(Value)'!$A$7:$O$323,8,0)</f>
        <v>1242</v>
      </c>
      <c r="M168" s="103">
        <f>VLOOKUP($A168,'OI(Value)'!$A$7:$O$323,9,0)</f>
        <v>28</v>
      </c>
      <c r="N168" s="103">
        <f>VLOOKUP($A168,'OI(Value)'!$A$7:$O$323,11,0)</f>
        <v>555</v>
      </c>
      <c r="O168" s="103">
        <f>VLOOKUP($A168,'OI(Value)'!$A$7:$O$323,12,0)</f>
        <v>28</v>
      </c>
      <c r="P168" s="179">
        <f>VLOOKUP(A168,'OI(Value)'!A168:O386,8,0)</f>
        <v>1242</v>
      </c>
      <c r="Q168" s="179">
        <f>VLOOKUP(A168,'OI(Value)'!A168:O386,9,0)</f>
        <v>28</v>
      </c>
      <c r="R168" s="179">
        <f>VLOOKUP(A168,'OI(Value)'!A168:O386,11,0)</f>
        <v>555</v>
      </c>
      <c r="S168" s="179">
        <f>VLOOKUP(A168,'OI(Value)'!A168:O386,11,0)</f>
        <v>555</v>
      </c>
    </row>
    <row r="169" spans="1:19" x14ac:dyDescent="0.25">
      <c r="A169" s="105" t="str">
        <f>'Data Vlaue (Cr)'!C164</f>
        <v>POWERINDIA</v>
      </c>
      <c r="B169" s="143">
        <f>VLOOKUP($A169,'Data shares'!$C:$FA,118)</f>
        <v>0.81</v>
      </c>
      <c r="C169" s="143">
        <f>VLOOKUP($A169,'Data shares'!$C:$FA,119)</f>
        <v>0.83</v>
      </c>
      <c r="D169" s="143">
        <f>VLOOKUP($A169,'Data shares'!$C:$FA,121)*100</f>
        <v>-2.41</v>
      </c>
      <c r="E169" s="143">
        <f>VLOOKUP($A169,'Data shares'!$C:$FA,124)</f>
        <v>0.36</v>
      </c>
      <c r="F169" s="143">
        <f>VLOOKUP($A169,'Data shares'!$C:$FA,125)</f>
        <v>0.48</v>
      </c>
      <c r="G169" s="143">
        <f>VLOOKUP($A169,'Data shares'!$C:$FA,127)*100</f>
        <v>-25</v>
      </c>
      <c r="H169" s="103">
        <f>VLOOKUP($A169,'OI(Volume)'!$A$7:$O$440,8)</f>
        <v>216950</v>
      </c>
      <c r="I169" s="103">
        <f>VLOOKUP($A169,'OI(Volume)'!$A$7:$O$440,9)</f>
        <v>10400</v>
      </c>
      <c r="J169" s="103">
        <f>VLOOKUP($A169,'OI(Volume)'!$A$7:$O$440,11)</f>
        <v>176650</v>
      </c>
      <c r="K169" s="103">
        <f>VLOOKUP($A169,'OI(Volume)'!$A$7:$O$440,12)</f>
        <v>6050</v>
      </c>
      <c r="L169" s="103">
        <f>VLOOKUP($A169,'OI(Value)'!$A$7:$O$323,8,0)</f>
        <v>542</v>
      </c>
      <c r="M169" s="103">
        <f>VLOOKUP($A169,'OI(Value)'!$A$7:$O$323,9,0)</f>
        <v>26</v>
      </c>
      <c r="N169" s="103">
        <f>VLOOKUP($A169,'OI(Value)'!$A$7:$O$323,11,0)</f>
        <v>441</v>
      </c>
      <c r="O169" s="103">
        <f>VLOOKUP($A169,'OI(Value)'!$A$7:$O$323,12,0)</f>
        <v>15</v>
      </c>
      <c r="P169" s="179">
        <f>VLOOKUP(A169,'OI(Value)'!A169:O387,8,0)</f>
        <v>542</v>
      </c>
      <c r="Q169" s="179">
        <f>VLOOKUP(A169,'OI(Value)'!A169:O387,9,0)</f>
        <v>26</v>
      </c>
      <c r="R169" s="179">
        <f>VLOOKUP(A169,'OI(Value)'!A169:O387,11,0)</f>
        <v>441</v>
      </c>
      <c r="S169" s="179">
        <f>VLOOKUP(A169,'OI(Value)'!A169:O387,11,0)</f>
        <v>441</v>
      </c>
    </row>
    <row r="170" spans="1:19" x14ac:dyDescent="0.25">
      <c r="A170" s="105" t="str">
        <f>'Data Vlaue (Cr)'!C165</f>
        <v>PPLPHARMA</v>
      </c>
      <c r="B170" s="143">
        <f>VLOOKUP($A170,'Data shares'!$C:$FA,118)</f>
        <v>0.56999999999999995</v>
      </c>
      <c r="C170" s="143">
        <f>VLOOKUP($A170,'Data shares'!$C:$FA,119)</f>
        <v>0.56999999999999995</v>
      </c>
      <c r="D170" s="143">
        <f>VLOOKUP($A170,'Data shares'!$C:$FA,121)*100</f>
        <v>0</v>
      </c>
      <c r="E170" s="143">
        <f>VLOOKUP($A170,'Data shares'!$C:$FA,124)</f>
        <v>1.06</v>
      </c>
      <c r="F170" s="143">
        <f>VLOOKUP($A170,'Data shares'!$C:$FA,125)</f>
        <v>0.2</v>
      </c>
      <c r="G170" s="143">
        <f>VLOOKUP($A170,'Data shares'!$C:$FA,127)*100</f>
        <v>430</v>
      </c>
      <c r="H170" s="103">
        <f>VLOOKUP($A170,'OI(Volume)'!$A$7:$O$440,8)</f>
        <v>9867375</v>
      </c>
      <c r="I170" s="103">
        <f>VLOOKUP($A170,'OI(Volume)'!$A$7:$O$440,9)</f>
        <v>2155125</v>
      </c>
      <c r="J170" s="103">
        <f>VLOOKUP($A170,'OI(Volume)'!$A$7:$O$440,11)</f>
        <v>5575500</v>
      </c>
      <c r="K170" s="103">
        <f>VLOOKUP($A170,'OI(Volume)'!$A$7:$O$440,12)</f>
        <v>1199625</v>
      </c>
      <c r="L170" s="103">
        <f>VLOOKUP($A170,'OI(Value)'!$A$7:$O$323,8,0)</f>
        <v>144</v>
      </c>
      <c r="M170" s="103">
        <f>VLOOKUP($A170,'OI(Value)'!$A$7:$O$323,9,0)</f>
        <v>31</v>
      </c>
      <c r="N170" s="103">
        <f>VLOOKUP($A170,'OI(Value)'!$A$7:$O$323,11,0)</f>
        <v>81</v>
      </c>
      <c r="O170" s="103">
        <f>VLOOKUP($A170,'OI(Value)'!$A$7:$O$323,12,0)</f>
        <v>18</v>
      </c>
      <c r="P170" s="179">
        <f>VLOOKUP(A170,'OI(Value)'!A170:O388,8,0)</f>
        <v>144</v>
      </c>
      <c r="Q170" s="179">
        <f>VLOOKUP(A170,'OI(Value)'!A170:O388,9,0)</f>
        <v>31</v>
      </c>
      <c r="R170" s="179">
        <f>VLOOKUP(A170,'OI(Value)'!A170:O388,11,0)</f>
        <v>81</v>
      </c>
      <c r="S170" s="179">
        <f>VLOOKUP(A170,'OI(Value)'!A170:O388,11,0)</f>
        <v>81</v>
      </c>
    </row>
    <row r="171" spans="1:19" x14ac:dyDescent="0.25">
      <c r="A171" s="105" t="str">
        <f>'Data Vlaue (Cr)'!C166</f>
        <v>PREMIERENE</v>
      </c>
      <c r="B171" s="143">
        <f>VLOOKUP($A171,'Data shares'!$C:$FA,118)</f>
        <v>0.84</v>
      </c>
      <c r="C171" s="143">
        <f>VLOOKUP($A171,'Data shares'!$C:$FA,119)</f>
        <v>0.83</v>
      </c>
      <c r="D171" s="143">
        <f>VLOOKUP($A171,'Data shares'!$C:$FA,121)*100</f>
        <v>1.2</v>
      </c>
      <c r="E171" s="143">
        <f>VLOOKUP($A171,'Data shares'!$C:$FA,124)</f>
        <v>0.45</v>
      </c>
      <c r="F171" s="143">
        <f>VLOOKUP($A171,'Data shares'!$C:$FA,125)</f>
        <v>0.43</v>
      </c>
      <c r="G171" s="143">
        <f>VLOOKUP($A171,'Data shares'!$C:$FA,127)*100</f>
        <v>4.6500000000000004</v>
      </c>
      <c r="H171" s="103">
        <f>VLOOKUP($A171,'OI(Volume)'!$A$7:$O$440,8)</f>
        <v>3643200</v>
      </c>
      <c r="I171" s="103">
        <f>VLOOKUP($A171,'OI(Volume)'!$A$7:$O$440,9)</f>
        <v>28175</v>
      </c>
      <c r="J171" s="103">
        <f>VLOOKUP($A171,'OI(Volume)'!$A$7:$O$440,11)</f>
        <v>3059000</v>
      </c>
      <c r="K171" s="103">
        <f>VLOOKUP($A171,'OI(Volume)'!$A$7:$O$440,12)</f>
        <v>71300</v>
      </c>
      <c r="L171" s="103">
        <f>VLOOKUP($A171,'OI(Value)'!$A$7:$O$323,8,0)</f>
        <v>283</v>
      </c>
      <c r="M171" s="103">
        <f>VLOOKUP($A171,'OI(Value)'!$A$7:$O$323,9,0)</f>
        <v>2</v>
      </c>
      <c r="N171" s="103">
        <f>VLOOKUP($A171,'OI(Value)'!$A$7:$O$323,11,0)</f>
        <v>237</v>
      </c>
      <c r="O171" s="103">
        <f>VLOOKUP($A171,'OI(Value)'!$A$7:$O$323,12,0)</f>
        <v>6</v>
      </c>
      <c r="P171" s="179">
        <f>VLOOKUP(A171,'OI(Value)'!A171:O389,8,0)</f>
        <v>283</v>
      </c>
      <c r="Q171" s="179">
        <f>VLOOKUP(A171,'OI(Value)'!A171:O389,9,0)</f>
        <v>2</v>
      </c>
      <c r="R171" s="179">
        <f>VLOOKUP(A171,'OI(Value)'!A171:O389,11,0)</f>
        <v>237</v>
      </c>
      <c r="S171" s="179">
        <f>VLOOKUP(A171,'OI(Value)'!A171:O389,11,0)</f>
        <v>237</v>
      </c>
    </row>
    <row r="172" spans="1:19" x14ac:dyDescent="0.25">
      <c r="A172" s="105" t="str">
        <f>'Data Vlaue (Cr)'!C167</f>
        <v>PRESTIGE</v>
      </c>
      <c r="B172" s="143">
        <f>VLOOKUP($A172,'Data shares'!$C:$FA,118)</f>
        <v>0.81</v>
      </c>
      <c r="C172" s="143">
        <f>VLOOKUP($A172,'Data shares'!$C:$FA,119)</f>
        <v>0.77</v>
      </c>
      <c r="D172" s="143">
        <f>VLOOKUP($A172,'Data shares'!$C:$FA,121)*100</f>
        <v>5.19</v>
      </c>
      <c r="E172" s="143">
        <f>VLOOKUP($A172,'Data shares'!$C:$FA,124)</f>
        <v>1.01</v>
      </c>
      <c r="F172" s="143">
        <f>VLOOKUP($A172,'Data shares'!$C:$FA,125)</f>
        <v>0.8</v>
      </c>
      <c r="G172" s="143">
        <f>VLOOKUP($A172,'Data shares'!$C:$FA,127)*100</f>
        <v>26.25</v>
      </c>
      <c r="H172" s="103">
        <f>VLOOKUP($A172,'OI(Volume)'!$A$7:$O$440,8)</f>
        <v>1396350</v>
      </c>
      <c r="I172" s="103">
        <f>VLOOKUP($A172,'OI(Volume)'!$A$7:$O$440,9)</f>
        <v>36900</v>
      </c>
      <c r="J172" s="103">
        <f>VLOOKUP($A172,'OI(Volume)'!$A$7:$O$440,11)</f>
        <v>1129050</v>
      </c>
      <c r="K172" s="103">
        <f>VLOOKUP($A172,'OI(Volume)'!$A$7:$O$440,12)</f>
        <v>86850</v>
      </c>
      <c r="L172" s="103">
        <f>VLOOKUP($A172,'OI(Value)'!$A$7:$O$323,8,0)</f>
        <v>175</v>
      </c>
      <c r="M172" s="103">
        <f>VLOOKUP($A172,'OI(Value)'!$A$7:$O$323,9,0)</f>
        <v>5</v>
      </c>
      <c r="N172" s="103">
        <f>VLOOKUP($A172,'OI(Value)'!$A$7:$O$323,11,0)</f>
        <v>142</v>
      </c>
      <c r="O172" s="103">
        <f>VLOOKUP($A172,'OI(Value)'!$A$7:$O$323,12,0)</f>
        <v>11</v>
      </c>
      <c r="P172" s="179">
        <f>VLOOKUP(A172,'OI(Value)'!A172:O390,8,0)</f>
        <v>175</v>
      </c>
      <c r="Q172" s="179">
        <f>VLOOKUP(A172,'OI(Value)'!A172:O390,9,0)</f>
        <v>5</v>
      </c>
      <c r="R172" s="179">
        <f>VLOOKUP(A172,'OI(Value)'!A172:O390,11,0)</f>
        <v>142</v>
      </c>
      <c r="S172" s="179">
        <f>VLOOKUP(A172,'OI(Value)'!A172:O390,11,0)</f>
        <v>142</v>
      </c>
    </row>
    <row r="173" spans="1:19" x14ac:dyDescent="0.25">
      <c r="A173" s="105" t="str">
        <f>'Data Vlaue (Cr)'!C168</f>
        <v>RBLBANK</v>
      </c>
      <c r="B173" s="143">
        <f>VLOOKUP($A173,'Data shares'!$C:$FA,118)</f>
        <v>1.17</v>
      </c>
      <c r="C173" s="143">
        <f>VLOOKUP($A173,'Data shares'!$C:$FA,119)</f>
        <v>1.1299999999999999</v>
      </c>
      <c r="D173" s="143">
        <f>VLOOKUP($A173,'Data shares'!$C:$FA,121)*100</f>
        <v>3.54</v>
      </c>
      <c r="E173" s="143">
        <f>VLOOKUP($A173,'Data shares'!$C:$FA,124)</f>
        <v>0.67</v>
      </c>
      <c r="F173" s="143">
        <f>VLOOKUP($A173,'Data shares'!$C:$FA,125)</f>
        <v>0.87</v>
      </c>
      <c r="G173" s="143">
        <f>VLOOKUP($A173,'Data shares'!$C:$FA,127)*100</f>
        <v>-22.99</v>
      </c>
      <c r="H173" s="103">
        <f>VLOOKUP($A173,'OI(Volume)'!$A$7:$O$440,8)</f>
        <v>25765125</v>
      </c>
      <c r="I173" s="103">
        <f>VLOOKUP($A173,'OI(Volume)'!$A$7:$O$440,9)</f>
        <v>565150</v>
      </c>
      <c r="J173" s="103">
        <f>VLOOKUP($A173,'OI(Volume)'!$A$7:$O$440,11)</f>
        <v>30226000</v>
      </c>
      <c r="K173" s="103">
        <f>VLOOKUP($A173,'OI(Volume)'!$A$7:$O$440,12)</f>
        <v>1828800</v>
      </c>
      <c r="L173" s="103">
        <f>VLOOKUP($A173,'OI(Value)'!$A$7:$O$323,8,0)</f>
        <v>774</v>
      </c>
      <c r="M173" s="103">
        <f>VLOOKUP($A173,'OI(Value)'!$A$7:$O$323,9,0)</f>
        <v>17</v>
      </c>
      <c r="N173" s="103">
        <f>VLOOKUP($A173,'OI(Value)'!$A$7:$O$323,11,0)</f>
        <v>908</v>
      </c>
      <c r="O173" s="103">
        <f>VLOOKUP($A173,'OI(Value)'!$A$7:$O$323,12,0)</f>
        <v>55</v>
      </c>
    </row>
    <row r="174" spans="1:19" x14ac:dyDescent="0.25">
      <c r="A174" s="105" t="str">
        <f>'Data Vlaue (Cr)'!C169</f>
        <v>RECLTD</v>
      </c>
      <c r="B174" s="143">
        <f>VLOOKUP($A174,'Data shares'!$C:$FA,118)</f>
        <v>1.02</v>
      </c>
      <c r="C174" s="143">
        <f>VLOOKUP($A174,'Data shares'!$C:$FA,119)</f>
        <v>1.01</v>
      </c>
      <c r="D174" s="143">
        <f>VLOOKUP($A174,'Data shares'!$C:$FA,121)*100</f>
        <v>0.9900000000000001</v>
      </c>
      <c r="E174" s="143">
        <f>VLOOKUP($A174,'Data shares'!$C:$FA,124)</f>
        <v>0.43</v>
      </c>
      <c r="F174" s="143">
        <f>VLOOKUP($A174,'Data shares'!$C:$FA,125)</f>
        <v>0.51</v>
      </c>
      <c r="G174" s="143">
        <f>VLOOKUP($A174,'Data shares'!$C:$FA,127)*100</f>
        <v>-15.690000000000001</v>
      </c>
      <c r="H174" s="103">
        <f>VLOOKUP($A174,'OI(Volume)'!$A$7:$O$440,8)</f>
        <v>30055200</v>
      </c>
      <c r="I174" s="103">
        <f>VLOOKUP($A174,'OI(Volume)'!$A$7:$O$440,9)</f>
        <v>1023400</v>
      </c>
      <c r="J174" s="103">
        <f>VLOOKUP($A174,'OI(Volume)'!$A$7:$O$440,11)</f>
        <v>30685200</v>
      </c>
      <c r="K174" s="103">
        <f>VLOOKUP($A174,'OI(Volume)'!$A$7:$O$440,12)</f>
        <v>1219400</v>
      </c>
      <c r="L174" s="103">
        <f>VLOOKUP($A174,'OI(Value)'!$A$7:$O$323,8,0)</f>
        <v>1025</v>
      </c>
      <c r="M174" s="103">
        <f>VLOOKUP($A174,'OI(Value)'!$A$7:$O$323,9,0)</f>
        <v>35</v>
      </c>
      <c r="N174" s="103">
        <f>VLOOKUP($A174,'OI(Value)'!$A$7:$O$323,11,0)</f>
        <v>1047</v>
      </c>
      <c r="O174" s="103">
        <f>VLOOKUP($A174,'OI(Value)'!$A$7:$O$323,12,0)</f>
        <v>42</v>
      </c>
    </row>
    <row r="175" spans="1:19" x14ac:dyDescent="0.25">
      <c r="A175" s="105" t="str">
        <f>'Data Vlaue (Cr)'!C170</f>
        <v>RELIANCE</v>
      </c>
      <c r="B175" s="143">
        <f>VLOOKUP($A175,'Data shares'!$C:$FA,118)</f>
        <v>0.42</v>
      </c>
      <c r="C175" s="143">
        <f>VLOOKUP($A175,'Data shares'!$C:$FA,119)</f>
        <v>0.41</v>
      </c>
      <c r="D175" s="143">
        <f>VLOOKUP($A175,'Data shares'!$C:$FA,121)*100</f>
        <v>2.44</v>
      </c>
      <c r="E175" s="143">
        <f>VLOOKUP($A175,'Data shares'!$C:$FA,124)</f>
        <v>0.49</v>
      </c>
      <c r="F175" s="143">
        <f>VLOOKUP($A175,'Data shares'!$C:$FA,125)</f>
        <v>0.41</v>
      </c>
      <c r="G175" s="143">
        <f>VLOOKUP($A175,'Data shares'!$C:$FA,127)*100</f>
        <v>19.509999999999998</v>
      </c>
      <c r="H175" s="103">
        <f>VLOOKUP($A175,'OI(Volume)'!$A$7:$O$440,8)</f>
        <v>84952500</v>
      </c>
      <c r="I175" s="103">
        <f>VLOOKUP($A175,'OI(Volume)'!$A$7:$O$440,9)</f>
        <v>3237000</v>
      </c>
      <c r="J175" s="103">
        <f>VLOOKUP($A175,'OI(Volume)'!$A$7:$O$440,11)</f>
        <v>35579000</v>
      </c>
      <c r="K175" s="103">
        <f>VLOOKUP($A175,'OI(Volume)'!$A$7:$O$440,12)</f>
        <v>2353500</v>
      </c>
      <c r="L175" s="103">
        <f>VLOOKUP($A175,'OI(Value)'!$A$7:$O$323,8,0)</f>
        <v>11868</v>
      </c>
      <c r="M175" s="103">
        <f>VLOOKUP($A175,'OI(Value)'!$A$7:$O$323,9,0)</f>
        <v>452</v>
      </c>
      <c r="N175" s="103">
        <f>VLOOKUP($A175,'OI(Value)'!$A$7:$O$323,11,0)</f>
        <v>4970</v>
      </c>
      <c r="O175" s="103">
        <f>VLOOKUP($A175,'OI(Value)'!$A$7:$O$323,12,0)</f>
        <v>329</v>
      </c>
    </row>
    <row r="176" spans="1:19" x14ac:dyDescent="0.25">
      <c r="A176" s="105" t="str">
        <f>'Data Vlaue (Cr)'!C171</f>
        <v>RVNL</v>
      </c>
      <c r="B176" s="143">
        <f>VLOOKUP($A176,'Data shares'!$C:$FA,118)</f>
        <v>0.51</v>
      </c>
      <c r="C176" s="143">
        <f>VLOOKUP($A176,'Data shares'!$C:$FA,119)</f>
        <v>0.52</v>
      </c>
      <c r="D176" s="143">
        <f>VLOOKUP($A176,'Data shares'!$C:$FA,121)*100</f>
        <v>-1.92</v>
      </c>
      <c r="E176" s="143">
        <f>VLOOKUP($A176,'Data shares'!$C:$FA,124)</f>
        <v>0.39</v>
      </c>
      <c r="F176" s="143">
        <f>VLOOKUP($A176,'Data shares'!$C:$FA,125)</f>
        <v>0.36</v>
      </c>
      <c r="G176" s="143">
        <f>VLOOKUP($A176,'Data shares'!$C:$FA,127)*100</f>
        <v>8.33</v>
      </c>
      <c r="H176" s="103">
        <f>VLOOKUP($A176,'OI(Volume)'!$A$7:$O$440,8)</f>
        <v>32052450</v>
      </c>
      <c r="I176" s="103">
        <f>VLOOKUP($A176,'OI(Volume)'!$A$7:$O$440,9)</f>
        <v>-536800</v>
      </c>
      <c r="J176" s="103">
        <f>VLOOKUP($A176,'OI(Volume)'!$A$7:$O$440,11)</f>
        <v>16197025</v>
      </c>
      <c r="K176" s="103">
        <f>VLOOKUP($A176,'OI(Volume)'!$A$7:$O$440,12)</f>
        <v>-797575</v>
      </c>
      <c r="L176" s="103">
        <f>VLOOKUP($A176,'OI(Value)'!$A$7:$O$323,8,0)</f>
        <v>893</v>
      </c>
      <c r="M176" s="103">
        <f>VLOOKUP($A176,'OI(Value)'!$A$7:$O$323,9,0)</f>
        <v>-15</v>
      </c>
      <c r="N176" s="103">
        <f>VLOOKUP($A176,'OI(Value)'!$A$7:$O$323,11,0)</f>
        <v>451</v>
      </c>
      <c r="O176" s="103">
        <f>VLOOKUP($A176,'OI(Value)'!$A$7:$O$323,12,0)</f>
        <v>-22</v>
      </c>
    </row>
    <row r="177" spans="1:15" x14ac:dyDescent="0.25">
      <c r="A177" s="105" t="str">
        <f>'Data Vlaue (Cr)'!C172</f>
        <v>SAIL</v>
      </c>
      <c r="B177" s="143">
        <f>VLOOKUP($A177,'Data shares'!$C:$FA,118)</f>
        <v>0.67</v>
      </c>
      <c r="C177" s="143">
        <f>VLOOKUP($A177,'Data shares'!$C:$FA,119)</f>
        <v>0.67</v>
      </c>
      <c r="D177" s="143">
        <f>VLOOKUP($A177,'Data shares'!$C:$FA,121)*100</f>
        <v>0</v>
      </c>
      <c r="E177" s="143">
        <f>VLOOKUP($A177,'Data shares'!$C:$FA,124)</f>
        <v>1.53</v>
      </c>
      <c r="F177" s="143">
        <f>VLOOKUP($A177,'Data shares'!$C:$FA,125)</f>
        <v>0.53</v>
      </c>
      <c r="G177" s="143">
        <f>VLOOKUP($A177,'Data shares'!$C:$FA,127)*100</f>
        <v>188.68</v>
      </c>
      <c r="H177" s="103">
        <f>VLOOKUP($A177,'OI(Volume)'!$A$7:$O$440,8)</f>
        <v>22216900</v>
      </c>
      <c r="I177" s="103">
        <f>VLOOKUP($A177,'OI(Volume)'!$A$7:$O$440,9)</f>
        <v>-51700</v>
      </c>
      <c r="J177" s="103">
        <f>VLOOKUP($A177,'OI(Volume)'!$A$7:$O$440,11)</f>
        <v>14988300</v>
      </c>
      <c r="K177" s="103">
        <f>VLOOKUP($A177,'OI(Volume)'!$A$7:$O$440,12)</f>
        <v>-23500</v>
      </c>
      <c r="L177" s="103">
        <f>VLOOKUP($A177,'OI(Value)'!$A$7:$O$323,8,0)</f>
        <v>342</v>
      </c>
      <c r="M177" s="103">
        <f>VLOOKUP($A177,'OI(Value)'!$A$7:$O$323,9,0)</f>
        <v>-1</v>
      </c>
      <c r="N177" s="103">
        <f>VLOOKUP($A177,'OI(Value)'!$A$7:$O$323,11,0)</f>
        <v>231</v>
      </c>
      <c r="O177" s="103">
        <f>VLOOKUP($A177,'OI(Value)'!$A$7:$O$323,12,0)</f>
        <v>0</v>
      </c>
    </row>
    <row r="178" spans="1:15" x14ac:dyDescent="0.25">
      <c r="A178" s="105" t="str">
        <f>'Data Vlaue (Cr)'!C173</f>
        <v>SAMMAANCAP</v>
      </c>
      <c r="B178" s="143">
        <f>VLOOKUP($A178,'Data shares'!$C:$FA,118)</f>
        <v>0.44</v>
      </c>
      <c r="C178" s="143">
        <f>VLOOKUP($A178,'Data shares'!$C:$FA,119)</f>
        <v>0.44</v>
      </c>
      <c r="D178" s="143">
        <f>VLOOKUP($A178,'Data shares'!$C:$FA,121)*100</f>
        <v>0</v>
      </c>
      <c r="E178" s="143">
        <f>VLOOKUP($A178,'Data shares'!$C:$FA,124)</f>
        <v>0.08</v>
      </c>
      <c r="F178" s="143">
        <f>VLOOKUP($A178,'Data shares'!$C:$FA,125)</f>
        <v>0.6</v>
      </c>
      <c r="G178" s="143">
        <f>VLOOKUP($A178,'Data shares'!$C:$FA,127)*100</f>
        <v>-86.67</v>
      </c>
      <c r="H178" s="103">
        <f>VLOOKUP($A178,'OI(Volume)'!$A$7:$O$440,8)</f>
        <v>23082400</v>
      </c>
      <c r="I178" s="103">
        <f>VLOOKUP($A178,'OI(Volume)'!$A$7:$O$440,9)</f>
        <v>-81700</v>
      </c>
      <c r="J178" s="103">
        <f>VLOOKUP($A178,'OI(Volume)'!$A$7:$O$440,11)</f>
        <v>10178100</v>
      </c>
      <c r="K178" s="103">
        <f>VLOOKUP($A178,'OI(Volume)'!$A$7:$O$440,12)</f>
        <v>0</v>
      </c>
      <c r="L178" s="103">
        <f>VLOOKUP($A178,'OI(Value)'!$A$7:$O$323,8,0)</f>
        <v>330</v>
      </c>
      <c r="M178" s="103">
        <f>VLOOKUP($A178,'OI(Value)'!$A$7:$O$323,9,0)</f>
        <v>-1</v>
      </c>
      <c r="N178" s="103">
        <f>VLOOKUP($A178,'OI(Value)'!$A$7:$O$323,11,0)</f>
        <v>146</v>
      </c>
      <c r="O178" s="103">
        <f>VLOOKUP($A178,'OI(Value)'!$A$7:$O$323,12,0)</f>
        <v>0</v>
      </c>
    </row>
    <row r="179" spans="1:15" x14ac:dyDescent="0.25">
      <c r="A179" s="105" t="str">
        <f>'Data Vlaue (Cr)'!C174</f>
        <v>SBICARD</v>
      </c>
      <c r="B179" s="143">
        <f>VLOOKUP($A179,'Data shares'!$C:$FA,118)</f>
        <v>0.6</v>
      </c>
      <c r="C179" s="143">
        <f>VLOOKUP($A179,'Data shares'!$C:$FA,119)</f>
        <v>0.6</v>
      </c>
      <c r="D179" s="143">
        <f>VLOOKUP($A179,'Data shares'!$C:$FA,121)*100</f>
        <v>0</v>
      </c>
      <c r="E179" s="143">
        <f>VLOOKUP($A179,'Data shares'!$C:$FA,124)</f>
        <v>0.46</v>
      </c>
      <c r="F179" s="143">
        <f>VLOOKUP($A179,'Data shares'!$C:$FA,125)</f>
        <v>0.48</v>
      </c>
      <c r="G179" s="143">
        <f>VLOOKUP($A179,'Data shares'!$C:$FA,127)*100</f>
        <v>-4.17</v>
      </c>
      <c r="H179" s="103">
        <f>VLOOKUP($A179,'OI(Volume)'!$A$7:$O$440,8)</f>
        <v>8373600</v>
      </c>
      <c r="I179" s="103">
        <f>VLOOKUP($A179,'OI(Volume)'!$A$7:$O$440,9)</f>
        <v>45600</v>
      </c>
      <c r="J179" s="103">
        <f>VLOOKUP($A179,'OI(Volume)'!$A$7:$O$440,11)</f>
        <v>5051200</v>
      </c>
      <c r="K179" s="103">
        <f>VLOOKUP($A179,'OI(Volume)'!$A$7:$O$440,12)</f>
        <v>63200</v>
      </c>
      <c r="L179" s="103">
        <f>VLOOKUP($A179,'OI(Value)'!$A$7:$O$323,8,0)</f>
        <v>574</v>
      </c>
      <c r="M179" s="103">
        <f>VLOOKUP($A179,'OI(Value)'!$A$7:$O$323,9,0)</f>
        <v>3</v>
      </c>
      <c r="N179" s="103">
        <f>VLOOKUP($A179,'OI(Value)'!$A$7:$O$323,11,0)</f>
        <v>346</v>
      </c>
      <c r="O179" s="103">
        <f>VLOOKUP($A179,'OI(Value)'!$A$7:$O$323,12,0)</f>
        <v>4</v>
      </c>
    </row>
    <row r="180" spans="1:15" x14ac:dyDescent="0.25">
      <c r="A180" s="105" t="str">
        <f>'Data Vlaue (Cr)'!C175</f>
        <v>SBILIFE</v>
      </c>
      <c r="B180" s="143">
        <f>VLOOKUP($A180,'Data shares'!$C:$FA,118)</f>
        <v>0.45</v>
      </c>
      <c r="C180" s="143">
        <f>VLOOKUP($A180,'Data shares'!$C:$FA,119)</f>
        <v>0.46</v>
      </c>
      <c r="D180" s="143">
        <f>VLOOKUP($A180,'Data shares'!$C:$FA,121)*100</f>
        <v>-2.17</v>
      </c>
      <c r="E180" s="143">
        <f>VLOOKUP($A180,'Data shares'!$C:$FA,124)</f>
        <v>0.49</v>
      </c>
      <c r="F180" s="143">
        <f>VLOOKUP($A180,'Data shares'!$C:$FA,125)</f>
        <v>0.57999999999999996</v>
      </c>
      <c r="G180" s="143">
        <f>VLOOKUP($A180,'Data shares'!$C:$FA,127)*100</f>
        <v>-15.52</v>
      </c>
      <c r="H180" s="103">
        <f>VLOOKUP($A180,'OI(Volume)'!$A$7:$O$440,8)</f>
        <v>3837375</v>
      </c>
      <c r="I180" s="103">
        <f>VLOOKUP($A180,'OI(Volume)'!$A$7:$O$440,9)</f>
        <v>145875</v>
      </c>
      <c r="J180" s="103">
        <f>VLOOKUP($A180,'OI(Volume)'!$A$7:$O$440,11)</f>
        <v>1741125</v>
      </c>
      <c r="K180" s="103">
        <f>VLOOKUP($A180,'OI(Volume)'!$A$7:$O$440,12)</f>
        <v>57000</v>
      </c>
      <c r="L180" s="103">
        <f>VLOOKUP($A180,'OI(Value)'!$A$7:$O$323,8,0)</f>
        <v>745</v>
      </c>
      <c r="M180" s="103">
        <f>VLOOKUP($A180,'OI(Value)'!$A$7:$O$323,9,0)</f>
        <v>28</v>
      </c>
      <c r="N180" s="103">
        <f>VLOOKUP($A180,'OI(Value)'!$A$7:$O$323,11,0)</f>
        <v>338</v>
      </c>
      <c r="O180" s="103">
        <f>VLOOKUP($A180,'OI(Value)'!$A$7:$O$323,12,0)</f>
        <v>11</v>
      </c>
    </row>
    <row r="181" spans="1:15" x14ac:dyDescent="0.25">
      <c r="A181" s="105" t="str">
        <f>'Data Vlaue (Cr)'!C176</f>
        <v>SBIN</v>
      </c>
      <c r="B181" s="143">
        <f>VLOOKUP($A181,'Data shares'!$C:$FA,118)</f>
        <v>0.62</v>
      </c>
      <c r="C181" s="143">
        <f>VLOOKUP($A181,'Data shares'!$C:$FA,119)</f>
        <v>0.67</v>
      </c>
      <c r="D181" s="143">
        <f>VLOOKUP($A181,'Data shares'!$C:$FA,121)*100</f>
        <v>-7.46</v>
      </c>
      <c r="E181" s="143">
        <f>VLOOKUP($A181,'Data shares'!$C:$FA,124)</f>
        <v>0.69</v>
      </c>
      <c r="F181" s="143">
        <f>VLOOKUP($A181,'Data shares'!$C:$FA,125)</f>
        <v>0.86</v>
      </c>
      <c r="G181" s="143">
        <f>VLOOKUP($A181,'Data shares'!$C:$FA,127)*100</f>
        <v>-19.77</v>
      </c>
      <c r="H181" s="103">
        <f>VLOOKUP($A181,'OI(Volume)'!$A$7:$O$440,8)</f>
        <v>56619750</v>
      </c>
      <c r="I181" s="103">
        <f>VLOOKUP($A181,'OI(Volume)'!$A$7:$O$440,9)</f>
        <v>3828000</v>
      </c>
      <c r="J181" s="103">
        <f>VLOOKUP($A181,'OI(Volume)'!$A$7:$O$440,11)</f>
        <v>34874250</v>
      </c>
      <c r="K181" s="103">
        <f>VLOOKUP($A181,'OI(Volume)'!$A$7:$O$440,12)</f>
        <v>-288750</v>
      </c>
      <c r="L181" s="103">
        <f>VLOOKUP($A181,'OI(Value)'!$A$7:$O$323,8,0)</f>
        <v>6165</v>
      </c>
      <c r="M181" s="103">
        <f>VLOOKUP($A181,'OI(Value)'!$A$7:$O$323,9,0)</f>
        <v>417</v>
      </c>
      <c r="N181" s="103">
        <f>VLOOKUP($A181,'OI(Value)'!$A$7:$O$323,11,0)</f>
        <v>3797</v>
      </c>
      <c r="O181" s="103">
        <f>VLOOKUP($A181,'OI(Value)'!$A$7:$O$323,12,0)</f>
        <v>-31</v>
      </c>
    </row>
    <row r="182" spans="1:15" x14ac:dyDescent="0.25">
      <c r="A182" s="105" t="str">
        <f>'Data Vlaue (Cr)'!C177</f>
        <v>SHREECEM</v>
      </c>
      <c r="B182" s="143">
        <f>VLOOKUP($A182,'Data shares'!$C:$FA,118)</f>
        <v>0.71</v>
      </c>
      <c r="C182" s="143">
        <f>VLOOKUP($A182,'Data shares'!$C:$FA,119)</f>
        <v>0.67</v>
      </c>
      <c r="D182" s="143">
        <f>VLOOKUP($A182,'Data shares'!$C:$FA,121)*100</f>
        <v>5.9700000000000006</v>
      </c>
      <c r="E182" s="143">
        <f>VLOOKUP($A182,'Data shares'!$C:$FA,124)</f>
        <v>0.77</v>
      </c>
      <c r="F182" s="143">
        <f>VLOOKUP($A182,'Data shares'!$C:$FA,125)</f>
        <v>1.1599999999999999</v>
      </c>
      <c r="G182" s="143">
        <f>VLOOKUP($A182,'Data shares'!$C:$FA,127)*100</f>
        <v>-33.619999999999997</v>
      </c>
      <c r="H182" s="103">
        <f>VLOOKUP($A182,'OI(Volume)'!$A$7:$O$440,8)</f>
        <v>91275</v>
      </c>
      <c r="I182" s="103">
        <f>VLOOKUP($A182,'OI(Volume)'!$A$7:$O$440,9)</f>
        <v>1375</v>
      </c>
      <c r="J182" s="103">
        <f>VLOOKUP($A182,'OI(Volume)'!$A$7:$O$440,11)</f>
        <v>64400</v>
      </c>
      <c r="K182" s="103">
        <f>VLOOKUP($A182,'OI(Volume)'!$A$7:$O$440,12)</f>
        <v>4300</v>
      </c>
      <c r="L182" s="103">
        <f>VLOOKUP($A182,'OI(Value)'!$A$7:$O$323,8,0)</f>
        <v>215</v>
      </c>
      <c r="M182" s="103">
        <f>VLOOKUP($A182,'OI(Value)'!$A$7:$O$323,9,0)</f>
        <v>3</v>
      </c>
      <c r="N182" s="103">
        <f>VLOOKUP($A182,'OI(Value)'!$A$7:$O$323,11,0)</f>
        <v>151</v>
      </c>
      <c r="O182" s="103">
        <f>VLOOKUP($A182,'OI(Value)'!$A$7:$O$323,12,0)</f>
        <v>10</v>
      </c>
    </row>
    <row r="183" spans="1:15" x14ac:dyDescent="0.25">
      <c r="A183" s="105" t="str">
        <f>'Data Vlaue (Cr)'!C178</f>
        <v>SHRIRAMFIN</v>
      </c>
      <c r="B183" s="143">
        <f>VLOOKUP($A183,'Data shares'!$C:$FA,118)</f>
        <v>0.86</v>
      </c>
      <c r="C183" s="143">
        <f>VLOOKUP($A183,'Data shares'!$C:$FA,119)</f>
        <v>0.85</v>
      </c>
      <c r="D183" s="143">
        <f>VLOOKUP($A183,'Data shares'!$C:$FA,121)*100</f>
        <v>1.18</v>
      </c>
      <c r="E183" s="143">
        <f>VLOOKUP($A183,'Data shares'!$C:$FA,124)</f>
        <v>0.68</v>
      </c>
      <c r="F183" s="143">
        <f>VLOOKUP($A183,'Data shares'!$C:$FA,125)</f>
        <v>0.8</v>
      </c>
      <c r="G183" s="143">
        <f>VLOOKUP($A183,'Data shares'!$C:$FA,127)*100</f>
        <v>-15</v>
      </c>
      <c r="H183" s="103">
        <f>VLOOKUP($A183,'OI(Volume)'!$A$7:$O$440,8)</f>
        <v>12437700</v>
      </c>
      <c r="I183" s="103">
        <f>VLOOKUP($A183,'OI(Volume)'!$A$7:$O$440,9)</f>
        <v>454575</v>
      </c>
      <c r="J183" s="103">
        <f>VLOOKUP($A183,'OI(Volume)'!$A$7:$O$440,11)</f>
        <v>10714275</v>
      </c>
      <c r="K183" s="103">
        <f>VLOOKUP($A183,'OI(Volume)'!$A$7:$O$440,12)</f>
        <v>513150</v>
      </c>
      <c r="L183" s="103">
        <f>VLOOKUP($A183,'OI(Value)'!$A$7:$O$323,8,0)</f>
        <v>1288</v>
      </c>
      <c r="M183" s="103">
        <f>VLOOKUP($A183,'OI(Value)'!$A$7:$O$323,9,0)</f>
        <v>47</v>
      </c>
      <c r="N183" s="103">
        <f>VLOOKUP($A183,'OI(Value)'!$A$7:$O$323,11,0)</f>
        <v>1109</v>
      </c>
      <c r="O183" s="103">
        <f>VLOOKUP($A183,'OI(Value)'!$A$7:$O$323,12,0)</f>
        <v>53</v>
      </c>
    </row>
    <row r="184" spans="1:15" x14ac:dyDescent="0.25">
      <c r="A184" s="105" t="str">
        <f>'Data Vlaue (Cr)'!C179</f>
        <v>SIEMENS</v>
      </c>
      <c r="B184" s="143">
        <f>VLOOKUP($A184,'Data shares'!$C:$FA,118)</f>
        <v>0.51</v>
      </c>
      <c r="C184" s="143">
        <f>VLOOKUP($A184,'Data shares'!$C:$FA,119)</f>
        <v>0.55000000000000004</v>
      </c>
      <c r="D184" s="143">
        <f>VLOOKUP($A184,'Data shares'!$C:$FA,121)*100</f>
        <v>-7.2700000000000005</v>
      </c>
      <c r="E184" s="143">
        <f>VLOOKUP($A184,'Data shares'!$C:$FA,124)</f>
        <v>0.32</v>
      </c>
      <c r="F184" s="143">
        <f>VLOOKUP($A184,'Data shares'!$C:$FA,125)</f>
        <v>0.4</v>
      </c>
      <c r="G184" s="143">
        <f>VLOOKUP($A184,'Data shares'!$C:$FA,127)*100</f>
        <v>-20</v>
      </c>
      <c r="H184" s="103">
        <f>VLOOKUP($A184,'OI(Volume)'!$A$7:$O$440,8)</f>
        <v>1577275</v>
      </c>
      <c r="I184" s="103">
        <f>VLOOKUP($A184,'OI(Volume)'!$A$7:$O$440,9)</f>
        <v>38325</v>
      </c>
      <c r="J184" s="103">
        <f>VLOOKUP($A184,'OI(Volume)'!$A$7:$O$440,11)</f>
        <v>808500</v>
      </c>
      <c r="K184" s="103">
        <f>VLOOKUP($A184,'OI(Volume)'!$A$7:$O$440,12)</f>
        <v>-35350</v>
      </c>
      <c r="L184" s="103">
        <f>VLOOKUP($A184,'OI(Value)'!$A$7:$O$323,8,0)</f>
        <v>524</v>
      </c>
      <c r="M184" s="103">
        <f>VLOOKUP($A184,'OI(Value)'!$A$7:$O$323,9,0)</f>
        <v>13</v>
      </c>
      <c r="N184" s="103">
        <f>VLOOKUP($A184,'OI(Value)'!$A$7:$O$323,11,0)</f>
        <v>268</v>
      </c>
      <c r="O184" s="103">
        <f>VLOOKUP($A184,'OI(Value)'!$A$7:$O$323,12,0)</f>
        <v>-12</v>
      </c>
    </row>
    <row r="185" spans="1:15" x14ac:dyDescent="0.25">
      <c r="A185" s="105" t="str">
        <f>'Data Vlaue (Cr)'!C180</f>
        <v>SOLARINDS</v>
      </c>
      <c r="B185" s="143">
        <f>VLOOKUP($A185,'Data shares'!$C:$FA,118)</f>
        <v>0.73</v>
      </c>
      <c r="C185" s="143">
        <f>VLOOKUP($A185,'Data shares'!$C:$FA,119)</f>
        <v>0.7</v>
      </c>
      <c r="D185" s="143">
        <f>VLOOKUP($A185,'Data shares'!$C:$FA,121)*100</f>
        <v>4.29</v>
      </c>
      <c r="E185" s="143">
        <f>VLOOKUP($A185,'Data shares'!$C:$FA,124)</f>
        <v>0.42</v>
      </c>
      <c r="F185" s="143">
        <f>VLOOKUP($A185,'Data shares'!$C:$FA,125)</f>
        <v>0.86</v>
      </c>
      <c r="G185" s="143">
        <f>VLOOKUP($A185,'Data shares'!$C:$FA,127)*100</f>
        <v>-51.160000000000004</v>
      </c>
      <c r="H185" s="103">
        <f>VLOOKUP($A185,'OI(Volume)'!$A$7:$O$440,8)</f>
        <v>404850</v>
      </c>
      <c r="I185" s="103">
        <f>VLOOKUP($A185,'OI(Volume)'!$A$7:$O$440,9)</f>
        <v>-6150</v>
      </c>
      <c r="J185" s="103">
        <f>VLOOKUP($A185,'OI(Volume)'!$A$7:$O$440,11)</f>
        <v>295100</v>
      </c>
      <c r="K185" s="103">
        <f>VLOOKUP($A185,'OI(Volume)'!$A$7:$O$440,12)</f>
        <v>9000</v>
      </c>
      <c r="L185" s="103">
        <f>VLOOKUP($A185,'OI(Value)'!$A$7:$O$323,8,0)</f>
        <v>589</v>
      </c>
      <c r="M185" s="103">
        <f>VLOOKUP($A185,'OI(Value)'!$A$7:$O$323,9,0)</f>
        <v>-9</v>
      </c>
      <c r="N185" s="103">
        <f>VLOOKUP($A185,'OI(Value)'!$A$7:$O$323,11,0)</f>
        <v>429</v>
      </c>
      <c r="O185" s="103">
        <f>VLOOKUP($A185,'OI(Value)'!$A$7:$O$323,12,0)</f>
        <v>13</v>
      </c>
    </row>
    <row r="186" spans="1:15" x14ac:dyDescent="0.25">
      <c r="A186" s="105" t="str">
        <f>'Data Vlaue (Cr)'!C181</f>
        <v>SONACOMS</v>
      </c>
      <c r="B186" s="143">
        <f>VLOOKUP($A186,'Data shares'!$C:$FA,118)</f>
        <v>0.69</v>
      </c>
      <c r="C186" s="143">
        <f>VLOOKUP($A186,'Data shares'!$C:$FA,119)</f>
        <v>0.72</v>
      </c>
      <c r="D186" s="143">
        <f>VLOOKUP($A186,'Data shares'!$C:$FA,121)*100</f>
        <v>-4.17</v>
      </c>
      <c r="E186" s="143">
        <f>VLOOKUP($A186,'Data shares'!$C:$FA,124)</f>
        <v>0.67</v>
      </c>
      <c r="F186" s="143">
        <f>VLOOKUP($A186,'Data shares'!$C:$FA,125)</f>
        <v>0.24</v>
      </c>
      <c r="G186" s="143">
        <f>VLOOKUP($A186,'Data shares'!$C:$FA,127)*100</f>
        <v>179.17000000000002</v>
      </c>
      <c r="H186" s="103">
        <f>VLOOKUP($A186,'OI(Volume)'!$A$7:$O$440,8)</f>
        <v>5054350</v>
      </c>
      <c r="I186" s="103">
        <f>VLOOKUP($A186,'OI(Volume)'!$A$7:$O$440,9)</f>
        <v>90650</v>
      </c>
      <c r="J186" s="103">
        <f>VLOOKUP($A186,'OI(Volume)'!$A$7:$O$440,11)</f>
        <v>3504725</v>
      </c>
      <c r="K186" s="103">
        <f>VLOOKUP($A186,'OI(Volume)'!$A$7:$O$440,12)</f>
        <v>-52675</v>
      </c>
      <c r="L186" s="103">
        <f>VLOOKUP($A186,'OI(Value)'!$A$7:$O$323,8,0)</f>
        <v>258</v>
      </c>
      <c r="M186" s="103">
        <f>VLOOKUP($A186,'OI(Value)'!$A$7:$O$323,9,0)</f>
        <v>5</v>
      </c>
      <c r="N186" s="103">
        <f>VLOOKUP($A186,'OI(Value)'!$A$7:$O$323,11,0)</f>
        <v>179</v>
      </c>
      <c r="O186" s="103">
        <f>VLOOKUP($A186,'OI(Value)'!$A$7:$O$323,12,0)</f>
        <v>-3</v>
      </c>
    </row>
    <row r="187" spans="1:15" x14ac:dyDescent="0.25">
      <c r="A187" s="105" t="str">
        <f>'Data Vlaue (Cr)'!C182</f>
        <v>SRF</v>
      </c>
      <c r="B187" s="143">
        <f>VLOOKUP($A187,'Data shares'!$C:$FA,118)</f>
        <v>0.83</v>
      </c>
      <c r="C187" s="143">
        <f>VLOOKUP($A187,'Data shares'!$C:$FA,119)</f>
        <v>0.84</v>
      </c>
      <c r="D187" s="143">
        <f>VLOOKUP($A187,'Data shares'!$C:$FA,121)*100</f>
        <v>-1.1900000000000002</v>
      </c>
      <c r="E187" s="143">
        <f>VLOOKUP($A187,'Data shares'!$C:$FA,124)</f>
        <v>0.47</v>
      </c>
      <c r="F187" s="143">
        <f>VLOOKUP($A187,'Data shares'!$C:$FA,125)</f>
        <v>1.39</v>
      </c>
      <c r="G187" s="143">
        <f>VLOOKUP($A187,'Data shares'!$C:$FA,127)*100</f>
        <v>-66.19</v>
      </c>
      <c r="H187" s="103">
        <f>VLOOKUP($A187,'OI(Volume)'!$A$7:$O$440,8)</f>
        <v>1638200</v>
      </c>
      <c r="I187" s="103">
        <f>VLOOKUP($A187,'OI(Volume)'!$A$7:$O$440,9)</f>
        <v>67800</v>
      </c>
      <c r="J187" s="103">
        <f>VLOOKUP($A187,'OI(Volume)'!$A$7:$O$440,11)</f>
        <v>1365000</v>
      </c>
      <c r="K187" s="103">
        <f>VLOOKUP($A187,'OI(Volume)'!$A$7:$O$440,12)</f>
        <v>42000</v>
      </c>
      <c r="L187" s="103">
        <f>VLOOKUP($A187,'OI(Value)'!$A$7:$O$323,8,0)</f>
        <v>430</v>
      </c>
      <c r="M187" s="103">
        <f>VLOOKUP($A187,'OI(Value)'!$A$7:$O$323,9,0)</f>
        <v>18</v>
      </c>
      <c r="N187" s="103">
        <f>VLOOKUP($A187,'OI(Value)'!$A$7:$O$323,11,0)</f>
        <v>359</v>
      </c>
      <c r="O187" s="103">
        <f>VLOOKUP($A187,'OI(Value)'!$A$7:$O$323,12,0)</f>
        <v>11</v>
      </c>
    </row>
    <row r="188" spans="1:15" x14ac:dyDescent="0.25">
      <c r="A188" s="105" t="str">
        <f>'Data Vlaue (Cr)'!C183</f>
        <v>SUNPHARMA</v>
      </c>
      <c r="B188" s="143">
        <f>VLOOKUP($A188,'Data shares'!$C:$FA,118)</f>
        <v>0.54</v>
      </c>
      <c r="C188" s="143">
        <f>VLOOKUP($A188,'Data shares'!$C:$FA,119)</f>
        <v>0.56999999999999995</v>
      </c>
      <c r="D188" s="143">
        <f>VLOOKUP($A188,'Data shares'!$C:$FA,121)*100</f>
        <v>-5.26</v>
      </c>
      <c r="E188" s="143">
        <f>VLOOKUP($A188,'Data shares'!$C:$FA,124)</f>
        <v>0.66</v>
      </c>
      <c r="F188" s="143">
        <f>VLOOKUP($A188,'Data shares'!$C:$FA,125)</f>
        <v>0.48</v>
      </c>
      <c r="G188" s="143">
        <f>VLOOKUP($A188,'Data shares'!$C:$FA,127)*100</f>
        <v>37.5</v>
      </c>
      <c r="H188" s="103">
        <f>VLOOKUP($A188,'OI(Volume)'!$A$7:$O$440,8)</f>
        <v>13833400</v>
      </c>
      <c r="I188" s="103">
        <f>VLOOKUP($A188,'OI(Volume)'!$A$7:$O$440,9)</f>
        <v>1717450</v>
      </c>
      <c r="J188" s="103">
        <f>VLOOKUP($A188,'OI(Volume)'!$A$7:$O$440,11)</f>
        <v>7432250</v>
      </c>
      <c r="K188" s="103">
        <f>VLOOKUP($A188,'OI(Volume)'!$A$7:$O$440,12)</f>
        <v>564550</v>
      </c>
      <c r="L188" s="103">
        <f>VLOOKUP($A188,'OI(Value)'!$A$7:$O$323,8,0)</f>
        <v>2528</v>
      </c>
      <c r="M188" s="103">
        <f>VLOOKUP($A188,'OI(Value)'!$A$7:$O$323,9,0)</f>
        <v>314</v>
      </c>
      <c r="N188" s="103">
        <f>VLOOKUP($A188,'OI(Value)'!$A$7:$O$323,11,0)</f>
        <v>1358</v>
      </c>
      <c r="O188" s="103">
        <f>VLOOKUP($A188,'OI(Value)'!$A$7:$O$323,12,0)</f>
        <v>103</v>
      </c>
    </row>
    <row r="189" spans="1:15" x14ac:dyDescent="0.25">
      <c r="A189" s="105" t="str">
        <f>'Data Vlaue (Cr)'!C184</f>
        <v>SUPREMEIND</v>
      </c>
      <c r="B189" s="143">
        <f>VLOOKUP($A189,'Data shares'!$C:$FA,118)</f>
        <v>0.61</v>
      </c>
      <c r="C189" s="143">
        <f>VLOOKUP($A189,'Data shares'!$C:$FA,119)</f>
        <v>0.61</v>
      </c>
      <c r="D189" s="143">
        <f>VLOOKUP($A189,'Data shares'!$C:$FA,121)*100</f>
        <v>0</v>
      </c>
      <c r="E189" s="143">
        <f>VLOOKUP($A189,'Data shares'!$C:$FA,124)</f>
        <v>0.4</v>
      </c>
      <c r="F189" s="143">
        <f>VLOOKUP($A189,'Data shares'!$C:$FA,125)</f>
        <v>0.21</v>
      </c>
      <c r="G189" s="143">
        <f>VLOOKUP($A189,'Data shares'!$C:$FA,127)*100</f>
        <v>90.48</v>
      </c>
      <c r="H189" s="103">
        <f>VLOOKUP($A189,'OI(Volume)'!$A$7:$O$440,8)</f>
        <v>535675</v>
      </c>
      <c r="I189" s="103">
        <f>VLOOKUP($A189,'OI(Volume)'!$A$7:$O$440,9)</f>
        <v>-41650</v>
      </c>
      <c r="J189" s="103">
        <f>VLOOKUP($A189,'OI(Volume)'!$A$7:$O$440,11)</f>
        <v>326900</v>
      </c>
      <c r="K189" s="103">
        <f>VLOOKUP($A189,'OI(Volume)'!$A$7:$O$440,12)</f>
        <v>-27475</v>
      </c>
      <c r="L189" s="103">
        <f>VLOOKUP($A189,'OI(Value)'!$A$7:$O$323,8,0)</f>
        <v>216</v>
      </c>
      <c r="M189" s="103">
        <f>VLOOKUP($A189,'OI(Value)'!$A$7:$O$323,9,0)</f>
        <v>-17</v>
      </c>
      <c r="N189" s="103">
        <f>VLOOKUP($A189,'OI(Value)'!$A$7:$O$323,11,0)</f>
        <v>132</v>
      </c>
      <c r="O189" s="103">
        <f>VLOOKUP($A189,'OI(Value)'!$A$7:$O$323,12,0)</f>
        <v>-11</v>
      </c>
    </row>
    <row r="190" spans="1:15" x14ac:dyDescent="0.25">
      <c r="A190" s="105" t="str">
        <f>'Data Vlaue (Cr)'!C185</f>
        <v>SUZLON</v>
      </c>
      <c r="B190" s="143">
        <f>VLOOKUP($A190,'Data shares'!$C:$FA,118)</f>
        <v>0.42</v>
      </c>
      <c r="C190" s="143">
        <f>VLOOKUP($A190,'Data shares'!$C:$FA,119)</f>
        <v>0.37</v>
      </c>
      <c r="D190" s="143">
        <f>VLOOKUP($A190,'Data shares'!$C:$FA,121)*100</f>
        <v>13.51</v>
      </c>
      <c r="E190" s="143">
        <f>VLOOKUP($A190,'Data shares'!$C:$FA,124)</f>
        <v>0.23</v>
      </c>
      <c r="F190" s="143">
        <f>VLOOKUP($A190,'Data shares'!$C:$FA,125)</f>
        <v>0.2</v>
      </c>
      <c r="G190" s="143">
        <f>VLOOKUP($A190,'Data shares'!$C:$FA,127)*100</f>
        <v>15</v>
      </c>
      <c r="H190" s="103">
        <f>VLOOKUP($A190,'OI(Volume)'!$A$7:$O$440,8)</f>
        <v>205842200</v>
      </c>
      <c r="I190" s="103">
        <f>VLOOKUP($A190,'OI(Volume)'!$A$7:$O$440,9)</f>
        <v>-8537650</v>
      </c>
      <c r="J190" s="103">
        <f>VLOOKUP($A190,'OI(Volume)'!$A$7:$O$440,11)</f>
        <v>86667075</v>
      </c>
      <c r="K190" s="103">
        <f>VLOOKUP($A190,'OI(Volume)'!$A$7:$O$440,12)</f>
        <v>8248850</v>
      </c>
      <c r="L190" s="103">
        <f>VLOOKUP($A190,'OI(Value)'!$A$7:$O$323,8,0)</f>
        <v>875</v>
      </c>
      <c r="M190" s="103">
        <f>VLOOKUP($A190,'OI(Value)'!$A$7:$O$323,9,0)</f>
        <v>-36</v>
      </c>
      <c r="N190" s="103">
        <f>VLOOKUP($A190,'OI(Value)'!$A$7:$O$323,11,0)</f>
        <v>368</v>
      </c>
      <c r="O190" s="103">
        <f>VLOOKUP($A190,'OI(Value)'!$A$7:$O$323,12,0)</f>
        <v>35</v>
      </c>
    </row>
    <row r="191" spans="1:15" x14ac:dyDescent="0.25">
      <c r="A191" s="105" t="str">
        <f>'Data Vlaue (Cr)'!C186</f>
        <v>SWIGGY</v>
      </c>
      <c r="B191" s="143">
        <f>VLOOKUP($A191,'Data shares'!$C:$FA,118)</f>
        <v>0.84</v>
      </c>
      <c r="C191" s="143">
        <f>VLOOKUP($A191,'Data shares'!$C:$FA,119)</f>
        <v>0.81</v>
      </c>
      <c r="D191" s="143">
        <f>VLOOKUP($A191,'Data shares'!$C:$FA,121)*100</f>
        <v>3.6999999999999997</v>
      </c>
      <c r="E191" s="143">
        <f>VLOOKUP($A191,'Data shares'!$C:$FA,124)</f>
        <v>1.86</v>
      </c>
      <c r="F191" s="143">
        <f>VLOOKUP($A191,'Data shares'!$C:$FA,125)</f>
        <v>1.24</v>
      </c>
      <c r="G191" s="143">
        <f>VLOOKUP($A191,'Data shares'!$C:$FA,127)*100</f>
        <v>50</v>
      </c>
      <c r="H191" s="103">
        <f>VLOOKUP($A191,'OI(Volume)'!$A$7:$O$440,8)</f>
        <v>8139300</v>
      </c>
      <c r="I191" s="103">
        <f>VLOOKUP($A191,'OI(Volume)'!$A$7:$O$440,9)</f>
        <v>631800</v>
      </c>
      <c r="J191" s="103">
        <f>VLOOKUP($A191,'OI(Volume)'!$A$7:$O$440,11)</f>
        <v>6812000</v>
      </c>
      <c r="K191" s="103">
        <f>VLOOKUP($A191,'OI(Volume)'!$A$7:$O$440,12)</f>
        <v>715000</v>
      </c>
      <c r="L191" s="103">
        <f>VLOOKUP($A191,'OI(Value)'!$A$7:$O$323,8,0)</f>
        <v>229</v>
      </c>
      <c r="M191" s="103">
        <f>VLOOKUP($A191,'OI(Value)'!$A$7:$O$323,9,0)</f>
        <v>18</v>
      </c>
      <c r="N191" s="103">
        <f>VLOOKUP($A191,'OI(Value)'!$A$7:$O$323,11,0)</f>
        <v>191</v>
      </c>
      <c r="O191" s="103">
        <f>VLOOKUP($A191,'OI(Value)'!$A$7:$O$323,12,0)</f>
        <v>20</v>
      </c>
    </row>
    <row r="192" spans="1:15" x14ac:dyDescent="0.25">
      <c r="A192" s="105" t="str">
        <f>'Data Vlaue (Cr)'!C187</f>
        <v>SYNGENE</v>
      </c>
      <c r="B192" s="143">
        <f>VLOOKUP($A192,'Data shares'!$C:$FA,118)</f>
        <v>0.53</v>
      </c>
      <c r="C192" s="143">
        <f>VLOOKUP($A192,'Data shares'!$C:$FA,119)</f>
        <v>0.56999999999999995</v>
      </c>
      <c r="D192" s="143">
        <f>VLOOKUP($A192,'Data shares'!$C:$FA,121)*100</f>
        <v>-7.02</v>
      </c>
      <c r="E192" s="143">
        <f>VLOOKUP($A192,'Data shares'!$C:$FA,124)</f>
        <v>0.69</v>
      </c>
      <c r="F192" s="143">
        <f>VLOOKUP($A192,'Data shares'!$C:$FA,125)</f>
        <v>0.26</v>
      </c>
      <c r="G192" s="143">
        <f>VLOOKUP($A192,'Data shares'!$C:$FA,127)*100</f>
        <v>165.38</v>
      </c>
      <c r="H192" s="103">
        <f>VLOOKUP($A192,'OI(Volume)'!$A$7:$O$440,8)</f>
        <v>5535000</v>
      </c>
      <c r="I192" s="103">
        <f>VLOOKUP($A192,'OI(Volume)'!$A$7:$O$440,9)</f>
        <v>275000</v>
      </c>
      <c r="J192" s="103">
        <f>VLOOKUP($A192,'OI(Volume)'!$A$7:$O$440,11)</f>
        <v>2924000</v>
      </c>
      <c r="K192" s="103">
        <f>VLOOKUP($A192,'OI(Volume)'!$A$7:$O$440,12)</f>
        <v>-52000</v>
      </c>
      <c r="L192" s="103">
        <f>VLOOKUP($A192,'OI(Value)'!$A$7:$O$323,8,0)</f>
        <v>224</v>
      </c>
      <c r="M192" s="103">
        <f>VLOOKUP($A192,'OI(Value)'!$A$7:$O$323,9,0)</f>
        <v>11</v>
      </c>
      <c r="N192" s="103">
        <f>VLOOKUP($A192,'OI(Value)'!$A$7:$O$323,11,0)</f>
        <v>118</v>
      </c>
      <c r="O192" s="103">
        <f>VLOOKUP($A192,'OI(Value)'!$A$7:$O$323,12,0)</f>
        <v>-2</v>
      </c>
    </row>
    <row r="193" spans="1:15" x14ac:dyDescent="0.25">
      <c r="A193" s="105" t="str">
        <f>'Data Vlaue (Cr)'!C188</f>
        <v>TATACONSUM</v>
      </c>
      <c r="B193" s="143">
        <f>VLOOKUP($A193,'Data shares'!$C:$FA,118)</f>
        <v>0.54</v>
      </c>
      <c r="C193" s="143">
        <f>VLOOKUP($A193,'Data shares'!$C:$FA,119)</f>
        <v>0.65</v>
      </c>
      <c r="D193" s="143">
        <f>VLOOKUP($A193,'Data shares'!$C:$FA,121)*100</f>
        <v>-16.919999999999998</v>
      </c>
      <c r="E193" s="143">
        <f>VLOOKUP($A193,'Data shares'!$C:$FA,124)</f>
        <v>0.88</v>
      </c>
      <c r="F193" s="143">
        <f>VLOOKUP($A193,'Data shares'!$C:$FA,125)</f>
        <v>1.57</v>
      </c>
      <c r="G193" s="143">
        <f>VLOOKUP($A193,'Data shares'!$C:$FA,127)*100</f>
        <v>-43.95</v>
      </c>
      <c r="H193" s="103">
        <f>VLOOKUP($A193,'OI(Volume)'!$A$7:$O$440,8)</f>
        <v>3108600</v>
      </c>
      <c r="I193" s="103">
        <f>VLOOKUP($A193,'OI(Volume)'!$A$7:$O$440,9)</f>
        <v>220550</v>
      </c>
      <c r="J193" s="103">
        <f>VLOOKUP($A193,'OI(Volume)'!$A$7:$O$440,11)</f>
        <v>1668700</v>
      </c>
      <c r="K193" s="103">
        <f>VLOOKUP($A193,'OI(Volume)'!$A$7:$O$440,12)</f>
        <v>-205150</v>
      </c>
      <c r="L193" s="103">
        <f>VLOOKUP($A193,'OI(Value)'!$A$7:$O$323,8,0)</f>
        <v>330</v>
      </c>
      <c r="M193" s="103">
        <f>VLOOKUP($A193,'OI(Value)'!$A$7:$O$323,9,0)</f>
        <v>23</v>
      </c>
      <c r="N193" s="103">
        <f>VLOOKUP($A193,'OI(Value)'!$A$7:$O$323,11,0)</f>
        <v>177</v>
      </c>
      <c r="O193" s="103">
        <f>VLOOKUP($A193,'OI(Value)'!$A$7:$O$323,12,0)</f>
        <v>-22</v>
      </c>
    </row>
    <row r="194" spans="1:15" x14ac:dyDescent="0.25">
      <c r="A194" s="105" t="str">
        <f>'Data Vlaue (Cr)'!C189</f>
        <v>TATAELXSI</v>
      </c>
      <c r="B194" s="143">
        <f>VLOOKUP($A194,'Data shares'!$C:$FA,118)</f>
        <v>0.42</v>
      </c>
      <c r="C194" s="143">
        <f>VLOOKUP($A194,'Data shares'!$C:$FA,119)</f>
        <v>0.45</v>
      </c>
      <c r="D194" s="143">
        <f>VLOOKUP($A194,'Data shares'!$C:$FA,121)*100</f>
        <v>-6.67</v>
      </c>
      <c r="E194" s="143">
        <f>VLOOKUP($A194,'Data shares'!$C:$FA,124)</f>
        <v>0.31</v>
      </c>
      <c r="F194" s="143">
        <f>VLOOKUP($A194,'Data shares'!$C:$FA,125)</f>
        <v>0.21</v>
      </c>
      <c r="G194" s="143">
        <f>VLOOKUP($A194,'Data shares'!$C:$FA,127)*100</f>
        <v>47.620000000000005</v>
      </c>
      <c r="H194" s="103">
        <f>VLOOKUP($A194,'OI(Volume)'!$A$7:$O$440,8)</f>
        <v>1891100</v>
      </c>
      <c r="I194" s="103">
        <f>VLOOKUP($A194,'OI(Volume)'!$A$7:$O$440,9)</f>
        <v>73000</v>
      </c>
      <c r="J194" s="103">
        <f>VLOOKUP($A194,'OI(Volume)'!$A$7:$O$440,11)</f>
        <v>799100</v>
      </c>
      <c r="K194" s="103">
        <f>VLOOKUP($A194,'OI(Volume)'!$A$7:$O$440,12)</f>
        <v>-11100</v>
      </c>
      <c r="L194" s="103">
        <f>VLOOKUP($A194,'OI(Value)'!$A$7:$O$323,8,0)</f>
        <v>816</v>
      </c>
      <c r="M194" s="103">
        <f>VLOOKUP($A194,'OI(Value)'!$A$7:$O$323,9,0)</f>
        <v>31</v>
      </c>
      <c r="N194" s="103">
        <f>VLOOKUP($A194,'OI(Value)'!$A$7:$O$323,11,0)</f>
        <v>345</v>
      </c>
      <c r="O194" s="103">
        <f>VLOOKUP($A194,'OI(Value)'!$A$7:$O$323,12,0)</f>
        <v>-5</v>
      </c>
    </row>
    <row r="195" spans="1:15" x14ac:dyDescent="0.25">
      <c r="A195" s="105" t="str">
        <f>'Data Vlaue (Cr)'!C190</f>
        <v>TATAPOWER</v>
      </c>
      <c r="B195" s="143">
        <f>VLOOKUP($A195,'Data shares'!$C:$FA,118)</f>
        <v>1.03</v>
      </c>
      <c r="C195" s="143">
        <f>VLOOKUP($A195,'Data shares'!$C:$FA,119)</f>
        <v>0.8</v>
      </c>
      <c r="D195" s="143">
        <f>VLOOKUP($A195,'Data shares'!$C:$FA,121)*100</f>
        <v>28.749999999999996</v>
      </c>
      <c r="E195" s="143">
        <f>VLOOKUP($A195,'Data shares'!$C:$FA,124)</f>
        <v>0.37</v>
      </c>
      <c r="F195" s="143">
        <f>VLOOKUP($A195,'Data shares'!$C:$FA,125)</f>
        <v>0.32</v>
      </c>
      <c r="G195" s="143">
        <f>VLOOKUP($A195,'Data shares'!$C:$FA,127)*100</f>
        <v>15.620000000000001</v>
      </c>
      <c r="H195" s="103">
        <f>VLOOKUP($A195,'OI(Volume)'!$A$7:$O$440,8)</f>
        <v>29321900</v>
      </c>
      <c r="I195" s="103">
        <f>VLOOKUP($A195,'OI(Volume)'!$A$7:$O$440,9)</f>
        <v>-1499300</v>
      </c>
      <c r="J195" s="103">
        <f>VLOOKUP($A195,'OI(Volume)'!$A$7:$O$440,11)</f>
        <v>30160000</v>
      </c>
      <c r="K195" s="103">
        <f>VLOOKUP($A195,'OI(Volume)'!$A$7:$O$440,12)</f>
        <v>5350500</v>
      </c>
      <c r="L195" s="103">
        <f>VLOOKUP($A195,'OI(Value)'!$A$7:$O$323,8,0)</f>
        <v>1183</v>
      </c>
      <c r="M195" s="103">
        <f>VLOOKUP($A195,'OI(Value)'!$A$7:$O$323,9,0)</f>
        <v>-61</v>
      </c>
      <c r="N195" s="103">
        <f>VLOOKUP($A195,'OI(Value)'!$A$7:$O$323,11,0)</f>
        <v>1217</v>
      </c>
      <c r="O195" s="103">
        <f>VLOOKUP($A195,'OI(Value)'!$A$7:$O$323,12,0)</f>
        <v>216</v>
      </c>
    </row>
    <row r="196" spans="1:15" x14ac:dyDescent="0.25">
      <c r="A196" s="105" t="str">
        <f>'Data Vlaue (Cr)'!C191</f>
        <v>TATASTEEL</v>
      </c>
      <c r="B196" s="143">
        <f>VLOOKUP($A196,'Data shares'!$C:$FA,118)</f>
        <v>0.65</v>
      </c>
      <c r="C196" s="143">
        <f>VLOOKUP($A196,'Data shares'!$C:$FA,119)</f>
        <v>0.65</v>
      </c>
      <c r="D196" s="143">
        <f>VLOOKUP($A196,'Data shares'!$C:$FA,121)*100</f>
        <v>0</v>
      </c>
      <c r="E196" s="143">
        <f>VLOOKUP($A196,'Data shares'!$C:$FA,124)</f>
        <v>0.55000000000000004</v>
      </c>
      <c r="F196" s="143">
        <f>VLOOKUP($A196,'Data shares'!$C:$FA,125)</f>
        <v>0.53</v>
      </c>
      <c r="G196" s="143">
        <f>VLOOKUP($A196,'Data shares'!$C:$FA,127)*100</f>
        <v>3.7699999999999996</v>
      </c>
      <c r="H196" s="103">
        <f>VLOOKUP($A196,'OI(Volume)'!$A$7:$O$440,8)</f>
        <v>133226500</v>
      </c>
      <c r="I196" s="103">
        <f>VLOOKUP($A196,'OI(Volume)'!$A$7:$O$440,9)</f>
        <v>2563000</v>
      </c>
      <c r="J196" s="103">
        <f>VLOOKUP($A196,'OI(Volume)'!$A$7:$O$440,11)</f>
        <v>86784500</v>
      </c>
      <c r="K196" s="103">
        <f>VLOOKUP($A196,'OI(Volume)'!$A$7:$O$440,12)</f>
        <v>1435500</v>
      </c>
      <c r="L196" s="103">
        <f>VLOOKUP($A196,'OI(Value)'!$A$7:$O$323,8,0)</f>
        <v>2584</v>
      </c>
      <c r="M196" s="103">
        <f>VLOOKUP($A196,'OI(Value)'!$A$7:$O$323,9,0)</f>
        <v>50</v>
      </c>
      <c r="N196" s="103">
        <f>VLOOKUP($A196,'OI(Value)'!$A$7:$O$323,11,0)</f>
        <v>1683</v>
      </c>
      <c r="O196" s="103">
        <f>VLOOKUP($A196,'OI(Value)'!$A$7:$O$323,12,0)</f>
        <v>28</v>
      </c>
    </row>
    <row r="197" spans="1:15" x14ac:dyDescent="0.25">
      <c r="A197" s="105" t="str">
        <f>'Data Vlaue (Cr)'!C192</f>
        <v>TATATECH</v>
      </c>
      <c r="B197" s="143">
        <f>VLOOKUP($A197,'Data shares'!$C:$FA,118)</f>
        <v>0.56000000000000005</v>
      </c>
      <c r="C197" s="143">
        <f>VLOOKUP($A197,'Data shares'!$C:$FA,119)</f>
        <v>0.56999999999999995</v>
      </c>
      <c r="D197" s="143">
        <f>VLOOKUP($A197,'Data shares'!$C:$FA,121)*100</f>
        <v>-1.7500000000000002</v>
      </c>
      <c r="E197" s="143">
        <f>VLOOKUP($A197,'Data shares'!$C:$FA,124)</f>
        <v>0.32</v>
      </c>
      <c r="F197" s="143">
        <f>VLOOKUP($A197,'Data shares'!$C:$FA,125)</f>
        <v>0.39</v>
      </c>
      <c r="G197" s="143">
        <f>VLOOKUP($A197,'Data shares'!$C:$FA,127)*100</f>
        <v>-17.95</v>
      </c>
      <c r="H197" s="103">
        <f>VLOOKUP($A197,'OI(Volume)'!$A$7:$O$440,8)</f>
        <v>4575200</v>
      </c>
      <c r="I197" s="103">
        <f>VLOOKUP($A197,'OI(Volume)'!$A$7:$O$440,9)</f>
        <v>165600</v>
      </c>
      <c r="J197" s="103">
        <f>VLOOKUP($A197,'OI(Volume)'!$A$7:$O$440,11)</f>
        <v>2544800</v>
      </c>
      <c r="K197" s="103">
        <f>VLOOKUP($A197,'OI(Volume)'!$A$7:$O$440,12)</f>
        <v>15200</v>
      </c>
      <c r="L197" s="103">
        <f>VLOOKUP($A197,'OI(Value)'!$A$7:$O$323,8,0)</f>
        <v>254</v>
      </c>
      <c r="M197" s="103">
        <f>VLOOKUP($A197,'OI(Value)'!$A$7:$O$323,9,0)</f>
        <v>9</v>
      </c>
      <c r="N197" s="103">
        <f>VLOOKUP($A197,'OI(Value)'!$A$7:$O$323,11,0)</f>
        <v>141</v>
      </c>
      <c r="O197" s="103">
        <f>VLOOKUP($A197,'OI(Value)'!$A$7:$O$323,12,0)</f>
        <v>1</v>
      </c>
    </row>
    <row r="198" spans="1:15" x14ac:dyDescent="0.25">
      <c r="A198" s="105" t="str">
        <f>'Data Vlaue (Cr)'!C193</f>
        <v>TCS</v>
      </c>
      <c r="B198" s="143">
        <f>VLOOKUP($A198,'Data shares'!$C:$FA,118)</f>
        <v>0.56000000000000005</v>
      </c>
      <c r="C198" s="143">
        <f>VLOOKUP($A198,'Data shares'!$C:$FA,119)</f>
        <v>0.57999999999999996</v>
      </c>
      <c r="D198" s="143">
        <f>VLOOKUP($A198,'Data shares'!$C:$FA,121)*100</f>
        <v>-3.45</v>
      </c>
      <c r="E198" s="143">
        <f>VLOOKUP($A198,'Data shares'!$C:$FA,124)</f>
        <v>0.55000000000000004</v>
      </c>
      <c r="F198" s="143">
        <f>VLOOKUP($A198,'Data shares'!$C:$FA,125)</f>
        <v>0.57999999999999996</v>
      </c>
      <c r="G198" s="143">
        <f>VLOOKUP($A198,'Data shares'!$C:$FA,127)*100</f>
        <v>-5.17</v>
      </c>
      <c r="H198" s="103">
        <f>VLOOKUP($A198,'OI(Volume)'!$A$7:$O$440,8)</f>
        <v>17724350</v>
      </c>
      <c r="I198" s="103">
        <f>VLOOKUP($A198,'OI(Volume)'!$A$7:$O$440,9)</f>
        <v>635775</v>
      </c>
      <c r="J198" s="103">
        <f>VLOOKUP($A198,'OI(Volume)'!$A$7:$O$440,11)</f>
        <v>9928450</v>
      </c>
      <c r="K198" s="103">
        <f>VLOOKUP($A198,'OI(Volume)'!$A$7:$O$440,12)</f>
        <v>38675</v>
      </c>
      <c r="L198" s="103">
        <f>VLOOKUP($A198,'OI(Value)'!$A$7:$O$323,8,0)</f>
        <v>4348</v>
      </c>
      <c r="M198" s="103">
        <f>VLOOKUP($A198,'OI(Value)'!$A$7:$O$323,9,0)</f>
        <v>156</v>
      </c>
      <c r="N198" s="103">
        <f>VLOOKUP($A198,'OI(Value)'!$A$7:$O$323,11,0)</f>
        <v>2435</v>
      </c>
      <c r="O198" s="103">
        <f>VLOOKUP($A198,'OI(Value)'!$A$7:$O$323,12,0)</f>
        <v>9</v>
      </c>
    </row>
    <row r="199" spans="1:15" x14ac:dyDescent="0.25">
      <c r="A199" s="105" t="str">
        <f>'Data Vlaue (Cr)'!C194</f>
        <v>TECHM</v>
      </c>
      <c r="B199" s="143">
        <f>VLOOKUP($A199,'Data shares'!$C:$FA,118)</f>
        <v>0.59</v>
      </c>
      <c r="C199" s="143">
        <f>VLOOKUP($A199,'Data shares'!$C:$FA,119)</f>
        <v>0.64</v>
      </c>
      <c r="D199" s="143">
        <f>VLOOKUP($A199,'Data shares'!$C:$FA,121)*100</f>
        <v>-7.8100000000000005</v>
      </c>
      <c r="E199" s="143">
        <f>VLOOKUP($A199,'Data shares'!$C:$FA,124)</f>
        <v>0.35</v>
      </c>
      <c r="F199" s="143">
        <f>VLOOKUP($A199,'Data shares'!$C:$FA,125)</f>
        <v>0.51</v>
      </c>
      <c r="G199" s="143">
        <f>VLOOKUP($A199,'Data shares'!$C:$FA,127)*100</f>
        <v>-31.369999999999997</v>
      </c>
      <c r="H199" s="103">
        <f>VLOOKUP($A199,'OI(Volume)'!$A$7:$O$440,8)</f>
        <v>9586800</v>
      </c>
      <c r="I199" s="103">
        <f>VLOOKUP($A199,'OI(Volume)'!$A$7:$O$440,9)</f>
        <v>753600</v>
      </c>
      <c r="J199" s="103">
        <f>VLOOKUP($A199,'OI(Volume)'!$A$7:$O$440,11)</f>
        <v>5676600</v>
      </c>
      <c r="K199" s="103">
        <f>VLOOKUP($A199,'OI(Volume)'!$A$7:$O$440,12)</f>
        <v>54000</v>
      </c>
      <c r="L199" s="103">
        <f>VLOOKUP($A199,'OI(Value)'!$A$7:$O$323,8,0)</f>
        <v>1295</v>
      </c>
      <c r="M199" s="103">
        <f>VLOOKUP($A199,'OI(Value)'!$A$7:$O$323,9,0)</f>
        <v>102</v>
      </c>
      <c r="N199" s="103">
        <f>VLOOKUP($A199,'OI(Value)'!$A$7:$O$323,11,0)</f>
        <v>767</v>
      </c>
      <c r="O199" s="103">
        <f>VLOOKUP($A199,'OI(Value)'!$A$7:$O$323,12,0)</f>
        <v>7</v>
      </c>
    </row>
    <row r="200" spans="1:15" x14ac:dyDescent="0.25">
      <c r="A200" s="105" t="str">
        <f>'Data Vlaue (Cr)'!C195</f>
        <v>TIINDIA</v>
      </c>
      <c r="B200" s="143">
        <f>VLOOKUP($A200,'Data shares'!$C:$FA,118)</f>
        <v>0.74</v>
      </c>
      <c r="C200" s="143">
        <f>VLOOKUP($A200,'Data shares'!$C:$FA,119)</f>
        <v>0.75</v>
      </c>
      <c r="D200" s="143">
        <f>VLOOKUP($A200,'Data shares'!$C:$FA,121)*100</f>
        <v>-1.3299999999999998</v>
      </c>
      <c r="E200" s="143">
        <f>VLOOKUP($A200,'Data shares'!$C:$FA,124)</f>
        <v>1.34</v>
      </c>
      <c r="F200" s="143">
        <f>VLOOKUP($A200,'Data shares'!$C:$FA,125)</f>
        <v>0.48</v>
      </c>
      <c r="G200" s="143">
        <f>VLOOKUP($A200,'Data shares'!$C:$FA,127)*100</f>
        <v>179.17000000000002</v>
      </c>
      <c r="H200" s="103">
        <f>VLOOKUP($A200,'OI(Volume)'!$A$7:$O$440,8)</f>
        <v>626400</v>
      </c>
      <c r="I200" s="103">
        <f>VLOOKUP($A200,'OI(Volume)'!$A$7:$O$440,9)</f>
        <v>3800</v>
      </c>
      <c r="J200" s="103">
        <f>VLOOKUP($A200,'OI(Volume)'!$A$7:$O$440,11)</f>
        <v>462400</v>
      </c>
      <c r="K200" s="103">
        <f>VLOOKUP($A200,'OI(Volume)'!$A$7:$O$440,12)</f>
        <v>-2200</v>
      </c>
      <c r="L200" s="103">
        <f>VLOOKUP($A200,'OI(Value)'!$A$7:$O$323,8,0)</f>
        <v>160</v>
      </c>
      <c r="M200" s="103">
        <f>VLOOKUP($A200,'OI(Value)'!$A$7:$O$323,9,0)</f>
        <v>1</v>
      </c>
      <c r="N200" s="103">
        <f>VLOOKUP($A200,'OI(Value)'!$A$7:$O$323,11,0)</f>
        <v>118</v>
      </c>
      <c r="O200" s="103">
        <f>VLOOKUP($A200,'OI(Value)'!$A$7:$O$323,12,0)</f>
        <v>-1</v>
      </c>
    </row>
    <row r="201" spans="1:15" x14ac:dyDescent="0.25">
      <c r="A201" s="105" t="str">
        <f>'Data Vlaue (Cr)'!C196</f>
        <v>TITAN</v>
      </c>
      <c r="B201" s="143">
        <f>VLOOKUP($A201,'Data shares'!$C:$FA,118)</f>
        <v>0.46</v>
      </c>
      <c r="C201" s="143">
        <f>VLOOKUP($A201,'Data shares'!$C:$FA,119)</f>
        <v>0.5</v>
      </c>
      <c r="D201" s="143">
        <f>VLOOKUP($A201,'Data shares'!$C:$FA,121)*100</f>
        <v>-8</v>
      </c>
      <c r="E201" s="143">
        <f>VLOOKUP($A201,'Data shares'!$C:$FA,124)</f>
        <v>0.63</v>
      </c>
      <c r="F201" s="143">
        <f>VLOOKUP($A201,'Data shares'!$C:$FA,125)</f>
        <v>0.93</v>
      </c>
      <c r="G201" s="143">
        <f>VLOOKUP($A201,'Data shares'!$C:$FA,127)*100</f>
        <v>-32.26</v>
      </c>
      <c r="H201" s="103">
        <f>VLOOKUP($A201,'OI(Volume)'!$A$7:$O$440,8)</f>
        <v>3060400</v>
      </c>
      <c r="I201" s="103">
        <f>VLOOKUP($A201,'OI(Volume)'!$A$7:$O$440,9)</f>
        <v>367500</v>
      </c>
      <c r="J201" s="103">
        <f>VLOOKUP($A201,'OI(Volume)'!$A$7:$O$440,11)</f>
        <v>1393700</v>
      </c>
      <c r="K201" s="103">
        <f>VLOOKUP($A201,'OI(Volume)'!$A$7:$O$440,12)</f>
        <v>50575</v>
      </c>
      <c r="L201" s="103">
        <f>VLOOKUP($A201,'OI(Value)'!$A$7:$O$323,8,0)</f>
        <v>1269</v>
      </c>
      <c r="M201" s="103">
        <f>VLOOKUP($A201,'OI(Value)'!$A$7:$O$323,9,0)</f>
        <v>152</v>
      </c>
      <c r="N201" s="103">
        <f>VLOOKUP($A201,'OI(Value)'!$A$7:$O$323,11,0)</f>
        <v>578</v>
      </c>
      <c r="O201" s="103">
        <f>VLOOKUP($A201,'OI(Value)'!$A$7:$O$323,12,0)</f>
        <v>21</v>
      </c>
    </row>
    <row r="202" spans="1:15" x14ac:dyDescent="0.25">
      <c r="A202" s="105" t="str">
        <f>'Data Vlaue (Cr)'!C197</f>
        <v>TMPV</v>
      </c>
      <c r="B202" s="143">
        <f>VLOOKUP($A202,'Data shares'!$C:$FA,118)</f>
        <v>0.49</v>
      </c>
      <c r="C202" s="143">
        <f>VLOOKUP($A202,'Data shares'!$C:$FA,119)</f>
        <v>0.53</v>
      </c>
      <c r="D202" s="143">
        <f>VLOOKUP($A202,'Data shares'!$C:$FA,121)*100</f>
        <v>-7.55</v>
      </c>
      <c r="E202" s="143">
        <f>VLOOKUP($A202,'Data shares'!$C:$FA,124)</f>
        <v>0.7</v>
      </c>
      <c r="F202" s="143">
        <f>VLOOKUP($A202,'Data shares'!$C:$FA,125)</f>
        <v>0.59</v>
      </c>
      <c r="G202" s="143">
        <f>VLOOKUP($A202,'Data shares'!$C:$FA,127)*100</f>
        <v>18.64</v>
      </c>
      <c r="H202" s="103">
        <f>VLOOKUP($A202,'OI(Volume)'!$A$7:$O$440,8)</f>
        <v>53146400</v>
      </c>
      <c r="I202" s="103">
        <f>VLOOKUP($A202,'OI(Volume)'!$A$7:$O$440,9)</f>
        <v>4288800</v>
      </c>
      <c r="J202" s="103">
        <f>VLOOKUP($A202,'OI(Volume)'!$A$7:$O$440,11)</f>
        <v>26233600</v>
      </c>
      <c r="K202" s="103">
        <f>VLOOKUP($A202,'OI(Volume)'!$A$7:$O$440,12)</f>
        <v>113600</v>
      </c>
      <c r="L202" s="103">
        <f>VLOOKUP($A202,'OI(Value)'!$A$7:$O$323,8,0)</f>
        <v>1730</v>
      </c>
      <c r="M202" s="103">
        <f>VLOOKUP($A202,'OI(Value)'!$A$7:$O$323,9,0)</f>
        <v>140</v>
      </c>
      <c r="N202" s="103">
        <f>VLOOKUP($A202,'OI(Value)'!$A$7:$O$323,11,0)</f>
        <v>854</v>
      </c>
      <c r="O202" s="103">
        <f>VLOOKUP($A202,'OI(Value)'!$A$7:$O$323,12,0)</f>
        <v>4</v>
      </c>
    </row>
    <row r="203" spans="1:15" x14ac:dyDescent="0.25">
      <c r="A203" s="105" t="str">
        <f>'Data Vlaue (Cr)'!C198</f>
        <v>TORNTPHARM</v>
      </c>
      <c r="B203" s="143">
        <f>VLOOKUP($A203,'Data shares'!$C:$FA,118)</f>
        <v>0.82</v>
      </c>
      <c r="C203" s="143">
        <f>VLOOKUP($A203,'Data shares'!$C:$FA,119)</f>
        <v>0.9</v>
      </c>
      <c r="D203" s="143">
        <f>VLOOKUP($A203,'Data shares'!$C:$FA,121)*100</f>
        <v>-8.89</v>
      </c>
      <c r="E203" s="143">
        <f>VLOOKUP($A203,'Data shares'!$C:$FA,124)</f>
        <v>0.37</v>
      </c>
      <c r="F203" s="143">
        <f>VLOOKUP($A203,'Data shares'!$C:$FA,125)</f>
        <v>0.38</v>
      </c>
      <c r="G203" s="143">
        <f>VLOOKUP($A203,'Data shares'!$C:$FA,127)*100</f>
        <v>-2.63</v>
      </c>
      <c r="H203" s="103">
        <f>VLOOKUP($A203,'OI(Volume)'!$A$7:$O$440,8)</f>
        <v>830250</v>
      </c>
      <c r="I203" s="103">
        <f>VLOOKUP($A203,'OI(Volume)'!$A$7:$O$440,9)</f>
        <v>81500</v>
      </c>
      <c r="J203" s="103">
        <f>VLOOKUP($A203,'OI(Volume)'!$A$7:$O$440,11)</f>
        <v>684250</v>
      </c>
      <c r="K203" s="103">
        <f>VLOOKUP($A203,'OI(Volume)'!$A$7:$O$440,12)</f>
        <v>7250</v>
      </c>
      <c r="L203" s="103">
        <f>VLOOKUP($A203,'OI(Value)'!$A$7:$O$323,8,0)</f>
        <v>369</v>
      </c>
      <c r="M203" s="103">
        <f>VLOOKUP($A203,'OI(Value)'!$A$7:$O$323,9,0)</f>
        <v>36</v>
      </c>
      <c r="N203" s="103">
        <f>VLOOKUP($A203,'OI(Value)'!$A$7:$O$323,11,0)</f>
        <v>304</v>
      </c>
      <c r="O203" s="103">
        <f>VLOOKUP($A203,'OI(Value)'!$A$7:$O$323,12,0)</f>
        <v>3</v>
      </c>
    </row>
    <row r="204" spans="1:15" x14ac:dyDescent="0.25">
      <c r="A204" s="105" t="str">
        <f>'Data Vlaue (Cr)'!C199</f>
        <v>TORNTPOWER</v>
      </c>
      <c r="B204" s="143">
        <f>VLOOKUP($A204,'Data shares'!$C:$FA,118)</f>
        <v>0.62</v>
      </c>
      <c r="C204" s="143">
        <f>VLOOKUP($A204,'Data shares'!$C:$FA,119)</f>
        <v>0.55000000000000004</v>
      </c>
      <c r="D204" s="143">
        <f>VLOOKUP($A204,'Data shares'!$C:$FA,121)*100</f>
        <v>12.73</v>
      </c>
      <c r="E204" s="143">
        <f>VLOOKUP($A204,'Data shares'!$C:$FA,124)</f>
        <v>0.23</v>
      </c>
      <c r="F204" s="143">
        <f>VLOOKUP($A204,'Data shares'!$C:$FA,125)</f>
        <v>0.27</v>
      </c>
      <c r="G204" s="143">
        <f>VLOOKUP($A204,'Data shares'!$C:$FA,127)*100</f>
        <v>-14.81</v>
      </c>
      <c r="H204" s="103">
        <f>VLOOKUP($A204,'OI(Volume)'!$A$7:$O$440,8)</f>
        <v>1666425</v>
      </c>
      <c r="I204" s="103">
        <f>VLOOKUP($A204,'OI(Volume)'!$A$7:$O$440,9)</f>
        <v>-37825</v>
      </c>
      <c r="J204" s="103">
        <f>VLOOKUP($A204,'OI(Volume)'!$A$7:$O$440,11)</f>
        <v>1038700</v>
      </c>
      <c r="K204" s="103">
        <f>VLOOKUP($A204,'OI(Volume)'!$A$7:$O$440,12)</f>
        <v>103275</v>
      </c>
      <c r="L204" s="103">
        <f>VLOOKUP($A204,'OI(Value)'!$A$7:$O$323,8,0)</f>
        <v>250</v>
      </c>
      <c r="M204" s="103">
        <f>VLOOKUP($A204,'OI(Value)'!$A$7:$O$323,9,0)</f>
        <v>-6</v>
      </c>
      <c r="N204" s="103">
        <f>VLOOKUP($A204,'OI(Value)'!$A$7:$O$323,11,0)</f>
        <v>156</v>
      </c>
      <c r="O204" s="103">
        <f>VLOOKUP($A204,'OI(Value)'!$A$7:$O$323,12,0)</f>
        <v>16</v>
      </c>
    </row>
    <row r="205" spans="1:15" x14ac:dyDescent="0.25">
      <c r="A205" s="105" t="str">
        <f>'Data Vlaue (Cr)'!C200</f>
        <v>TRENT</v>
      </c>
      <c r="B205" s="143">
        <f>VLOOKUP($A205,'Data shares'!$C:$FA,118)</f>
        <v>0.55000000000000004</v>
      </c>
      <c r="C205" s="143">
        <f>VLOOKUP($A205,'Data shares'!$C:$FA,119)</f>
        <v>0.57999999999999996</v>
      </c>
      <c r="D205" s="143">
        <f>VLOOKUP($A205,'Data shares'!$C:$FA,121)*100</f>
        <v>-5.17</v>
      </c>
      <c r="E205" s="143">
        <f>VLOOKUP($A205,'Data shares'!$C:$FA,124)</f>
        <v>0.57999999999999996</v>
      </c>
      <c r="F205" s="143">
        <f>VLOOKUP($A205,'Data shares'!$C:$FA,125)</f>
        <v>0.51</v>
      </c>
      <c r="G205" s="143">
        <f>VLOOKUP($A205,'Data shares'!$C:$FA,127)*100</f>
        <v>13.73</v>
      </c>
      <c r="H205" s="103">
        <f>VLOOKUP($A205,'OI(Volume)'!$A$7:$O$440,8)</f>
        <v>0</v>
      </c>
      <c r="I205" s="103">
        <f>VLOOKUP($A205,'OI(Volume)'!$A$7:$O$440,9)</f>
        <v>0</v>
      </c>
      <c r="J205" s="103">
        <f>VLOOKUP($A205,'OI(Volume)'!$A$7:$O$440,11)</f>
        <v>0</v>
      </c>
      <c r="K205" s="103">
        <f>VLOOKUP($A205,'OI(Volume)'!$A$7:$O$440,12)</f>
        <v>0</v>
      </c>
      <c r="L205" s="103">
        <f>VLOOKUP($A205,'OI(Value)'!$A$7:$O$323,8,0)</f>
        <v>1096</v>
      </c>
      <c r="M205" s="103">
        <f>VLOOKUP($A205,'OI(Value)'!$A$7:$O$323,9,0)</f>
        <v>109</v>
      </c>
      <c r="N205" s="103">
        <f>VLOOKUP($A205,'OI(Value)'!$A$7:$O$323,11,0)</f>
        <v>600</v>
      </c>
      <c r="O205" s="103">
        <f>VLOOKUP($A205,'OI(Value)'!$A$7:$O$323,12,0)</f>
        <v>29</v>
      </c>
    </row>
    <row r="206" spans="1:15" x14ac:dyDescent="0.25">
      <c r="A206" s="105" t="str">
        <f>'Data Vlaue (Cr)'!C201</f>
        <v>TVSMOTOR</v>
      </c>
      <c r="B206" s="143">
        <f>VLOOKUP($A206,'Data shares'!$C:$FA,118)</f>
        <v>0.61</v>
      </c>
      <c r="C206" s="143">
        <f>VLOOKUP($A206,'Data shares'!$C:$FA,119)</f>
        <v>0.69</v>
      </c>
      <c r="D206" s="143">
        <f>VLOOKUP($A206,'Data shares'!$C:$FA,121)*100</f>
        <v>-11.59</v>
      </c>
      <c r="E206" s="143">
        <f>VLOOKUP($A206,'Data shares'!$C:$FA,124)</f>
        <v>0.94</v>
      </c>
      <c r="F206" s="143">
        <f>VLOOKUP($A206,'Data shares'!$C:$FA,125)</f>
        <v>1.02</v>
      </c>
      <c r="G206" s="143">
        <f>VLOOKUP($A206,'Data shares'!$C:$FA,127)*100</f>
        <v>-7.84</v>
      </c>
      <c r="H206" s="103">
        <f>VLOOKUP($A206,'OI(Volume)'!$A$7:$O$440,8)</f>
        <v>0</v>
      </c>
      <c r="I206" s="103">
        <f>VLOOKUP($A206,'OI(Volume)'!$A$7:$O$440,9)</f>
        <v>0</v>
      </c>
      <c r="J206" s="103">
        <f>VLOOKUP($A206,'OI(Volume)'!$A$7:$O$440,11)</f>
        <v>0</v>
      </c>
      <c r="K206" s="103">
        <f>VLOOKUP($A206,'OI(Volume)'!$A$7:$O$440,12)</f>
        <v>0</v>
      </c>
      <c r="L206" s="103">
        <f>VLOOKUP($A206,'OI(Value)'!$A$7:$O$323,8,0)</f>
        <v>999</v>
      </c>
      <c r="M206" s="103">
        <f>VLOOKUP($A206,'OI(Value)'!$A$7:$O$323,9,0)</f>
        <v>170</v>
      </c>
      <c r="N206" s="103">
        <f>VLOOKUP($A206,'OI(Value)'!$A$7:$O$323,11,0)</f>
        <v>612</v>
      </c>
      <c r="O206" s="103">
        <f>VLOOKUP($A206,'OI(Value)'!$A$7:$O$323,12,0)</f>
        <v>39</v>
      </c>
    </row>
    <row r="207" spans="1:15" x14ac:dyDescent="0.25">
      <c r="A207" s="105" t="str">
        <f>'Data Vlaue (Cr)'!C202</f>
        <v>ULTRACEMCO</v>
      </c>
      <c r="B207" s="143">
        <f>VLOOKUP($A207,'Data shares'!$C:$FA,118)</f>
        <v>0.45</v>
      </c>
      <c r="C207" s="143">
        <f>VLOOKUP($A207,'Data shares'!$C:$FA,119)</f>
        <v>0.48</v>
      </c>
      <c r="D207" s="143">
        <f>VLOOKUP($A207,'Data shares'!$C:$FA,121)*100</f>
        <v>-6.25</v>
      </c>
      <c r="E207" s="143">
        <f>VLOOKUP($A207,'Data shares'!$C:$FA,124)</f>
        <v>0.42</v>
      </c>
      <c r="F207" s="143">
        <f>VLOOKUP($A207,'Data shares'!$C:$FA,125)</f>
        <v>0.44</v>
      </c>
      <c r="G207" s="143">
        <f>VLOOKUP($A207,'Data shares'!$C:$FA,127)*100</f>
        <v>-4.55</v>
      </c>
      <c r="H207" s="103">
        <f>VLOOKUP($A207,'OI(Volume)'!$A$7:$O$440,8)</f>
        <v>0</v>
      </c>
      <c r="I207" s="103">
        <f>VLOOKUP($A207,'OI(Volume)'!$A$7:$O$440,9)</f>
        <v>0</v>
      </c>
      <c r="J207" s="103">
        <f>VLOOKUP($A207,'OI(Volume)'!$A$7:$O$440,11)</f>
        <v>0</v>
      </c>
      <c r="K207" s="103">
        <f>VLOOKUP($A207,'OI(Volume)'!$A$7:$O$440,12)</f>
        <v>0</v>
      </c>
      <c r="L207" s="103">
        <f>VLOOKUP($A207,'OI(Value)'!$A$7:$O$323,8,0)</f>
        <v>975</v>
      </c>
      <c r="M207" s="103">
        <f>VLOOKUP($A207,'OI(Value)'!$A$7:$O$323,9,0)</f>
        <v>43</v>
      </c>
      <c r="N207" s="103">
        <f>VLOOKUP($A207,'OI(Value)'!$A$7:$O$323,11,0)</f>
        <v>440</v>
      </c>
      <c r="O207" s="103">
        <f>VLOOKUP($A207,'OI(Value)'!$A$7:$O$323,12,0)</f>
        <v>-4</v>
      </c>
    </row>
    <row r="208" spans="1:15" x14ac:dyDescent="0.25">
      <c r="A208" s="105" t="str">
        <f>'Data Vlaue (Cr)'!C203</f>
        <v>UNIONBANK</v>
      </c>
      <c r="B208" s="143">
        <f>VLOOKUP($A208,'Data shares'!$C:$FA,118)</f>
        <v>0.73</v>
      </c>
      <c r="C208" s="143">
        <f>VLOOKUP($A208,'Data shares'!$C:$FA,119)</f>
        <v>0.75</v>
      </c>
      <c r="D208" s="143">
        <f>VLOOKUP($A208,'Data shares'!$C:$FA,121)*100</f>
        <v>-2.67</v>
      </c>
      <c r="E208" s="143">
        <f>VLOOKUP($A208,'Data shares'!$C:$FA,124)</f>
        <v>0.41</v>
      </c>
      <c r="F208" s="143">
        <f>VLOOKUP($A208,'Data shares'!$C:$FA,125)</f>
        <v>0.41</v>
      </c>
      <c r="G208" s="143">
        <f>VLOOKUP($A208,'Data shares'!$C:$FA,127)*100</f>
        <v>0</v>
      </c>
      <c r="H208" s="103">
        <f>VLOOKUP($A208,'OI(Volume)'!$A$7:$O$440,8)</f>
        <v>0</v>
      </c>
      <c r="I208" s="103">
        <f>VLOOKUP($A208,'OI(Volume)'!$A$7:$O$440,9)</f>
        <v>0</v>
      </c>
      <c r="J208" s="103">
        <f>VLOOKUP($A208,'OI(Volume)'!$A$7:$O$440,11)</f>
        <v>0</v>
      </c>
      <c r="K208" s="103">
        <f>VLOOKUP($A208,'OI(Volume)'!$A$7:$O$440,12)</f>
        <v>0</v>
      </c>
      <c r="L208" s="103">
        <f>VLOOKUP($A208,'OI(Value)'!$A$7:$O$323,8,0)</f>
        <v>674</v>
      </c>
      <c r="M208" s="103">
        <f>VLOOKUP($A208,'OI(Value)'!$A$7:$O$323,9,0)</f>
        <v>21</v>
      </c>
      <c r="N208" s="103">
        <f>VLOOKUP($A208,'OI(Value)'!$A$7:$O$323,11,0)</f>
        <v>490</v>
      </c>
      <c r="O208" s="103">
        <f>VLOOKUP($A208,'OI(Value)'!$A$7:$O$323,12,0)</f>
        <v>0</v>
      </c>
    </row>
    <row r="209" spans="1:15" x14ac:dyDescent="0.25">
      <c r="A209" s="105" t="str">
        <f>'Data Vlaue (Cr)'!C204</f>
        <v>UNITDSPR</v>
      </c>
      <c r="B209" s="143">
        <f>VLOOKUP($A209,'Data shares'!$C:$FA,118)</f>
        <v>0.8</v>
      </c>
      <c r="C209" s="143">
        <f>VLOOKUP($A209,'Data shares'!$C:$FA,119)</f>
        <v>0.78</v>
      </c>
      <c r="D209" s="143">
        <f>VLOOKUP($A209,'Data shares'!$C:$FA,121)*100</f>
        <v>2.56</v>
      </c>
      <c r="E209" s="143">
        <f>VLOOKUP($A209,'Data shares'!$C:$FA,124)</f>
        <v>0.62</v>
      </c>
      <c r="F209" s="143">
        <f>VLOOKUP($A209,'Data shares'!$C:$FA,125)</f>
        <v>0.72</v>
      </c>
      <c r="G209" s="143">
        <f>VLOOKUP($A209,'Data shares'!$C:$FA,127)*100</f>
        <v>-13.889999999999999</v>
      </c>
      <c r="H209" s="103">
        <f>VLOOKUP($A209,'OI(Volume)'!$A$7:$O$440,8)</f>
        <v>0</v>
      </c>
      <c r="I209" s="103">
        <f>VLOOKUP($A209,'OI(Volume)'!$A$7:$O$440,9)</f>
        <v>0</v>
      </c>
      <c r="J209" s="103">
        <f>VLOOKUP($A209,'OI(Volume)'!$A$7:$O$440,11)</f>
        <v>0</v>
      </c>
      <c r="K209" s="103">
        <f>VLOOKUP($A209,'OI(Volume)'!$A$7:$O$440,12)</f>
        <v>0</v>
      </c>
      <c r="L209" s="103">
        <f>VLOOKUP($A209,'OI(Value)'!$A$7:$O$323,8,0)</f>
        <v>412</v>
      </c>
      <c r="M209" s="103">
        <f>VLOOKUP($A209,'OI(Value)'!$A$7:$O$323,9,0)</f>
        <v>5</v>
      </c>
      <c r="N209" s="103">
        <f>VLOOKUP($A209,'OI(Value)'!$A$7:$O$323,11,0)</f>
        <v>330</v>
      </c>
      <c r="O209" s="103">
        <f>VLOOKUP($A209,'OI(Value)'!$A$7:$O$323,12,0)</f>
        <v>13</v>
      </c>
    </row>
    <row r="210" spans="1:15" x14ac:dyDescent="0.25">
      <c r="A210" s="105" t="str">
        <f>'Data Vlaue (Cr)'!C205</f>
        <v>UNOMINDA</v>
      </c>
      <c r="B210" s="143">
        <f>VLOOKUP($A210,'Data shares'!$C:$FA,118)</f>
        <v>0.7</v>
      </c>
      <c r="C210" s="143">
        <f>VLOOKUP($A210,'Data shares'!$C:$FA,119)</f>
        <v>0.76</v>
      </c>
      <c r="D210" s="143">
        <f>VLOOKUP($A210,'Data shares'!$C:$FA,121)*100</f>
        <v>-7.89</v>
      </c>
      <c r="E210" s="143">
        <f>VLOOKUP($A210,'Data shares'!$C:$FA,124)</f>
        <v>0.74</v>
      </c>
      <c r="F210" s="143">
        <f>VLOOKUP($A210,'Data shares'!$C:$FA,125)</f>
        <v>0.69</v>
      </c>
      <c r="G210" s="143">
        <f>VLOOKUP($A210,'Data shares'!$C:$FA,127)*100</f>
        <v>7.2499999999999991</v>
      </c>
      <c r="H210" s="103">
        <f>VLOOKUP($A210,'OI(Volume)'!$A$7:$O$440,8)</f>
        <v>0</v>
      </c>
      <c r="I210" s="103">
        <f>VLOOKUP($A210,'OI(Volume)'!$A$7:$O$440,9)</f>
        <v>0</v>
      </c>
      <c r="J210" s="103">
        <f>VLOOKUP($A210,'OI(Volume)'!$A$7:$O$440,11)</f>
        <v>0</v>
      </c>
      <c r="K210" s="103">
        <f>VLOOKUP($A210,'OI(Volume)'!$A$7:$O$440,12)</f>
        <v>0</v>
      </c>
      <c r="L210" s="103">
        <f>VLOOKUP($A210,'OI(Value)'!$A$7:$O$323,8,0)</f>
        <v>202</v>
      </c>
      <c r="M210" s="103">
        <f>VLOOKUP($A210,'OI(Value)'!$A$7:$O$323,9,0)</f>
        <v>20</v>
      </c>
      <c r="N210" s="103">
        <f>VLOOKUP($A210,'OI(Value)'!$A$7:$O$323,11,0)</f>
        <v>142</v>
      </c>
      <c r="O210" s="103">
        <f>VLOOKUP($A210,'OI(Value)'!$A$7:$O$323,12,0)</f>
        <v>3</v>
      </c>
    </row>
    <row r="211" spans="1:15" x14ac:dyDescent="0.25">
      <c r="A211" s="105" t="str">
        <f>'Data Vlaue (Cr)'!C206</f>
        <v>UPL</v>
      </c>
      <c r="B211" s="143">
        <f>VLOOKUP($A211,'Data shares'!$C:$FA,118)</f>
        <v>0.48</v>
      </c>
      <c r="C211" s="143">
        <f>VLOOKUP($A211,'Data shares'!$C:$FA,119)</f>
        <v>0.47</v>
      </c>
      <c r="D211" s="143">
        <f>VLOOKUP($A211,'Data shares'!$C:$FA,121)*100</f>
        <v>2.13</v>
      </c>
      <c r="E211" s="143">
        <f>VLOOKUP($A211,'Data shares'!$C:$FA,124)</f>
        <v>0.54</v>
      </c>
      <c r="F211" s="143">
        <f>VLOOKUP($A211,'Data shares'!$C:$FA,125)</f>
        <v>0.52</v>
      </c>
      <c r="G211" s="143">
        <f>VLOOKUP($A211,'Data shares'!$C:$FA,127)*100</f>
        <v>3.85</v>
      </c>
      <c r="H211" s="103">
        <f>VLOOKUP($A211,'OI(Volume)'!$A$7:$O$440,8)</f>
        <v>0</v>
      </c>
      <c r="I211" s="103">
        <f>VLOOKUP($A211,'OI(Volume)'!$A$7:$O$440,9)</f>
        <v>0</v>
      </c>
      <c r="J211" s="103">
        <f>VLOOKUP($A211,'OI(Volume)'!$A$7:$O$440,11)</f>
        <v>0</v>
      </c>
      <c r="K211" s="103">
        <f>VLOOKUP($A211,'OI(Volume)'!$A$7:$O$440,12)</f>
        <v>0</v>
      </c>
      <c r="L211" s="103">
        <f>VLOOKUP($A211,'OI(Value)'!$A$7:$O$323,8,0)</f>
        <v>1229</v>
      </c>
      <c r="M211" s="103">
        <f>VLOOKUP($A211,'OI(Value)'!$A$7:$O$323,9,0)</f>
        <v>-48</v>
      </c>
      <c r="N211" s="103">
        <f>VLOOKUP($A211,'OI(Value)'!$A$7:$O$323,11,0)</f>
        <v>589</v>
      </c>
      <c r="O211" s="103">
        <f>VLOOKUP($A211,'OI(Value)'!$A$7:$O$323,12,0)</f>
        <v>-9</v>
      </c>
    </row>
    <row r="212" spans="1:15" x14ac:dyDescent="0.25">
      <c r="A212" s="105" t="str">
        <f>'Data Vlaue (Cr)'!C207</f>
        <v>VBL</v>
      </c>
      <c r="B212" s="143">
        <f>VLOOKUP($A212,'Data shares'!$C:$FA,118)</f>
        <v>0.54</v>
      </c>
      <c r="C212" s="143">
        <f>VLOOKUP($A212,'Data shares'!$C:$FA,119)</f>
        <v>0.59</v>
      </c>
      <c r="D212" s="143">
        <f>VLOOKUP($A212,'Data shares'!$C:$FA,121)*100</f>
        <v>-8.4699999999999989</v>
      </c>
      <c r="E212" s="143">
        <f>VLOOKUP($A212,'Data shares'!$C:$FA,124)</f>
        <v>0.72</v>
      </c>
      <c r="F212" s="143">
        <f>VLOOKUP($A212,'Data shares'!$C:$FA,125)</f>
        <v>0.3</v>
      </c>
      <c r="G212" s="143">
        <f>VLOOKUP($A212,'Data shares'!$C:$FA,127)*100</f>
        <v>140</v>
      </c>
      <c r="H212" s="103">
        <f>VLOOKUP($A212,'OI(Volume)'!$A$7:$O$440,8)</f>
        <v>0</v>
      </c>
      <c r="I212" s="103">
        <f>VLOOKUP($A212,'OI(Volume)'!$A$7:$O$440,9)</f>
        <v>0</v>
      </c>
      <c r="J212" s="103">
        <f>VLOOKUP($A212,'OI(Volume)'!$A$7:$O$440,11)</f>
        <v>0</v>
      </c>
      <c r="K212" s="103">
        <f>VLOOKUP($A212,'OI(Volume)'!$A$7:$O$440,12)</f>
        <v>0</v>
      </c>
      <c r="L212" s="103">
        <f>VLOOKUP($A212,'OI(Value)'!$A$7:$O$323,8,0)</f>
        <v>657</v>
      </c>
      <c r="M212" s="103">
        <f>VLOOKUP($A212,'OI(Value)'!$A$7:$O$323,9,0)</f>
        <v>161</v>
      </c>
      <c r="N212" s="103">
        <f>VLOOKUP($A212,'OI(Value)'!$A$7:$O$323,11,0)</f>
        <v>353</v>
      </c>
      <c r="O212" s="103">
        <f>VLOOKUP($A212,'OI(Value)'!$A$7:$O$323,12,0)</f>
        <v>61</v>
      </c>
    </row>
    <row r="213" spans="1:15" x14ac:dyDescent="0.25">
      <c r="A213" s="105" t="str">
        <f>'Data Vlaue (Cr)'!C208</f>
        <v>VEDL</v>
      </c>
      <c r="B213" s="143">
        <f>VLOOKUP($A213,'Data shares'!$C:$FA,118)</f>
        <v>0.64</v>
      </c>
      <c r="C213" s="143">
        <f>VLOOKUP($A213,'Data shares'!$C:$FA,119)</f>
        <v>0.65</v>
      </c>
      <c r="D213" s="143">
        <f>VLOOKUP($A213,'Data shares'!$C:$FA,121)*100</f>
        <v>-1.54</v>
      </c>
      <c r="E213" s="143">
        <f>VLOOKUP($A213,'Data shares'!$C:$FA,124)</f>
        <v>0.5</v>
      </c>
      <c r="F213" s="143">
        <f>VLOOKUP($A213,'Data shares'!$C:$FA,125)</f>
        <v>0.42</v>
      </c>
      <c r="G213" s="143">
        <f>VLOOKUP($A213,'Data shares'!$C:$FA,127)*100</f>
        <v>19.05</v>
      </c>
      <c r="H213" s="103">
        <f>VLOOKUP($A213,'OI(Volume)'!$A$7:$O$440,8)</f>
        <v>0</v>
      </c>
      <c r="I213" s="103">
        <f>VLOOKUP($A213,'OI(Volume)'!$A$7:$O$440,9)</f>
        <v>0</v>
      </c>
      <c r="J213" s="103">
        <f>VLOOKUP($A213,'OI(Volume)'!$A$7:$O$440,11)</f>
        <v>0</v>
      </c>
      <c r="K213" s="103">
        <f>VLOOKUP($A213,'OI(Volume)'!$A$7:$O$440,12)</f>
        <v>0</v>
      </c>
      <c r="L213" s="103">
        <f>VLOOKUP($A213,'OI(Value)'!$A$7:$O$323,8,0)</f>
        <v>2532</v>
      </c>
      <c r="M213" s="103">
        <f>VLOOKUP($A213,'OI(Value)'!$A$7:$O$323,9,0)</f>
        <v>68</v>
      </c>
      <c r="N213" s="103">
        <f>VLOOKUP($A213,'OI(Value)'!$A$7:$O$323,11,0)</f>
        <v>1627</v>
      </c>
      <c r="O213" s="103">
        <f>VLOOKUP($A213,'OI(Value)'!$A$7:$O$323,12,0)</f>
        <v>27</v>
      </c>
    </row>
    <row r="214" spans="1:15" x14ac:dyDescent="0.25">
      <c r="A214" s="105" t="str">
        <f>'Data Vlaue (Cr)'!C209</f>
        <v>VOLTAS</v>
      </c>
      <c r="B214" s="143">
        <f>VLOOKUP($A214,'Data shares'!$C:$FA,118)</f>
        <v>0.63</v>
      </c>
      <c r="C214" s="143">
        <f>VLOOKUP($A214,'Data shares'!$C:$FA,119)</f>
        <v>0.64</v>
      </c>
      <c r="D214" s="143">
        <f>VLOOKUP($A214,'Data shares'!$C:$FA,121)*100</f>
        <v>-1.5599999999999998</v>
      </c>
      <c r="E214" s="143">
        <f>VLOOKUP($A214,'Data shares'!$C:$FA,124)</f>
        <v>0.34</v>
      </c>
      <c r="F214" s="143">
        <f>VLOOKUP($A214,'Data shares'!$C:$FA,125)</f>
        <v>0.3</v>
      </c>
      <c r="G214" s="143">
        <f>VLOOKUP($A214,'Data shares'!$C:$FA,127)*100</f>
        <v>13.33</v>
      </c>
      <c r="H214" s="103">
        <f>VLOOKUP($A214,'OI(Volume)'!$A$7:$O$440,8)</f>
        <v>0</v>
      </c>
      <c r="I214" s="103">
        <f>VLOOKUP($A214,'OI(Volume)'!$A$7:$O$440,9)</f>
        <v>0</v>
      </c>
      <c r="J214" s="103">
        <f>VLOOKUP($A214,'OI(Volume)'!$A$7:$O$440,11)</f>
        <v>0</v>
      </c>
      <c r="K214" s="103">
        <f>VLOOKUP($A214,'OI(Volume)'!$A$7:$O$440,12)</f>
        <v>0</v>
      </c>
      <c r="L214" s="103">
        <f>VLOOKUP($A214,'OI(Value)'!$A$7:$O$323,8,0)</f>
        <v>804</v>
      </c>
      <c r="M214" s="103">
        <f>VLOOKUP($A214,'OI(Value)'!$A$7:$O$323,9,0)</f>
        <v>7</v>
      </c>
      <c r="N214" s="103">
        <f>VLOOKUP($A214,'OI(Value)'!$A$7:$O$323,11,0)</f>
        <v>504</v>
      </c>
      <c r="O214" s="103">
        <f>VLOOKUP($A214,'OI(Value)'!$A$7:$O$323,12,0)</f>
        <v>-3</v>
      </c>
    </row>
    <row r="215" spans="1:15" x14ac:dyDescent="0.25">
      <c r="A215" s="105" t="str">
        <f>'Data Vlaue (Cr)'!C210</f>
        <v>WAAREEENER</v>
      </c>
      <c r="B215" s="143">
        <f>VLOOKUP($A215,'Data shares'!$C:$FA,118)</f>
        <v>0.62</v>
      </c>
      <c r="C215" s="143">
        <f>VLOOKUP($A215,'Data shares'!$C:$FA,119)</f>
        <v>0.61</v>
      </c>
      <c r="D215" s="143">
        <f>VLOOKUP($A215,'Data shares'!$C:$FA,121)*100</f>
        <v>1.6400000000000001</v>
      </c>
      <c r="E215" s="143">
        <f>VLOOKUP($A215,'Data shares'!$C:$FA,124)</f>
        <v>0.44</v>
      </c>
      <c r="F215" s="143">
        <f>VLOOKUP($A215,'Data shares'!$C:$FA,125)</f>
        <v>0.28000000000000003</v>
      </c>
      <c r="G215" s="143">
        <f>VLOOKUP($A215,'Data shares'!$C:$FA,127)*100</f>
        <v>57.14</v>
      </c>
      <c r="H215" s="103">
        <f>VLOOKUP($A215,'OI(Volume)'!$A$7:$O$440,8)</f>
        <v>0</v>
      </c>
      <c r="I215" s="103">
        <f>VLOOKUP($A215,'OI(Volume)'!$A$7:$O$440,9)</f>
        <v>0</v>
      </c>
      <c r="J215" s="103">
        <f>VLOOKUP($A215,'OI(Volume)'!$A$7:$O$440,11)</f>
        <v>0</v>
      </c>
      <c r="K215" s="103">
        <f>VLOOKUP($A215,'OI(Volume)'!$A$7:$O$440,12)</f>
        <v>0</v>
      </c>
      <c r="L215" s="103">
        <f>VLOOKUP($A215,'OI(Value)'!$A$7:$O$323,8,0)</f>
        <v>745</v>
      </c>
      <c r="M215" s="103">
        <f>VLOOKUP($A215,'OI(Value)'!$A$7:$O$323,9,0)</f>
        <v>-31</v>
      </c>
      <c r="N215" s="103">
        <f>VLOOKUP($A215,'OI(Value)'!$A$7:$O$323,11,0)</f>
        <v>461</v>
      </c>
      <c r="O215" s="103">
        <f>VLOOKUP($A215,'OI(Value)'!$A$7:$O$323,12,0)</f>
        <v>-10</v>
      </c>
    </row>
    <row r="216" spans="1:15" x14ac:dyDescent="0.25">
      <c r="A216" s="105" t="str">
        <f>'Data Vlaue (Cr)'!C211</f>
        <v>WIPRO</v>
      </c>
      <c r="B216" s="143">
        <f>VLOOKUP($A216,'Data shares'!$C:$FA,118)</f>
        <v>0.53</v>
      </c>
      <c r="C216" s="143">
        <f>VLOOKUP($A216,'Data shares'!$C:$FA,119)</f>
        <v>0.54</v>
      </c>
      <c r="D216" s="143">
        <f>VLOOKUP($A216,'Data shares'!$C:$FA,121)*100</f>
        <v>-1.8499999999999999</v>
      </c>
      <c r="E216" s="143">
        <f>VLOOKUP($A216,'Data shares'!$C:$FA,124)</f>
        <v>0.44</v>
      </c>
      <c r="F216" s="143">
        <f>VLOOKUP($A216,'Data shares'!$C:$FA,125)</f>
        <v>0.3</v>
      </c>
      <c r="G216" s="143">
        <f>VLOOKUP($A216,'Data shares'!$C:$FA,127)*100</f>
        <v>46.67</v>
      </c>
      <c r="H216" s="103">
        <f>VLOOKUP($A216,'OI(Volume)'!$A$7:$O$440,8)</f>
        <v>0</v>
      </c>
      <c r="I216" s="103">
        <f>VLOOKUP($A216,'OI(Volume)'!$A$7:$O$440,9)</f>
        <v>0</v>
      </c>
      <c r="J216" s="103">
        <f>VLOOKUP($A216,'OI(Volume)'!$A$7:$O$440,11)</f>
        <v>0</v>
      </c>
      <c r="K216" s="103">
        <f>VLOOKUP($A216,'OI(Volume)'!$A$7:$O$440,12)</f>
        <v>0</v>
      </c>
      <c r="L216" s="103">
        <f>VLOOKUP($A216,'OI(Value)'!$A$7:$O$323,8,0)</f>
        <v>1774</v>
      </c>
      <c r="M216" s="103">
        <f>VLOOKUP($A216,'OI(Value)'!$A$7:$O$323,9,0)</f>
        <v>11</v>
      </c>
      <c r="N216" s="103">
        <f>VLOOKUP($A216,'OI(Value)'!$A$7:$O$323,11,0)</f>
        <v>942</v>
      </c>
      <c r="O216" s="103">
        <f>VLOOKUP($A216,'OI(Value)'!$A$7:$O$323,12,0)</f>
        <v>-6</v>
      </c>
    </row>
    <row r="217" spans="1:15" x14ac:dyDescent="0.25">
      <c r="A217" s="105" t="str">
        <f>'Data Vlaue (Cr)'!C213</f>
        <v>ZYDUSLIFE</v>
      </c>
      <c r="B217" s="143">
        <f>VLOOKUP($A217,'Data shares'!$C:$FA,118)</f>
        <v>0.52</v>
      </c>
      <c r="C217" s="143">
        <f>VLOOKUP($A217,'Data shares'!$C:$FA,119)</f>
        <v>0.56000000000000005</v>
      </c>
      <c r="D217" s="143">
        <f>VLOOKUP($A217,'Data shares'!$C:$FA,121)*100</f>
        <v>-7.1400000000000006</v>
      </c>
      <c r="E217" s="143">
        <f>VLOOKUP($A217,'Data shares'!$C:$FA,124)</f>
        <v>0.36</v>
      </c>
      <c r="F217" s="143">
        <f>VLOOKUP($A217,'Data shares'!$C:$FA,125)</f>
        <v>0.36</v>
      </c>
      <c r="G217" s="143">
        <f>VLOOKUP($A217,'Data shares'!$C:$FA,127)*100</f>
        <v>0</v>
      </c>
      <c r="H217" s="103">
        <f>VLOOKUP($A217,'OI(Volume)'!$A$7:$O$440,8)</f>
        <v>0</v>
      </c>
      <c r="I217" s="103">
        <f>VLOOKUP($A217,'OI(Volume)'!$A$7:$O$440,9)</f>
        <v>0</v>
      </c>
      <c r="J217" s="103">
        <f>VLOOKUP($A217,'OI(Volume)'!$A$7:$O$440,11)</f>
        <v>0</v>
      </c>
      <c r="K217" s="103">
        <f>VLOOKUP($A217,'OI(Volume)'!$A$7:$O$440,12)</f>
        <v>0</v>
      </c>
      <c r="L217" s="103">
        <f>VLOOKUP($A217,'OI(Value)'!$A$7:$O$323,8,0)</f>
        <v>430</v>
      </c>
      <c r="M217" s="103">
        <f>VLOOKUP($A217,'OI(Value)'!$A$7:$O$323,9,0)</f>
        <v>20</v>
      </c>
      <c r="N217" s="103">
        <f>VLOOKUP($A217,'OI(Value)'!$A$7:$O$323,11,0)</f>
        <v>225</v>
      </c>
      <c r="O217" s="103">
        <f>VLOOKUP($A217,'OI(Value)'!$A$7:$O$323,12,0)</f>
        <v>-4</v>
      </c>
    </row>
    <row r="218" spans="1:15" x14ac:dyDescent="0.25">
      <c r="A218" s="105"/>
      <c r="B218" s="143"/>
      <c r="C218" s="143"/>
      <c r="D218" s="143"/>
      <c r="E218" s="143"/>
      <c r="F218" s="143"/>
      <c r="G218" s="143"/>
      <c r="H218" s="103"/>
      <c r="I218" s="103"/>
      <c r="J218" s="103"/>
      <c r="K218" s="103"/>
      <c r="L218" s="103"/>
      <c r="M218" s="103"/>
      <c r="N218" s="103"/>
      <c r="O218" s="103"/>
    </row>
    <row r="219" spans="1:15" x14ac:dyDescent="0.25">
      <c r="A219" s="105"/>
      <c r="B219" s="143"/>
      <c r="C219" s="143"/>
      <c r="D219" s="143"/>
      <c r="E219" s="143"/>
      <c r="F219" s="143"/>
      <c r="G219" s="143"/>
      <c r="H219" s="103"/>
      <c r="I219" s="103"/>
      <c r="J219" s="103"/>
      <c r="K219" s="103"/>
      <c r="L219" s="103"/>
      <c r="M219" s="103"/>
      <c r="N219" s="103"/>
      <c r="O219" s="103"/>
    </row>
    <row r="220" spans="1:15" x14ac:dyDescent="0.25">
      <c r="A220" s="105"/>
      <c r="B220" s="143"/>
      <c r="C220" s="143"/>
      <c r="D220" s="143"/>
      <c r="E220" s="143"/>
      <c r="F220" s="143"/>
      <c r="G220" s="143"/>
      <c r="H220" s="103"/>
      <c r="I220" s="103"/>
      <c r="J220" s="103"/>
      <c r="K220" s="103"/>
      <c r="L220" s="103"/>
      <c r="M220" s="103"/>
      <c r="N220" s="103"/>
      <c r="O220" s="103"/>
    </row>
    <row r="221" spans="1:15" x14ac:dyDescent="0.25">
      <c r="A221" s="105"/>
      <c r="B221" s="143"/>
      <c r="C221" s="143"/>
      <c r="D221" s="143"/>
      <c r="E221" s="143"/>
      <c r="F221" s="143"/>
      <c r="G221" s="143"/>
      <c r="H221" s="103"/>
      <c r="I221" s="103"/>
      <c r="J221" s="103"/>
      <c r="K221" s="103"/>
      <c r="L221" s="103"/>
      <c r="M221" s="103"/>
      <c r="N221" s="103"/>
      <c r="O221" s="103"/>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6213849831</v>
      </c>
      <c r="I241" s="135">
        <f t="shared" si="0"/>
        <v>164046054</v>
      </c>
      <c r="J241" s="135">
        <f t="shared" si="0"/>
        <v>3642045196</v>
      </c>
      <c r="K241" s="135">
        <f t="shared" si="0"/>
        <v>115390230</v>
      </c>
      <c r="L241" s="135">
        <f t="shared" si="0"/>
        <v>909004</v>
      </c>
      <c r="M241" s="135">
        <f t="shared" si="0"/>
        <v>53352</v>
      </c>
      <c r="N241" s="135">
        <f t="shared" si="0"/>
        <v>717019</v>
      </c>
      <c r="O241" s="135">
        <f>SUM(O7:O240)</f>
        <v>57765</v>
      </c>
    </row>
    <row r="242" spans="1:15" x14ac:dyDescent="0.25">
      <c r="A242" s="126" t="s">
        <v>415</v>
      </c>
      <c r="B242" s="136"/>
      <c r="C242" s="136"/>
      <c r="D242" s="136"/>
      <c r="E242" s="136"/>
      <c r="F242" s="136"/>
      <c r="G242" s="136"/>
      <c r="H242" s="137">
        <f>H241/10000000</f>
        <v>621.3849831</v>
      </c>
      <c r="I242" s="137">
        <f>I241/10000000</f>
        <v>16.404605400000001</v>
      </c>
      <c r="J242" s="137">
        <f>J241/10000000</f>
        <v>364.20451960000003</v>
      </c>
      <c r="K242" s="137">
        <f>K241/10000000</f>
        <v>11.539023</v>
      </c>
      <c r="L242" s="138">
        <f>L241</f>
        <v>909004</v>
      </c>
      <c r="M242" s="138">
        <f>M241</f>
        <v>53352</v>
      </c>
      <c r="N242" s="138">
        <f>N241</f>
        <v>717019</v>
      </c>
      <c r="O242" s="138">
        <f>O241</f>
        <v>57765</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2026-03-13T03:21:26Z</dcterms:modified>
</cp:coreProperties>
</file>